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nambu\2. 2024년\2. 산림사업팀\1. 임도\울진국유림관리소\5. 간선임도 신설사업(기번3-울진.울진.대흥.산65외2)-유창엽\3. 착공계\"/>
    </mc:Choice>
  </mc:AlternateContent>
  <xr:revisionPtr revIDLastSave="0" documentId="8_{73DF1069-4429-4EA3-A614-27737C5D29CC}" xr6:coauthVersionLast="36" xr6:coauthVersionMax="36" xr10:uidLastSave="{00000000-0000-0000-0000-000000000000}"/>
  <bookViews>
    <workbookView xWindow="32760" yWindow="32760" windowWidth="9660" windowHeight="5490"/>
  </bookViews>
  <sheets>
    <sheet name="〓 목 차 〓" sheetId="1" r:id="rId1"/>
    <sheet name="※※안내※※" sheetId="2" r:id="rId2"/>
    <sheet name="공사원가계산서" sheetId="3" r:id="rId3"/>
    <sheet name="총괄설계내역서" sheetId="4" r:id="rId4"/>
    <sheet name="착공내역서" sheetId="5" r:id="rId5"/>
    <sheet name="일위대가목록표" sheetId="6" r:id="rId6"/>
    <sheet name="일위대가표" sheetId="7" r:id="rId7"/>
    <sheet name="일위대가수량금액집계표" sheetId="8" r:id="rId8"/>
    <sheet name="단가산출근거목록표" sheetId="9" r:id="rId9"/>
    <sheet name="단가산출근거" sheetId="10" r:id="rId10"/>
    <sheet name="단가산출근거수량금액집계표" sheetId="11" r:id="rId11"/>
    <sheet name="환율및기초자료" sheetId="12" r:id="rId12"/>
    <sheet name="중기목록표" sheetId="13" r:id="rId13"/>
    <sheet name="중기사용료" sheetId="14" r:id="rId14"/>
    <sheet name="재료비목록표" sheetId="15" r:id="rId15"/>
    <sheet name="노무비목록표" sheetId="16" r:id="rId16"/>
    <sheet name="경비목록표" sheetId="17" r:id="rId17"/>
    <sheet name="자재단가대비표" sheetId="18" r:id="rId18"/>
    <sheet name="재료비수량금액집계표" sheetId="19" r:id="rId19"/>
    <sheet name="노무비수량금액집계표" sheetId="20" r:id="rId20"/>
    <sheet name="경비수량금액집계표" sheetId="21" r:id="rId21"/>
    <sheet name="중기시간금액집계표" sheetId="22" r:id="rId22"/>
    <sheet name="〓 INITIAL 〓" sheetId="23" state="veryHidden" r:id="rId23"/>
  </sheets>
  <definedNames>
    <definedName name="_xlnm.Print_Area" localSheetId="0">'〓 목 차 〓'!$A:$C</definedName>
    <definedName name="_xlnm.Print_Area" localSheetId="16">경비목록표!$A:$F</definedName>
    <definedName name="_xlnm.Print_Area" localSheetId="20">경비수량금액집계표!$A:$H</definedName>
    <definedName name="_xlnm.Print_Area" localSheetId="2">공사원가계산서!$A:$F</definedName>
    <definedName name="_xlnm.Print_Area" localSheetId="15">노무비목록표!$A:$F</definedName>
    <definedName name="_xlnm.Print_Area" localSheetId="19">노무비수량금액집계표!$A:$H</definedName>
    <definedName name="_xlnm.Print_Area" localSheetId="9">단가산출근거!$A:$F</definedName>
    <definedName name="_xlnm.Print_Area" localSheetId="8">단가산출근거목록표!$A:$I</definedName>
    <definedName name="_xlnm.Print_Area" localSheetId="10">단가산출근거수량금액집계표!$A:$J</definedName>
    <definedName name="_xlnm.Print_Area" localSheetId="5">일위대가목록표!$A:$I</definedName>
    <definedName name="_xlnm.Print_Area" localSheetId="7">일위대가수량금액집계표!$A:$J</definedName>
    <definedName name="_xlnm.Print_Area" localSheetId="6">일위대가표!$A:$M</definedName>
    <definedName name="_xlnm.Print_Area" localSheetId="17">자재단가대비표!$A:$Q</definedName>
    <definedName name="_xlnm.Print_Area" localSheetId="14">재료비목록표!$A:$F</definedName>
    <definedName name="_xlnm.Print_Area" localSheetId="18">재료비수량금액집계표!$A:$H</definedName>
    <definedName name="_xlnm.Print_Area" localSheetId="12">중기목록표!$A:$I</definedName>
    <definedName name="_xlnm.Print_Area" localSheetId="13">중기사용료!$A:$M</definedName>
    <definedName name="_xlnm.Print_Area" localSheetId="21">중기시간금액집계표!$A:$J</definedName>
    <definedName name="_xlnm.Print_Area" localSheetId="4">착공내역서!$A:$N</definedName>
    <definedName name="_xlnm.Print_Area" localSheetId="3">총괄설계내역서!$A:$G</definedName>
    <definedName name="_xlnm.Print_Area" localSheetId="11">환율및기초자료!$A:$H</definedName>
    <definedName name="_xlnm.Print_Titles" localSheetId="16">경비목록표!$1:$3</definedName>
    <definedName name="_xlnm.Print_Titles" localSheetId="20">경비수량금액집계표!$1:$3</definedName>
    <definedName name="_xlnm.Print_Titles" localSheetId="2">공사원가계산서!$1:$4</definedName>
    <definedName name="_xlnm.Print_Titles" localSheetId="15">노무비목록표!$1:$3</definedName>
    <definedName name="_xlnm.Print_Titles" localSheetId="19">노무비수량금액집계표!$1:$3</definedName>
    <definedName name="_xlnm.Print_Titles" localSheetId="9">단가산출근거!$1:$4</definedName>
    <definedName name="_xlnm.Print_Titles" localSheetId="8">단가산출근거목록표!$1:$3</definedName>
    <definedName name="_xlnm.Print_Titles" localSheetId="10">단가산출근거수량금액집계표!$1:$3</definedName>
    <definedName name="_xlnm.Print_Titles" localSheetId="5">일위대가목록표!$1:$3</definedName>
    <definedName name="_xlnm.Print_Titles" localSheetId="7">일위대가수량금액집계표!$1:$3</definedName>
    <definedName name="_xlnm.Print_Titles" localSheetId="6">일위대가표!$1:$4</definedName>
    <definedName name="_xlnm.Print_Titles" localSheetId="17">자재단가대비표!$1:$4</definedName>
    <definedName name="_xlnm.Print_Titles" localSheetId="14">재료비목록표!$1:$3</definedName>
    <definedName name="_xlnm.Print_Titles" localSheetId="18">재료비수량금액집계표!$1:$3</definedName>
    <definedName name="_xlnm.Print_Titles" localSheetId="12">중기목록표!$1:$3</definedName>
    <definedName name="_xlnm.Print_Titles" localSheetId="13">중기사용료!$1:$4</definedName>
    <definedName name="_xlnm.Print_Titles" localSheetId="21">중기시간금액집계표!$1:$3</definedName>
    <definedName name="_xlnm.Print_Titles" localSheetId="4">착공내역서!$1:$4</definedName>
    <definedName name="_xlnm.Print_Titles" localSheetId="3">총괄설계내역서!$1:$3</definedName>
  </definedNames>
  <calcPr calcId="191029" fullCalcOnLoad="1"/>
</workbook>
</file>

<file path=xl/calcChain.xml><?xml version="1.0" encoding="utf-8"?>
<calcChain xmlns="http://schemas.openxmlformats.org/spreadsheetml/2006/main">
  <c r="D4" i="23" l="1"/>
  <c r="D6" i="23"/>
  <c r="C6" i="23" s="1"/>
  <c r="D7" i="23"/>
  <c r="C7" i="23" s="1"/>
  <c r="D8" i="23"/>
  <c r="C8" i="23" s="1"/>
  <c r="D10" i="23"/>
  <c r="C10" i="23" s="1"/>
  <c r="D11" i="23"/>
  <c r="C11" i="23" s="1"/>
  <c r="D13" i="23"/>
  <c r="C13" i="23" s="1"/>
  <c r="D14" i="23"/>
  <c r="C14" i="23" s="1"/>
  <c r="D15" i="23"/>
  <c r="C15" i="23" s="1"/>
  <c r="C16" i="23"/>
  <c r="X16" i="23" s="1"/>
  <c r="D16" i="23"/>
  <c r="D17" i="23"/>
  <c r="C17" i="23" s="1"/>
  <c r="Q17" i="23" s="1"/>
  <c r="D18" i="23"/>
  <c r="C18" i="23" s="1"/>
  <c r="D19" i="23"/>
  <c r="C19" i="23" s="1"/>
  <c r="S19" i="23" s="1"/>
  <c r="R19" i="23"/>
  <c r="D20" i="23"/>
  <c r="C20" i="23" s="1"/>
  <c r="F20" i="23" s="1"/>
  <c r="D24" i="23"/>
  <c r="D33" i="23"/>
  <c r="C35" i="23"/>
  <c r="D35" i="23"/>
  <c r="E35" i="23"/>
  <c r="F35" i="23"/>
  <c r="G35" i="23"/>
  <c r="H35" i="23"/>
  <c r="I35" i="23"/>
  <c r="J35" i="23"/>
  <c r="D52" i="23"/>
  <c r="D75" i="23"/>
  <c r="D4" i="1"/>
  <c r="D18" i="1"/>
  <c r="A2" i="2"/>
  <c r="G2" i="17"/>
  <c r="J5" i="21" s="1"/>
  <c r="H3" i="17"/>
  <c r="I2" i="21"/>
  <c r="D23" i="1" s="1"/>
  <c r="J3" i="21"/>
  <c r="F4" i="21"/>
  <c r="G4" i="21" s="1"/>
  <c r="F5" i="21"/>
  <c r="G5" i="21"/>
  <c r="G2" i="3"/>
  <c r="D5" i="1" s="1"/>
  <c r="H4" i="3"/>
  <c r="D15" i="3"/>
  <c r="D16" i="3"/>
  <c r="D17" i="3"/>
  <c r="D18" i="3"/>
  <c r="F23" i="3"/>
  <c r="F24" i="3"/>
  <c r="F26" i="3"/>
  <c r="G2" i="16"/>
  <c r="J9" i="20" s="1"/>
  <c r="H3" i="16"/>
  <c r="I2" i="20"/>
  <c r="D22" i="1" s="1"/>
  <c r="J3" i="20"/>
  <c r="F4" i="20"/>
  <c r="G4" i="20" s="1"/>
  <c r="F5" i="20"/>
  <c r="G5" i="20" s="1"/>
  <c r="F6" i="20"/>
  <c r="G6" i="20"/>
  <c r="F7" i="20"/>
  <c r="G7" i="20" s="1"/>
  <c r="J7" i="20"/>
  <c r="F8" i="20"/>
  <c r="G8" i="20"/>
  <c r="J8" i="20"/>
  <c r="F9" i="20"/>
  <c r="G9" i="20"/>
  <c r="F10" i="20"/>
  <c r="G10" i="20"/>
  <c r="F11" i="20"/>
  <c r="G11" i="20" s="1"/>
  <c r="F12" i="20"/>
  <c r="G12" i="20"/>
  <c r="G2" i="10"/>
  <c r="K10" i="9" s="1"/>
  <c r="Y4" i="10"/>
  <c r="G5" i="10"/>
  <c r="E19" i="10"/>
  <c r="F19" i="10"/>
  <c r="X19" i="10"/>
  <c r="D22" i="10"/>
  <c r="F22" i="10"/>
  <c r="X22" i="10"/>
  <c r="D25" i="10"/>
  <c r="E25" i="10"/>
  <c r="X25" i="10"/>
  <c r="G40" i="10"/>
  <c r="C54" i="10"/>
  <c r="E54" i="10"/>
  <c r="F54" i="10"/>
  <c r="F57" i="10" s="1"/>
  <c r="I54" i="10"/>
  <c r="B54" i="10" s="1"/>
  <c r="J54" i="10"/>
  <c r="D54" i="10" s="1"/>
  <c r="X54" i="10"/>
  <c r="Y54" i="10"/>
  <c r="D57" i="10"/>
  <c r="E57" i="10"/>
  <c r="E63" i="10"/>
  <c r="F63" i="10"/>
  <c r="X63" i="10"/>
  <c r="D65" i="10"/>
  <c r="F65" i="10"/>
  <c r="X65" i="10"/>
  <c r="D67" i="10"/>
  <c r="E67" i="10"/>
  <c r="X67" i="10"/>
  <c r="G110" i="10"/>
  <c r="E137" i="10"/>
  <c r="F137" i="10"/>
  <c r="X137" i="10"/>
  <c r="D139" i="10"/>
  <c r="F139" i="10"/>
  <c r="X139" i="10"/>
  <c r="D141" i="10"/>
  <c r="E141" i="10"/>
  <c r="X141" i="10"/>
  <c r="E169" i="10"/>
  <c r="F169" i="10"/>
  <c r="X169" i="10"/>
  <c r="D171" i="10"/>
  <c r="F171" i="10"/>
  <c r="X171" i="10"/>
  <c r="D173" i="10"/>
  <c r="E173" i="10"/>
  <c r="X173" i="10"/>
  <c r="G180" i="10"/>
  <c r="E201" i="10"/>
  <c r="F201" i="10"/>
  <c r="X201" i="10"/>
  <c r="D203" i="10"/>
  <c r="F203" i="10"/>
  <c r="X203" i="10"/>
  <c r="D205" i="10"/>
  <c r="E205" i="10"/>
  <c r="X205" i="10"/>
  <c r="G215" i="10"/>
  <c r="E239" i="10"/>
  <c r="F239" i="10"/>
  <c r="X239" i="10"/>
  <c r="D241" i="10"/>
  <c r="F241" i="10"/>
  <c r="X241" i="10"/>
  <c r="D243" i="10"/>
  <c r="E243" i="10"/>
  <c r="X243" i="10"/>
  <c r="E263" i="10"/>
  <c r="F263" i="10"/>
  <c r="X263" i="10"/>
  <c r="D265" i="10"/>
  <c r="F265" i="10"/>
  <c r="X265" i="10"/>
  <c r="D267" i="10"/>
  <c r="E267" i="10"/>
  <c r="X267" i="10"/>
  <c r="E297" i="10"/>
  <c r="F297" i="10"/>
  <c r="X297" i="10"/>
  <c r="D299" i="10"/>
  <c r="F299" i="10"/>
  <c r="X299" i="10"/>
  <c r="D301" i="10"/>
  <c r="E301" i="10"/>
  <c r="X301" i="10"/>
  <c r="G320" i="10"/>
  <c r="E341" i="10"/>
  <c r="F341" i="10"/>
  <c r="X341" i="10"/>
  <c r="D343" i="10"/>
  <c r="F343" i="10"/>
  <c r="X343" i="10"/>
  <c r="D345" i="10"/>
  <c r="E345" i="10"/>
  <c r="X345" i="10"/>
  <c r="G355" i="10"/>
  <c r="E379" i="10"/>
  <c r="F379" i="10"/>
  <c r="X379" i="10"/>
  <c r="D381" i="10"/>
  <c r="F381" i="10"/>
  <c r="X381" i="10"/>
  <c r="D383" i="10"/>
  <c r="E383" i="10"/>
  <c r="X383" i="10"/>
  <c r="E403" i="10"/>
  <c r="F403" i="10"/>
  <c r="X403" i="10"/>
  <c r="D405" i="10"/>
  <c r="F405" i="10"/>
  <c r="X405" i="10"/>
  <c r="D407" i="10"/>
  <c r="E407" i="10"/>
  <c r="X407" i="10"/>
  <c r="E437" i="10"/>
  <c r="F437" i="10"/>
  <c r="X437" i="10"/>
  <c r="D439" i="10"/>
  <c r="F439" i="10"/>
  <c r="X439" i="10"/>
  <c r="D441" i="10"/>
  <c r="E441" i="10"/>
  <c r="X441" i="10"/>
  <c r="G460" i="10"/>
  <c r="E473" i="10"/>
  <c r="F473" i="10"/>
  <c r="X473" i="10"/>
  <c r="D475" i="10"/>
  <c r="F475" i="10"/>
  <c r="X475" i="10"/>
  <c r="D477" i="10"/>
  <c r="E477" i="10"/>
  <c r="X477" i="10"/>
  <c r="G495" i="10"/>
  <c r="D503" i="10"/>
  <c r="F503" i="10"/>
  <c r="X503" i="10"/>
  <c r="D505" i="10"/>
  <c r="D511" i="10" s="1"/>
  <c r="F505" i="10"/>
  <c r="X505" i="10"/>
  <c r="D507" i="10"/>
  <c r="F507" i="10"/>
  <c r="D509" i="10"/>
  <c r="F509" i="10"/>
  <c r="E516" i="10"/>
  <c r="F516" i="10"/>
  <c r="J516" i="10"/>
  <c r="D516" i="10" s="1"/>
  <c r="X516" i="10"/>
  <c r="B518" i="10"/>
  <c r="C518" i="10"/>
  <c r="D518" i="10"/>
  <c r="E518" i="10"/>
  <c r="F518" i="10"/>
  <c r="J518" i="10"/>
  <c r="I518" i="10" s="1"/>
  <c r="X518" i="10"/>
  <c r="D520" i="10"/>
  <c r="E520" i="10"/>
  <c r="E522" i="10"/>
  <c r="G530" i="10"/>
  <c r="D554" i="10"/>
  <c r="E554" i="10"/>
  <c r="F554" i="10"/>
  <c r="J554" i="10"/>
  <c r="I554" i="10" s="1"/>
  <c r="X554" i="10"/>
  <c r="Y554" i="10"/>
  <c r="E556" i="10"/>
  <c r="C556" i="10" s="1"/>
  <c r="F556" i="10"/>
  <c r="J556" i="10"/>
  <c r="D556" i="10" s="1"/>
  <c r="X556" i="10"/>
  <c r="F558" i="10"/>
  <c r="X562" i="10"/>
  <c r="G600" i="10"/>
  <c r="D608" i="10"/>
  <c r="F608" i="10"/>
  <c r="X608" i="10"/>
  <c r="D610" i="10"/>
  <c r="F610" i="10"/>
  <c r="X610" i="10"/>
  <c r="D612" i="10"/>
  <c r="F612" i="10"/>
  <c r="D614" i="10"/>
  <c r="F614" i="10"/>
  <c r="D616" i="10"/>
  <c r="F616" i="10"/>
  <c r="D621" i="10"/>
  <c r="E621" i="10"/>
  <c r="F621" i="10"/>
  <c r="I621" i="10"/>
  <c r="J621" i="10"/>
  <c r="X621" i="10"/>
  <c r="E623" i="10"/>
  <c r="F623" i="10"/>
  <c r="J623" i="10"/>
  <c r="I623" i="10" s="1"/>
  <c r="X623" i="10"/>
  <c r="Y623" i="10"/>
  <c r="D625" i="10"/>
  <c r="E625" i="10"/>
  <c r="E627" i="10"/>
  <c r="G635" i="10"/>
  <c r="E641" i="10"/>
  <c r="E647" i="10" s="1"/>
  <c r="F641" i="10"/>
  <c r="J641" i="10"/>
  <c r="D641" i="10" s="1"/>
  <c r="X641" i="10"/>
  <c r="Y641" i="10"/>
  <c r="E643" i="10"/>
  <c r="F643" i="10"/>
  <c r="J643" i="10"/>
  <c r="D643" i="10" s="1"/>
  <c r="C643" i="10" s="1"/>
  <c r="X643" i="10"/>
  <c r="D645" i="10"/>
  <c r="E645" i="10"/>
  <c r="L645" i="10"/>
  <c r="G670" i="10"/>
  <c r="D680" i="10"/>
  <c r="E680" i="10"/>
  <c r="F680" i="10"/>
  <c r="I680" i="10"/>
  <c r="J680" i="10"/>
  <c r="X680" i="10"/>
  <c r="Y680" i="10"/>
  <c r="D682" i="10"/>
  <c r="E682" i="10"/>
  <c r="F682" i="10"/>
  <c r="C682" i="10" s="1"/>
  <c r="J682" i="10"/>
  <c r="I682" i="10" s="1"/>
  <c r="B682" i="10" s="1"/>
  <c r="X682" i="10"/>
  <c r="Y682" i="10"/>
  <c r="D684" i="10"/>
  <c r="E684" i="10"/>
  <c r="E691" i="10"/>
  <c r="F691" i="10"/>
  <c r="J691" i="10"/>
  <c r="D691" i="10" s="1"/>
  <c r="D697" i="10" s="1"/>
  <c r="X691" i="10"/>
  <c r="E693" i="10"/>
  <c r="E697" i="10" s="1"/>
  <c r="F693" i="10"/>
  <c r="J693" i="10"/>
  <c r="D693" i="10" s="1"/>
  <c r="C693" i="10" s="1"/>
  <c r="X693" i="10"/>
  <c r="D695" i="10"/>
  <c r="E695" i="10"/>
  <c r="L695" i="10"/>
  <c r="F695" i="10" s="1"/>
  <c r="F697" i="10" s="1"/>
  <c r="D702" i="10"/>
  <c r="F702" i="10"/>
  <c r="X702" i="10"/>
  <c r="D704" i="10"/>
  <c r="F704" i="10"/>
  <c r="G740" i="10"/>
  <c r="C749" i="10"/>
  <c r="D749" i="10"/>
  <c r="E749" i="10"/>
  <c r="F749" i="10"/>
  <c r="J749" i="10"/>
  <c r="I749" i="10" s="1"/>
  <c r="X749" i="10"/>
  <c r="D751" i="10"/>
  <c r="E751" i="10"/>
  <c r="F751" i="10"/>
  <c r="J751" i="10"/>
  <c r="I751" i="10" s="1"/>
  <c r="X751" i="10"/>
  <c r="Y751" i="10"/>
  <c r="C753" i="10"/>
  <c r="D753" i="10"/>
  <c r="E753" i="10"/>
  <c r="F753" i="10"/>
  <c r="D757" i="10"/>
  <c r="E757" i="10"/>
  <c r="E759" i="10" s="1"/>
  <c r="D759" i="10"/>
  <c r="E765" i="10"/>
  <c r="F765" i="10"/>
  <c r="X765" i="10"/>
  <c r="D767" i="10"/>
  <c r="F767" i="10"/>
  <c r="X767" i="10"/>
  <c r="D769" i="10"/>
  <c r="E769" i="10"/>
  <c r="X769" i="10"/>
  <c r="G810" i="10"/>
  <c r="E826" i="10"/>
  <c r="F826" i="10"/>
  <c r="X826" i="10"/>
  <c r="D830" i="10"/>
  <c r="F830" i="10"/>
  <c r="X830" i="10"/>
  <c r="D834" i="10"/>
  <c r="E834" i="10"/>
  <c r="X834" i="10"/>
  <c r="G844" i="10"/>
  <c r="E856" i="10"/>
  <c r="F856" i="10"/>
  <c r="X856" i="10"/>
  <c r="D859" i="10"/>
  <c r="F859" i="10"/>
  <c r="X859" i="10"/>
  <c r="D862" i="10"/>
  <c r="E862" i="10"/>
  <c r="X862" i="10"/>
  <c r="D871" i="10"/>
  <c r="F871" i="10"/>
  <c r="X871" i="10"/>
  <c r="D873" i="10"/>
  <c r="F873" i="10"/>
  <c r="E888" i="10"/>
  <c r="F888" i="10"/>
  <c r="X888" i="10"/>
  <c r="D891" i="10"/>
  <c r="F891" i="10"/>
  <c r="X891" i="10"/>
  <c r="D894" i="10"/>
  <c r="E894" i="10"/>
  <c r="X894" i="10"/>
  <c r="D900" i="10"/>
  <c r="C900" i="10" s="1"/>
  <c r="E900" i="10"/>
  <c r="F900" i="10"/>
  <c r="G913" i="10"/>
  <c r="D921" i="10"/>
  <c r="F921" i="10"/>
  <c r="X921" i="10"/>
  <c r="D923" i="10"/>
  <c r="F923" i="10"/>
  <c r="X923" i="10"/>
  <c r="D925" i="10"/>
  <c r="D933" i="10" s="1"/>
  <c r="F925" i="10"/>
  <c r="D929" i="10"/>
  <c r="E929" i="10"/>
  <c r="F929" i="10"/>
  <c r="C929" i="10" s="1"/>
  <c r="I929" i="10"/>
  <c r="B929" i="10" s="1"/>
  <c r="D931" i="10"/>
  <c r="E931" i="10"/>
  <c r="D938" i="10"/>
  <c r="E938" i="10"/>
  <c r="F938" i="10"/>
  <c r="F941" i="10" s="1"/>
  <c r="I938" i="10"/>
  <c r="J938" i="10"/>
  <c r="X938" i="10"/>
  <c r="E940" i="10"/>
  <c r="F940" i="10"/>
  <c r="J940" i="10"/>
  <c r="X940" i="10"/>
  <c r="Y940" i="10"/>
  <c r="E941" i="10"/>
  <c r="E951" i="10"/>
  <c r="F951" i="10"/>
  <c r="X951" i="10"/>
  <c r="D953" i="10"/>
  <c r="F953" i="10"/>
  <c r="X953" i="10"/>
  <c r="D955" i="10"/>
  <c r="E955" i="10"/>
  <c r="X955" i="10"/>
  <c r="D960" i="10"/>
  <c r="D962" i="10" s="1"/>
  <c r="E960" i="10"/>
  <c r="E971" i="10"/>
  <c r="F971" i="10"/>
  <c r="X971" i="10"/>
  <c r="D973" i="10"/>
  <c r="F973" i="10"/>
  <c r="X973" i="10"/>
  <c r="D975" i="10"/>
  <c r="E975" i="10"/>
  <c r="X975" i="10"/>
  <c r="E992" i="10"/>
  <c r="F992" i="10"/>
  <c r="X992" i="10"/>
  <c r="D995" i="10"/>
  <c r="F995" i="10"/>
  <c r="X995" i="10"/>
  <c r="D998" i="10"/>
  <c r="E998" i="10"/>
  <c r="X998" i="10"/>
  <c r="G1017" i="10"/>
  <c r="E1038" i="10"/>
  <c r="F1038" i="10"/>
  <c r="X1038" i="10"/>
  <c r="D1040" i="10"/>
  <c r="F1040" i="10"/>
  <c r="X1040" i="10"/>
  <c r="D1042" i="10"/>
  <c r="E1042" i="10"/>
  <c r="X1042" i="10"/>
  <c r="G1051" i="10"/>
  <c r="E1061" i="10"/>
  <c r="F1061" i="10"/>
  <c r="X1061" i="10"/>
  <c r="D1064" i="10"/>
  <c r="F1064" i="10"/>
  <c r="X1064" i="10"/>
  <c r="D1067" i="10"/>
  <c r="E1067" i="10"/>
  <c r="X1067" i="10"/>
  <c r="D1077" i="10"/>
  <c r="F1077" i="10"/>
  <c r="X1077" i="10"/>
  <c r="D1078" i="10"/>
  <c r="F1078" i="10"/>
  <c r="E1094" i="10"/>
  <c r="F1094" i="10"/>
  <c r="X1094" i="10"/>
  <c r="D1097" i="10"/>
  <c r="F1097" i="10"/>
  <c r="X1097" i="10"/>
  <c r="D1100" i="10"/>
  <c r="E1100" i="10"/>
  <c r="X1100" i="10"/>
  <c r="G1120" i="10"/>
  <c r="E1143" i="10"/>
  <c r="F1143" i="10"/>
  <c r="X1143" i="10"/>
  <c r="D1146" i="10"/>
  <c r="F1146" i="10"/>
  <c r="X1146" i="10"/>
  <c r="D1149" i="10"/>
  <c r="E1149" i="10"/>
  <c r="X1149" i="10"/>
  <c r="G1189" i="10"/>
  <c r="E1204" i="10"/>
  <c r="F1204" i="10"/>
  <c r="X1204" i="10"/>
  <c r="D1206" i="10"/>
  <c r="F1206" i="10"/>
  <c r="X1206" i="10"/>
  <c r="D1208" i="10"/>
  <c r="E1208" i="10"/>
  <c r="X1208" i="10"/>
  <c r="G1223" i="10"/>
  <c r="E1234" i="10"/>
  <c r="F1234" i="10"/>
  <c r="X1234" i="10"/>
  <c r="D1237" i="10"/>
  <c r="F1237" i="10"/>
  <c r="X1237" i="10"/>
  <c r="D1240" i="10"/>
  <c r="E1240" i="10"/>
  <c r="X1240" i="10"/>
  <c r="D1252" i="10"/>
  <c r="F1252" i="10"/>
  <c r="X1252" i="10"/>
  <c r="D1254" i="10"/>
  <c r="F1254" i="10"/>
  <c r="E1270" i="10"/>
  <c r="F1270" i="10"/>
  <c r="X1270" i="10"/>
  <c r="D1273" i="10"/>
  <c r="F1273" i="10"/>
  <c r="X1273" i="10"/>
  <c r="D1276" i="10"/>
  <c r="E1276" i="10"/>
  <c r="X1276" i="10"/>
  <c r="E1292" i="10"/>
  <c r="F1292" i="10"/>
  <c r="G1292" i="10"/>
  <c r="C1324" i="10"/>
  <c r="D1324" i="10"/>
  <c r="D1325" i="10" s="1"/>
  <c r="D1292" i="10" s="1"/>
  <c r="E1324" i="10"/>
  <c r="F1324" i="10"/>
  <c r="F1325" i="10" s="1"/>
  <c r="E1325" i="10"/>
  <c r="G1326" i="10"/>
  <c r="E1353" i="10"/>
  <c r="F1353" i="10"/>
  <c r="X1353" i="10"/>
  <c r="D1355" i="10"/>
  <c r="F1355" i="10"/>
  <c r="X1355" i="10"/>
  <c r="D1357" i="10"/>
  <c r="E1357" i="10"/>
  <c r="X1357" i="10"/>
  <c r="G1395" i="10"/>
  <c r="E1422" i="10"/>
  <c r="F1422" i="10"/>
  <c r="X1422" i="10"/>
  <c r="D1424" i="10"/>
  <c r="F1424" i="10"/>
  <c r="X1424" i="10"/>
  <c r="D1426" i="10"/>
  <c r="E1426" i="10"/>
  <c r="X1426" i="10"/>
  <c r="G1464" i="10"/>
  <c r="E1482" i="10"/>
  <c r="F1482" i="10"/>
  <c r="X1482" i="10"/>
  <c r="D1484" i="10"/>
  <c r="F1484" i="10"/>
  <c r="X1484" i="10"/>
  <c r="D1486" i="10"/>
  <c r="E1486" i="10"/>
  <c r="X1486" i="10"/>
  <c r="E1518" i="10"/>
  <c r="F1518" i="10"/>
  <c r="X1518" i="10"/>
  <c r="D1520" i="10"/>
  <c r="F1520" i="10"/>
  <c r="X1520" i="10"/>
  <c r="D1522" i="10"/>
  <c r="E1522" i="10"/>
  <c r="X1522" i="10"/>
  <c r="E1535" i="10"/>
  <c r="F1535" i="10"/>
  <c r="X1535" i="10"/>
  <c r="D1537" i="10"/>
  <c r="F1537" i="10"/>
  <c r="X1537" i="10"/>
  <c r="D1539" i="10"/>
  <c r="E1539" i="10"/>
  <c r="X1539" i="10"/>
  <c r="G1568" i="10"/>
  <c r="E1586" i="10"/>
  <c r="F1586" i="10"/>
  <c r="X1586" i="10"/>
  <c r="D1588" i="10"/>
  <c r="F1588" i="10"/>
  <c r="X1588" i="10"/>
  <c r="D1590" i="10"/>
  <c r="E1590" i="10"/>
  <c r="X1590" i="10"/>
  <c r="E1620" i="10"/>
  <c r="F1620" i="10"/>
  <c r="X1620" i="10"/>
  <c r="D1622" i="10"/>
  <c r="F1622" i="10"/>
  <c r="X1622" i="10"/>
  <c r="D1624" i="10"/>
  <c r="E1624" i="10"/>
  <c r="X1624" i="10"/>
  <c r="E1652" i="10"/>
  <c r="F1652" i="10"/>
  <c r="X1652" i="10"/>
  <c r="D1654" i="10"/>
  <c r="F1654" i="10"/>
  <c r="X1654" i="10"/>
  <c r="D1656" i="10"/>
  <c r="E1656" i="10"/>
  <c r="X1656" i="10"/>
  <c r="E1668" i="10"/>
  <c r="F1668" i="10"/>
  <c r="X1668" i="10"/>
  <c r="D1670" i="10"/>
  <c r="F1670" i="10"/>
  <c r="X1670" i="10"/>
  <c r="D1672" i="10"/>
  <c r="E1672" i="10"/>
  <c r="X1672" i="10"/>
  <c r="G1707" i="10"/>
  <c r="E1720" i="10"/>
  <c r="F1720" i="10"/>
  <c r="X1720" i="10"/>
  <c r="D1722" i="10"/>
  <c r="F1722" i="10"/>
  <c r="X1722" i="10"/>
  <c r="D1724" i="10"/>
  <c r="E1724" i="10"/>
  <c r="X1724" i="10"/>
  <c r="E1737" i="10"/>
  <c r="F1737" i="10"/>
  <c r="X1737" i="10"/>
  <c r="D1739" i="10"/>
  <c r="F1739" i="10"/>
  <c r="X1739" i="10"/>
  <c r="D1741" i="10"/>
  <c r="E1741" i="10"/>
  <c r="X1741" i="10"/>
  <c r="G1776" i="10"/>
  <c r="E1790" i="10"/>
  <c r="F1790" i="10"/>
  <c r="X1790" i="10"/>
  <c r="D1792" i="10"/>
  <c r="F1792" i="10"/>
  <c r="X1792" i="10"/>
  <c r="D1794" i="10"/>
  <c r="E1794" i="10"/>
  <c r="X1794" i="10"/>
  <c r="G1810" i="10"/>
  <c r="E1830" i="10"/>
  <c r="F1830" i="10"/>
  <c r="X1830" i="10"/>
  <c r="D1832" i="10"/>
  <c r="F1832" i="10"/>
  <c r="X1832" i="10"/>
  <c r="D1834" i="10"/>
  <c r="E1834" i="10"/>
  <c r="X1834" i="10"/>
  <c r="G1844" i="10"/>
  <c r="E1880" i="10"/>
  <c r="F1880" i="10"/>
  <c r="X1880" i="10"/>
  <c r="D1882" i="10"/>
  <c r="F1882" i="10"/>
  <c r="X1882" i="10"/>
  <c r="D1884" i="10"/>
  <c r="E1884" i="10"/>
  <c r="X1884" i="10"/>
  <c r="D1912" i="10"/>
  <c r="D1844" i="10" s="1"/>
  <c r="E1912" i="10"/>
  <c r="E1913" i="10"/>
  <c r="G1913" i="10"/>
  <c r="D1929" i="10"/>
  <c r="E1929" i="10"/>
  <c r="C1929" i="10" s="1"/>
  <c r="I1929" i="10"/>
  <c r="L1929" i="10"/>
  <c r="F1929" i="10" s="1"/>
  <c r="F1932" i="10" s="1"/>
  <c r="X1929" i="10"/>
  <c r="C1932" i="10"/>
  <c r="D1932" i="10"/>
  <c r="E1932" i="10"/>
  <c r="D1946" i="10"/>
  <c r="D1913" i="10" s="1"/>
  <c r="E1946" i="10"/>
  <c r="G1947" i="10"/>
  <c r="E1992" i="10"/>
  <c r="F1992" i="10"/>
  <c r="X1992" i="10"/>
  <c r="D1994" i="10"/>
  <c r="F1994" i="10"/>
  <c r="X1994" i="10"/>
  <c r="D1996" i="10"/>
  <c r="E1996" i="10"/>
  <c r="X1996" i="10"/>
  <c r="D1998" i="10"/>
  <c r="E1998" i="10"/>
  <c r="X1998" i="10"/>
  <c r="E2032" i="10"/>
  <c r="F2032" i="10"/>
  <c r="X2032" i="10"/>
  <c r="D2034" i="10"/>
  <c r="F2034" i="10"/>
  <c r="X2034" i="10"/>
  <c r="D2036" i="10"/>
  <c r="E2036" i="10"/>
  <c r="X2036" i="10"/>
  <c r="D2038" i="10"/>
  <c r="E2038" i="10"/>
  <c r="X2038" i="10"/>
  <c r="D2050" i="10"/>
  <c r="D1947" i="10" s="1"/>
  <c r="E2050" i="10"/>
  <c r="D2051" i="10"/>
  <c r="G2051" i="10"/>
  <c r="E2097" i="10"/>
  <c r="F2097" i="10"/>
  <c r="X2097" i="10"/>
  <c r="D2099" i="10"/>
  <c r="F2099" i="10"/>
  <c r="X2099" i="10"/>
  <c r="D2101" i="10"/>
  <c r="E2101" i="10"/>
  <c r="X2101" i="10"/>
  <c r="D2103" i="10"/>
  <c r="E2103" i="10"/>
  <c r="X2103" i="10"/>
  <c r="E2139" i="10"/>
  <c r="F2139" i="10"/>
  <c r="X2139" i="10"/>
  <c r="D2141" i="10"/>
  <c r="F2141" i="10"/>
  <c r="X2141" i="10"/>
  <c r="D2143" i="10"/>
  <c r="E2143" i="10"/>
  <c r="X2143" i="10"/>
  <c r="D2145" i="10"/>
  <c r="E2145" i="10"/>
  <c r="X2145" i="10"/>
  <c r="D2154" i="10"/>
  <c r="E2154" i="10"/>
  <c r="E2051" i="10" s="1"/>
  <c r="E2155" i="10"/>
  <c r="G2155" i="10"/>
  <c r="E2203" i="10"/>
  <c r="F2203" i="10"/>
  <c r="X2203" i="10"/>
  <c r="D2205" i="10"/>
  <c r="F2205" i="10"/>
  <c r="X2205" i="10"/>
  <c r="D2207" i="10"/>
  <c r="E2207" i="10"/>
  <c r="X2207" i="10"/>
  <c r="D2209" i="10"/>
  <c r="E2209" i="10"/>
  <c r="X2209" i="10"/>
  <c r="E2249" i="10"/>
  <c r="F2249" i="10"/>
  <c r="X2249" i="10"/>
  <c r="D2251" i="10"/>
  <c r="F2251" i="10"/>
  <c r="X2251" i="10"/>
  <c r="D2253" i="10"/>
  <c r="E2253" i="10"/>
  <c r="X2253" i="10"/>
  <c r="C2255" i="10"/>
  <c r="B2255" i="10" s="1"/>
  <c r="D2255" i="10"/>
  <c r="E2255" i="10"/>
  <c r="F2255" i="10"/>
  <c r="I2255" i="10"/>
  <c r="L2255" i="10"/>
  <c r="X2255" i="10"/>
  <c r="Y2255" i="10"/>
  <c r="D2293" i="10"/>
  <c r="E2293" i="10"/>
  <c r="G2294" i="10"/>
  <c r="D2309" i="10"/>
  <c r="D2311" i="10" s="1"/>
  <c r="E2309" i="10"/>
  <c r="F2309" i="10"/>
  <c r="F2311" i="10" s="1"/>
  <c r="F2329" i="10" s="1"/>
  <c r="I2309" i="10"/>
  <c r="L2309" i="10"/>
  <c r="X2309" i="10"/>
  <c r="Y2309" i="10"/>
  <c r="E2321" i="10"/>
  <c r="F2321" i="10"/>
  <c r="J2321" i="10"/>
  <c r="X2321" i="10"/>
  <c r="Y2321" i="10"/>
  <c r="E2324" i="10"/>
  <c r="F2324" i="10"/>
  <c r="D2362" i="10"/>
  <c r="D2294" i="10" s="1"/>
  <c r="E2362" i="10"/>
  <c r="E2294" i="10" s="1"/>
  <c r="G2363" i="10"/>
  <c r="E2390" i="10"/>
  <c r="F2390" i="10"/>
  <c r="X2390" i="10"/>
  <c r="D2392" i="10"/>
  <c r="F2392" i="10"/>
  <c r="X2392" i="10"/>
  <c r="D2394" i="10"/>
  <c r="E2394" i="10"/>
  <c r="X2394" i="10"/>
  <c r="G2432" i="10"/>
  <c r="E2459" i="10"/>
  <c r="F2459" i="10"/>
  <c r="X2459" i="10"/>
  <c r="D2461" i="10"/>
  <c r="F2461" i="10"/>
  <c r="X2461" i="10"/>
  <c r="D2463" i="10"/>
  <c r="E2463" i="10"/>
  <c r="X2463" i="10"/>
  <c r="G2501" i="10"/>
  <c r="E2519" i="10"/>
  <c r="F2519" i="10"/>
  <c r="X2519" i="10"/>
  <c r="D2521" i="10"/>
  <c r="F2521" i="10"/>
  <c r="X2521" i="10"/>
  <c r="D2523" i="10"/>
  <c r="E2523" i="10"/>
  <c r="X2523" i="10"/>
  <c r="E2555" i="10"/>
  <c r="F2555" i="10"/>
  <c r="X2555" i="10"/>
  <c r="D2557" i="10"/>
  <c r="F2557" i="10"/>
  <c r="X2557" i="10"/>
  <c r="D2559" i="10"/>
  <c r="E2559" i="10"/>
  <c r="X2559" i="10"/>
  <c r="E2572" i="10"/>
  <c r="F2572" i="10"/>
  <c r="X2572" i="10"/>
  <c r="D2574" i="10"/>
  <c r="F2574" i="10"/>
  <c r="X2574" i="10"/>
  <c r="D2576" i="10"/>
  <c r="E2576" i="10"/>
  <c r="X2576" i="10"/>
  <c r="G2605" i="10"/>
  <c r="E2623" i="10"/>
  <c r="F2623" i="10"/>
  <c r="X2623" i="10"/>
  <c r="D2625" i="10"/>
  <c r="F2625" i="10"/>
  <c r="X2625" i="10"/>
  <c r="D2627" i="10"/>
  <c r="E2627" i="10"/>
  <c r="X2627" i="10"/>
  <c r="E2657" i="10"/>
  <c r="F2657" i="10"/>
  <c r="X2657" i="10"/>
  <c r="D2659" i="10"/>
  <c r="F2659" i="10"/>
  <c r="X2659" i="10"/>
  <c r="D2661" i="10"/>
  <c r="E2661" i="10"/>
  <c r="X2661" i="10"/>
  <c r="E2689" i="10"/>
  <c r="F2689" i="10"/>
  <c r="X2689" i="10"/>
  <c r="D2691" i="10"/>
  <c r="F2691" i="10"/>
  <c r="X2691" i="10"/>
  <c r="D2693" i="10"/>
  <c r="E2693" i="10"/>
  <c r="X2693" i="10"/>
  <c r="E2705" i="10"/>
  <c r="F2705" i="10"/>
  <c r="X2705" i="10"/>
  <c r="D2707" i="10"/>
  <c r="F2707" i="10"/>
  <c r="X2707" i="10"/>
  <c r="D2709" i="10"/>
  <c r="E2709" i="10"/>
  <c r="X2709" i="10"/>
  <c r="G2744" i="10"/>
  <c r="E2767" i="10"/>
  <c r="F2767" i="10"/>
  <c r="X2767" i="10"/>
  <c r="D2769" i="10"/>
  <c r="F2769" i="10"/>
  <c r="X2769" i="10"/>
  <c r="D2771" i="10"/>
  <c r="E2771" i="10"/>
  <c r="X2771" i="10"/>
  <c r="E2802" i="10"/>
  <c r="F2802" i="10"/>
  <c r="X2802" i="10"/>
  <c r="D2804" i="10"/>
  <c r="F2804" i="10"/>
  <c r="X2804" i="10"/>
  <c r="D2806" i="10"/>
  <c r="E2806" i="10"/>
  <c r="X2806" i="10"/>
  <c r="E2833" i="10"/>
  <c r="F2833" i="10"/>
  <c r="X2833" i="10"/>
  <c r="D2835" i="10"/>
  <c r="F2835" i="10"/>
  <c r="X2835" i="10"/>
  <c r="D2837" i="10"/>
  <c r="E2837" i="10"/>
  <c r="X2837" i="10"/>
  <c r="E2856" i="10"/>
  <c r="F2856" i="10"/>
  <c r="X2856" i="10"/>
  <c r="D2858" i="10"/>
  <c r="F2858" i="10"/>
  <c r="X2858" i="10"/>
  <c r="D2860" i="10"/>
  <c r="E2860" i="10"/>
  <c r="X2860" i="10"/>
  <c r="G2883" i="10"/>
  <c r="E2910" i="10"/>
  <c r="F2910" i="10"/>
  <c r="X2910" i="10"/>
  <c r="D2912" i="10"/>
  <c r="F2912" i="10"/>
  <c r="X2912" i="10"/>
  <c r="D2914" i="10"/>
  <c r="E2914" i="10"/>
  <c r="X2914" i="10"/>
  <c r="G2952" i="10"/>
  <c r="E2979" i="10"/>
  <c r="F2979" i="10"/>
  <c r="X2979" i="10"/>
  <c r="D2981" i="10"/>
  <c r="F2981" i="10"/>
  <c r="X2981" i="10"/>
  <c r="D2983" i="10"/>
  <c r="E2983" i="10"/>
  <c r="X2983" i="10"/>
  <c r="G3021" i="10"/>
  <c r="E3039" i="10"/>
  <c r="F3039" i="10"/>
  <c r="X3039" i="10"/>
  <c r="D3041" i="10"/>
  <c r="F3041" i="10"/>
  <c r="X3041" i="10"/>
  <c r="D3043" i="10"/>
  <c r="E3043" i="10"/>
  <c r="X3043" i="10"/>
  <c r="E3075" i="10"/>
  <c r="F3075" i="10"/>
  <c r="X3075" i="10"/>
  <c r="D3077" i="10"/>
  <c r="F3077" i="10"/>
  <c r="X3077" i="10"/>
  <c r="D3079" i="10"/>
  <c r="E3079" i="10"/>
  <c r="X3079" i="10"/>
  <c r="E3092" i="10"/>
  <c r="F3092" i="10"/>
  <c r="X3092" i="10"/>
  <c r="D3094" i="10"/>
  <c r="F3094" i="10"/>
  <c r="X3094" i="10"/>
  <c r="D3096" i="10"/>
  <c r="E3096" i="10"/>
  <c r="X3096" i="10"/>
  <c r="G3125" i="10"/>
  <c r="E3143" i="10"/>
  <c r="F3143" i="10"/>
  <c r="X3143" i="10"/>
  <c r="D3145" i="10"/>
  <c r="F3145" i="10"/>
  <c r="X3145" i="10"/>
  <c r="D3147" i="10"/>
  <c r="E3147" i="10"/>
  <c r="X3147" i="10"/>
  <c r="E3177" i="10"/>
  <c r="F3177" i="10"/>
  <c r="X3177" i="10"/>
  <c r="D3179" i="10"/>
  <c r="F3179" i="10"/>
  <c r="X3179" i="10"/>
  <c r="D3181" i="10"/>
  <c r="E3181" i="10"/>
  <c r="X3181" i="10"/>
  <c r="E3209" i="10"/>
  <c r="F3209" i="10"/>
  <c r="X3209" i="10"/>
  <c r="D3211" i="10"/>
  <c r="F3211" i="10"/>
  <c r="X3211" i="10"/>
  <c r="D3213" i="10"/>
  <c r="E3213" i="10"/>
  <c r="X3213" i="10"/>
  <c r="E3225" i="10"/>
  <c r="F3225" i="10"/>
  <c r="X3225" i="10"/>
  <c r="D3227" i="10"/>
  <c r="F3227" i="10"/>
  <c r="X3227" i="10"/>
  <c r="D3229" i="10"/>
  <c r="E3229" i="10"/>
  <c r="X3229" i="10"/>
  <c r="G3264" i="10"/>
  <c r="E3276" i="10"/>
  <c r="F3276" i="10"/>
  <c r="X3276" i="10"/>
  <c r="D3278" i="10"/>
  <c r="F3278" i="10"/>
  <c r="X3278" i="10"/>
  <c r="D3280" i="10"/>
  <c r="E3280" i="10"/>
  <c r="X3280" i="10"/>
  <c r="D3298" i="10"/>
  <c r="G3298" i="10"/>
  <c r="D3312" i="10"/>
  <c r="D3314" i="10" s="1"/>
  <c r="D3324" i="10" s="1"/>
  <c r="E3312" i="10"/>
  <c r="F3312" i="10"/>
  <c r="I3312" i="10"/>
  <c r="L3312" i="10"/>
  <c r="X3312" i="10"/>
  <c r="F3314" i="10"/>
  <c r="E3320" i="10"/>
  <c r="E3322" i="10" s="1"/>
  <c r="F3320" i="10"/>
  <c r="F3322" i="10" s="1"/>
  <c r="I3320" i="10"/>
  <c r="J3320" i="10"/>
  <c r="D3320" i="10" s="1"/>
  <c r="D3322" i="10" s="1"/>
  <c r="X3320" i="10"/>
  <c r="Y3320" i="10"/>
  <c r="D3331" i="10"/>
  <c r="E3331" i="10"/>
  <c r="J2" i="9"/>
  <c r="L26" i="11" s="1"/>
  <c r="K3" i="9"/>
  <c r="J4" i="9"/>
  <c r="K4" i="9"/>
  <c r="J5" i="9"/>
  <c r="J6" i="9"/>
  <c r="J7" i="9"/>
  <c r="J8" i="9"/>
  <c r="K8" i="9"/>
  <c r="J9" i="9"/>
  <c r="K9" i="9"/>
  <c r="J10" i="9"/>
  <c r="J11" i="9"/>
  <c r="K11" i="9"/>
  <c r="J12" i="9"/>
  <c r="K12" i="9"/>
  <c r="J13" i="9"/>
  <c r="J14" i="9"/>
  <c r="J15" i="9"/>
  <c r="J16" i="9"/>
  <c r="K16" i="9"/>
  <c r="J17" i="9"/>
  <c r="K17" i="9"/>
  <c r="J18" i="9"/>
  <c r="J19" i="9"/>
  <c r="K19" i="9"/>
  <c r="J20" i="9"/>
  <c r="K20" i="9"/>
  <c r="J21" i="9"/>
  <c r="J22" i="9"/>
  <c r="J23" i="9"/>
  <c r="J24" i="9"/>
  <c r="K24" i="9"/>
  <c r="J25" i="9"/>
  <c r="K25" i="9"/>
  <c r="F26" i="9"/>
  <c r="G26" i="9"/>
  <c r="H26" i="9"/>
  <c r="J26" i="9"/>
  <c r="K26" i="9"/>
  <c r="J27" i="9"/>
  <c r="J28" i="9"/>
  <c r="J29" i="9"/>
  <c r="K29" i="9"/>
  <c r="J30" i="9"/>
  <c r="K30" i="9"/>
  <c r="J31" i="9"/>
  <c r="J32" i="9"/>
  <c r="K32" i="9"/>
  <c r="J33" i="9"/>
  <c r="K33" i="9"/>
  <c r="F34" i="9"/>
  <c r="G34" i="9"/>
  <c r="H34" i="11" s="1"/>
  <c r="J34" i="9"/>
  <c r="F35" i="9"/>
  <c r="G35" i="11" s="1"/>
  <c r="G35" i="9"/>
  <c r="J35" i="9"/>
  <c r="K35" i="9"/>
  <c r="F36" i="9"/>
  <c r="G36" i="9"/>
  <c r="J36" i="9"/>
  <c r="F37" i="9"/>
  <c r="G37" i="11" s="1"/>
  <c r="G37" i="9"/>
  <c r="J37" i="9"/>
  <c r="K37" i="9"/>
  <c r="F38" i="9"/>
  <c r="G38" i="9"/>
  <c r="H38" i="11" s="1"/>
  <c r="J38" i="9"/>
  <c r="F39" i="9"/>
  <c r="G39" i="9"/>
  <c r="J39" i="9"/>
  <c r="K39" i="9"/>
  <c r="J40" i="9"/>
  <c r="K40" i="9"/>
  <c r="J41" i="9"/>
  <c r="J42" i="9"/>
  <c r="K42" i="9"/>
  <c r="J43" i="9"/>
  <c r="K43" i="9"/>
  <c r="J44" i="9"/>
  <c r="K44" i="9"/>
  <c r="J45" i="9"/>
  <c r="J46" i="9"/>
  <c r="J47" i="9"/>
  <c r="K47" i="9"/>
  <c r="J48" i="9"/>
  <c r="K48" i="9"/>
  <c r="J49" i="9"/>
  <c r="F50" i="9"/>
  <c r="J50" i="9"/>
  <c r="K2" i="11"/>
  <c r="D13" i="1" s="1"/>
  <c r="L3" i="11"/>
  <c r="L6" i="11"/>
  <c r="L10" i="11"/>
  <c r="F26" i="11"/>
  <c r="G26" i="11"/>
  <c r="H26" i="11"/>
  <c r="I26" i="11"/>
  <c r="L29" i="11"/>
  <c r="L32" i="11"/>
  <c r="G34" i="11"/>
  <c r="H35" i="11"/>
  <c r="L35" i="11"/>
  <c r="G36" i="11"/>
  <c r="H36" i="11"/>
  <c r="H37" i="11"/>
  <c r="G38" i="11"/>
  <c r="G39" i="11"/>
  <c r="H39" i="11"/>
  <c r="L41" i="11"/>
  <c r="L48" i="11"/>
  <c r="G50" i="11"/>
  <c r="L50" i="11"/>
  <c r="J2" i="6"/>
  <c r="Z298" i="7" s="1"/>
  <c r="K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K2" i="8"/>
  <c r="D10" i="1" s="1"/>
  <c r="L3" i="8"/>
  <c r="I5" i="8"/>
  <c r="L30" i="8"/>
  <c r="N2" i="7"/>
  <c r="K32" i="6" s="1"/>
  <c r="Z4" i="7"/>
  <c r="N5" i="7"/>
  <c r="H8" i="7"/>
  <c r="L8" i="7"/>
  <c r="L11" i="7" s="1"/>
  <c r="H4" i="6" s="1"/>
  <c r="K202" i="7" s="1"/>
  <c r="L202" i="7" s="1"/>
  <c r="H9" i="7"/>
  <c r="L9" i="7"/>
  <c r="E10" i="7"/>
  <c r="G10" i="7"/>
  <c r="H10" i="7" s="1"/>
  <c r="J10" i="7"/>
  <c r="L10" i="7"/>
  <c r="Z10" i="7"/>
  <c r="N12" i="7"/>
  <c r="F14" i="7"/>
  <c r="G14" i="7"/>
  <c r="E14" i="7" s="1"/>
  <c r="H14" i="7"/>
  <c r="H15" i="7" s="1"/>
  <c r="F5" i="6" s="1"/>
  <c r="G5" i="8" s="1"/>
  <c r="J14" i="7"/>
  <c r="L14" i="7"/>
  <c r="J15" i="7"/>
  <c r="G5" i="6" s="1"/>
  <c r="H5" i="8" s="1"/>
  <c r="L15" i="7"/>
  <c r="H5" i="6" s="1"/>
  <c r="N16" i="7"/>
  <c r="E19" i="7"/>
  <c r="G19" i="7"/>
  <c r="H19" i="7"/>
  <c r="J19" i="7"/>
  <c r="L19" i="7"/>
  <c r="Z19" i="7"/>
  <c r="E20" i="7"/>
  <c r="G20" i="7"/>
  <c r="H20" i="7" s="1"/>
  <c r="F20" i="7" s="1"/>
  <c r="J20" i="7"/>
  <c r="L20" i="7"/>
  <c r="Z20" i="7"/>
  <c r="N23" i="7"/>
  <c r="G26" i="7"/>
  <c r="E26" i="7" s="1"/>
  <c r="H26" i="7"/>
  <c r="J26" i="7"/>
  <c r="L26" i="7"/>
  <c r="Z26" i="7"/>
  <c r="G27" i="7"/>
  <c r="E27" i="7" s="1"/>
  <c r="H27" i="7"/>
  <c r="J27" i="7"/>
  <c r="L27" i="7"/>
  <c r="Z27" i="7"/>
  <c r="N30" i="7"/>
  <c r="E33" i="7"/>
  <c r="G33" i="7"/>
  <c r="H33" i="7" s="1"/>
  <c r="J33" i="7"/>
  <c r="L33" i="7"/>
  <c r="Z33" i="7"/>
  <c r="E34" i="7"/>
  <c r="G34" i="7"/>
  <c r="H34" i="7" s="1"/>
  <c r="J34" i="7"/>
  <c r="F34" i="7" s="1"/>
  <c r="L34" i="7"/>
  <c r="Z34" i="7"/>
  <c r="N37" i="7"/>
  <c r="G40" i="7"/>
  <c r="E40" i="7" s="1"/>
  <c r="H40" i="7"/>
  <c r="J40" i="7"/>
  <c r="L40" i="7"/>
  <c r="G41" i="7"/>
  <c r="J41" i="7"/>
  <c r="L41" i="7"/>
  <c r="Z41" i="7"/>
  <c r="N44" i="7"/>
  <c r="H47" i="7"/>
  <c r="L47" i="7"/>
  <c r="H48" i="7"/>
  <c r="L48" i="7"/>
  <c r="H49" i="7"/>
  <c r="L49" i="7"/>
  <c r="F50" i="7"/>
  <c r="G50" i="7"/>
  <c r="H50" i="7" s="1"/>
  <c r="J50" i="7"/>
  <c r="L50" i="7"/>
  <c r="F51" i="7"/>
  <c r="G51" i="7"/>
  <c r="E51" i="7" s="1"/>
  <c r="H51" i="7"/>
  <c r="J51" i="7"/>
  <c r="L51" i="7"/>
  <c r="Z52" i="7"/>
  <c r="N54" i="7"/>
  <c r="G57" i="7"/>
  <c r="E57" i="7" s="1"/>
  <c r="H57" i="7"/>
  <c r="J57" i="7"/>
  <c r="L57" i="7"/>
  <c r="E58" i="7"/>
  <c r="G58" i="7"/>
  <c r="H58" i="7"/>
  <c r="J58" i="7"/>
  <c r="L58" i="7"/>
  <c r="F58" i="7" s="1"/>
  <c r="N61" i="7"/>
  <c r="H63" i="7"/>
  <c r="L63" i="7"/>
  <c r="H64" i="7"/>
  <c r="L64" i="7"/>
  <c r="H65" i="7"/>
  <c r="L65" i="7"/>
  <c r="G66" i="7"/>
  <c r="E66" i="7" s="1"/>
  <c r="J66" i="7"/>
  <c r="L66" i="7"/>
  <c r="L68" i="7" s="1"/>
  <c r="L69" i="7" s="1"/>
  <c r="H12" i="6" s="1"/>
  <c r="I12" i="8" s="1"/>
  <c r="E67" i="7"/>
  <c r="G67" i="7"/>
  <c r="H67" i="7"/>
  <c r="J67" i="7"/>
  <c r="F67" i="7" s="1"/>
  <c r="L67" i="7"/>
  <c r="Z67" i="7"/>
  <c r="N70" i="7"/>
  <c r="H72" i="7"/>
  <c r="L72" i="7"/>
  <c r="H73" i="7"/>
  <c r="L73" i="7"/>
  <c r="H74" i="7"/>
  <c r="L74" i="7"/>
  <c r="E75" i="7"/>
  <c r="F75" i="7"/>
  <c r="G75" i="7"/>
  <c r="H75" i="7"/>
  <c r="J75" i="7"/>
  <c r="L75" i="7"/>
  <c r="Z75" i="7"/>
  <c r="E76" i="7"/>
  <c r="F76" i="7"/>
  <c r="G76" i="7"/>
  <c r="H76" i="7" s="1"/>
  <c r="H77" i="7" s="1"/>
  <c r="H78" i="7" s="1"/>
  <c r="F13" i="6" s="1"/>
  <c r="G13" i="8" s="1"/>
  <c r="J76" i="7"/>
  <c r="L76" i="7"/>
  <c r="Z76" i="7"/>
  <c r="L77" i="7"/>
  <c r="L78" i="7" s="1"/>
  <c r="H13" i="6" s="1"/>
  <c r="I13" i="8" s="1"/>
  <c r="N79" i="7"/>
  <c r="E83" i="7"/>
  <c r="F83" i="7"/>
  <c r="G83" i="7"/>
  <c r="H83" i="7"/>
  <c r="J83" i="7"/>
  <c r="L83" i="7"/>
  <c r="Z83" i="7"/>
  <c r="N86" i="7"/>
  <c r="H88" i="7"/>
  <c r="L88" i="7"/>
  <c r="Z89" i="7"/>
  <c r="Z91" i="7"/>
  <c r="Z92" i="7"/>
  <c r="H93" i="7"/>
  <c r="L93" i="7"/>
  <c r="N98" i="7"/>
  <c r="H100" i="7"/>
  <c r="L100" i="7"/>
  <c r="H105" i="7"/>
  <c r="L105" i="7"/>
  <c r="Z107" i="7"/>
  <c r="N110" i="7"/>
  <c r="H112" i="7"/>
  <c r="L112" i="7"/>
  <c r="Z113" i="7"/>
  <c r="Z114" i="7"/>
  <c r="H117" i="7"/>
  <c r="L117" i="7"/>
  <c r="N122" i="7"/>
  <c r="H124" i="7"/>
  <c r="L124" i="7"/>
  <c r="Z127" i="7"/>
  <c r="N131" i="7"/>
  <c r="H133" i="7"/>
  <c r="L133" i="7"/>
  <c r="Z134" i="7"/>
  <c r="N140" i="7"/>
  <c r="H143" i="7"/>
  <c r="L143" i="7"/>
  <c r="E144" i="7"/>
  <c r="G144" i="7"/>
  <c r="H144" i="7"/>
  <c r="J144" i="7"/>
  <c r="F144" i="7" s="1"/>
  <c r="L144" i="7"/>
  <c r="G145" i="7"/>
  <c r="E145" i="7" s="1"/>
  <c r="H145" i="7"/>
  <c r="J145" i="7"/>
  <c r="F145" i="7" s="1"/>
  <c r="L145" i="7"/>
  <c r="E146" i="7"/>
  <c r="H146" i="7"/>
  <c r="J146" i="7"/>
  <c r="L146" i="7"/>
  <c r="N150" i="7"/>
  <c r="H153" i="7"/>
  <c r="L153" i="7"/>
  <c r="E154" i="7"/>
  <c r="G154" i="7"/>
  <c r="H154" i="7"/>
  <c r="J154" i="7"/>
  <c r="F154" i="7" s="1"/>
  <c r="L154" i="7"/>
  <c r="Z154" i="7"/>
  <c r="E155" i="7"/>
  <c r="G155" i="7"/>
  <c r="H155" i="7" s="1"/>
  <c r="F155" i="7" s="1"/>
  <c r="J155" i="7"/>
  <c r="L155" i="7"/>
  <c r="Z155" i="7"/>
  <c r="E156" i="7"/>
  <c r="H156" i="7"/>
  <c r="J156" i="7"/>
  <c r="L156" i="7"/>
  <c r="N160" i="7"/>
  <c r="Z166" i="7"/>
  <c r="Z168" i="7"/>
  <c r="Z169" i="7"/>
  <c r="Z170" i="7"/>
  <c r="Z171" i="7"/>
  <c r="H172" i="7"/>
  <c r="L172" i="7"/>
  <c r="N175" i="7"/>
  <c r="Z182" i="7"/>
  <c r="K183" i="7"/>
  <c r="L183" i="7" s="1"/>
  <c r="Z183" i="7"/>
  <c r="Z184" i="7"/>
  <c r="Z186" i="7"/>
  <c r="H187" i="7"/>
  <c r="L187" i="7"/>
  <c r="N190" i="7"/>
  <c r="N196" i="7"/>
  <c r="Z202" i="7"/>
  <c r="N205" i="7"/>
  <c r="Z207" i="7"/>
  <c r="Z208" i="7"/>
  <c r="N212" i="7"/>
  <c r="H214" i="7"/>
  <c r="L214" i="7"/>
  <c r="Z215" i="7"/>
  <c r="G217" i="7"/>
  <c r="H217" i="7" s="1"/>
  <c r="I217" i="7"/>
  <c r="K217" i="7"/>
  <c r="L217" i="7" s="1"/>
  <c r="N220" i="7"/>
  <c r="H222" i="7"/>
  <c r="L222" i="7"/>
  <c r="Z224" i="7"/>
  <c r="Z225" i="7"/>
  <c r="H227" i="7"/>
  <c r="L227" i="7"/>
  <c r="Z228" i="7"/>
  <c r="Z229" i="7"/>
  <c r="K231" i="7"/>
  <c r="L231" i="7"/>
  <c r="N234" i="7"/>
  <c r="Z238" i="7"/>
  <c r="Z240" i="7"/>
  <c r="Z241" i="7"/>
  <c r="N245" i="7"/>
  <c r="Z247" i="7"/>
  <c r="Z248" i="7"/>
  <c r="Z249" i="7"/>
  <c r="N256" i="7"/>
  <c r="H258" i="7"/>
  <c r="L258" i="7"/>
  <c r="G259" i="7"/>
  <c r="E259" i="7" s="1"/>
  <c r="H259" i="7"/>
  <c r="J259" i="7"/>
  <c r="F259" i="7" s="1"/>
  <c r="L259" i="7"/>
  <c r="G260" i="7"/>
  <c r="E260" i="7" s="1"/>
  <c r="H260" i="7"/>
  <c r="J260" i="7"/>
  <c r="F260" i="7" s="1"/>
  <c r="L260" i="7"/>
  <c r="Z260" i="7"/>
  <c r="E261" i="7"/>
  <c r="H261" i="7"/>
  <c r="J261" i="7"/>
  <c r="L261" i="7"/>
  <c r="N265" i="7"/>
  <c r="H268" i="7"/>
  <c r="L268" i="7"/>
  <c r="E269" i="7"/>
  <c r="G269" i="7"/>
  <c r="H269" i="7"/>
  <c r="J269" i="7"/>
  <c r="F269" i="7" s="1"/>
  <c r="L269" i="7"/>
  <c r="Z269" i="7"/>
  <c r="E270" i="7"/>
  <c r="G270" i="7"/>
  <c r="H270" i="7" s="1"/>
  <c r="J270" i="7"/>
  <c r="L270" i="7"/>
  <c r="Z270" i="7"/>
  <c r="K272" i="7"/>
  <c r="L272" i="7" s="1"/>
  <c r="N277" i="7"/>
  <c r="G281" i="7"/>
  <c r="E281" i="7" s="1"/>
  <c r="H281" i="7"/>
  <c r="J281" i="7"/>
  <c r="F281" i="7" s="1"/>
  <c r="L281" i="7"/>
  <c r="Z281" i="7"/>
  <c r="G282" i="7"/>
  <c r="E282" i="7" s="1"/>
  <c r="J282" i="7"/>
  <c r="L282" i="7"/>
  <c r="Z282" i="7"/>
  <c r="N287" i="7"/>
  <c r="H289" i="7"/>
  <c r="L289" i="7"/>
  <c r="Z291" i="7"/>
  <c r="Z293" i="7"/>
  <c r="N296" i="7"/>
  <c r="Z299" i="7"/>
  <c r="N302" i="7"/>
  <c r="Z305" i="7"/>
  <c r="H306" i="7"/>
  <c r="L306" i="7"/>
  <c r="N309" i="7"/>
  <c r="H314" i="7"/>
  <c r="L314" i="7"/>
  <c r="R2" i="18"/>
  <c r="D20" i="1" s="1"/>
  <c r="S4" i="18"/>
  <c r="V5" i="18"/>
  <c r="U5" i="18" s="1"/>
  <c r="W5" i="18" s="1"/>
  <c r="U6" i="18"/>
  <c r="W6" i="18" s="1"/>
  <c r="V6" i="18"/>
  <c r="V7" i="18"/>
  <c r="U7" i="18" s="1"/>
  <c r="W7" i="18" s="1"/>
  <c r="V8" i="18"/>
  <c r="U8" i="18" s="1"/>
  <c r="W8" i="18" s="1"/>
  <c r="V9" i="18"/>
  <c r="U9" i="18" s="1"/>
  <c r="W9" i="18" s="1"/>
  <c r="V10" i="18"/>
  <c r="U10" i="18" s="1"/>
  <c r="W10" i="18" s="1"/>
  <c r="V11" i="18"/>
  <c r="U11" i="18" s="1"/>
  <c r="W11" i="18" s="1"/>
  <c r="V12" i="18"/>
  <c r="U12" i="18" s="1"/>
  <c r="W12" i="18" s="1"/>
  <c r="V13" i="18"/>
  <c r="U13" i="18" s="1"/>
  <c r="W13" i="18"/>
  <c r="V14" i="18"/>
  <c r="U14" i="18" s="1"/>
  <c r="W14" i="18" s="1"/>
  <c r="V15" i="18"/>
  <c r="U15" i="18" s="1"/>
  <c r="W15" i="18" s="1"/>
  <c r="V16" i="18"/>
  <c r="U16" i="18" s="1"/>
  <c r="W16" i="18" s="1"/>
  <c r="V17" i="18"/>
  <c r="U17" i="18" s="1"/>
  <c r="W17" i="18"/>
  <c r="V18" i="18"/>
  <c r="U18" i="18" s="1"/>
  <c r="W18" i="18" s="1"/>
  <c r="V19" i="18"/>
  <c r="U19" i="18" s="1"/>
  <c r="W19" i="18" s="1"/>
  <c r="V20" i="18"/>
  <c r="U20" i="18" s="1"/>
  <c r="W20" i="18" s="1"/>
  <c r="V21" i="18"/>
  <c r="U21" i="18" s="1"/>
  <c r="W21" i="18" s="1"/>
  <c r="V22" i="18"/>
  <c r="U22" i="18" s="1"/>
  <c r="W22" i="18" s="1"/>
  <c r="V23" i="18"/>
  <c r="U23" i="18" s="1"/>
  <c r="W23" i="18" s="1"/>
  <c r="V24" i="18"/>
  <c r="U24" i="18" s="1"/>
  <c r="W24" i="18" s="1"/>
  <c r="V25" i="18"/>
  <c r="U25" i="18" s="1"/>
  <c r="W25" i="18"/>
  <c r="V26" i="18"/>
  <c r="U26" i="18" s="1"/>
  <c r="W26" i="18" s="1"/>
  <c r="V27" i="18"/>
  <c r="U27" i="18" s="1"/>
  <c r="W27" i="18" s="1"/>
  <c r="V28" i="18"/>
  <c r="U28" i="18" s="1"/>
  <c r="W28" i="18" s="1"/>
  <c r="V29" i="18"/>
  <c r="U29" i="18" s="1"/>
  <c r="W29" i="18" s="1"/>
  <c r="V30" i="18"/>
  <c r="U30" i="18" s="1"/>
  <c r="W30" i="18" s="1"/>
  <c r="V31" i="18"/>
  <c r="U31" i="18" s="1"/>
  <c r="W31" i="18" s="1"/>
  <c r="V32" i="18"/>
  <c r="U32" i="18" s="1"/>
  <c r="W32" i="18" s="1"/>
  <c r="V33" i="18"/>
  <c r="U33" i="18" s="1"/>
  <c r="W33" i="18"/>
  <c r="V34" i="18"/>
  <c r="U34" i="18" s="1"/>
  <c r="W34" i="18" s="1"/>
  <c r="V35" i="18"/>
  <c r="U35" i="18" s="1"/>
  <c r="W35" i="18" s="1"/>
  <c r="V36" i="18"/>
  <c r="U36" i="18" s="1"/>
  <c r="W36" i="18" s="1"/>
  <c r="S37" i="18"/>
  <c r="V37" i="18"/>
  <c r="U37" i="18" s="1"/>
  <c r="W37" i="18"/>
  <c r="V38" i="18"/>
  <c r="U38" i="18" s="1"/>
  <c r="W38" i="18" s="1"/>
  <c r="U39" i="18"/>
  <c r="W39" i="18" s="1"/>
  <c r="V39" i="18"/>
  <c r="V40" i="18"/>
  <c r="U40" i="18" s="1"/>
  <c r="W40" i="18"/>
  <c r="V41" i="18"/>
  <c r="U41" i="18" s="1"/>
  <c r="W41" i="18" s="1"/>
  <c r="S42" i="18"/>
  <c r="V42" i="18"/>
  <c r="U42" i="18" s="1"/>
  <c r="W42" i="18" s="1"/>
  <c r="V43" i="18"/>
  <c r="U43" i="18" s="1"/>
  <c r="W43" i="18" s="1"/>
  <c r="V44" i="18"/>
  <c r="U44" i="18" s="1"/>
  <c r="W44" i="18"/>
  <c r="V45" i="18"/>
  <c r="U45" i="18" s="1"/>
  <c r="W45" i="18" s="1"/>
  <c r="U46" i="18"/>
  <c r="W46" i="18" s="1"/>
  <c r="V46" i="18"/>
  <c r="U47" i="18"/>
  <c r="W47" i="18" s="1"/>
  <c r="V47" i="18"/>
  <c r="V48" i="18"/>
  <c r="U48" i="18" s="1"/>
  <c r="W48" i="18" s="1"/>
  <c r="V49" i="18"/>
  <c r="U49" i="18" s="1"/>
  <c r="W49" i="18" s="1"/>
  <c r="V50" i="18"/>
  <c r="U50" i="18" s="1"/>
  <c r="W50" i="18" s="1"/>
  <c r="G2" i="15"/>
  <c r="S20" i="18" s="1"/>
  <c r="H3" i="15"/>
  <c r="E4" i="15"/>
  <c r="G4" i="15"/>
  <c r="H4" i="15"/>
  <c r="E5" i="15"/>
  <c r="G5" i="15"/>
  <c r="E6" i="15"/>
  <c r="G6" i="15"/>
  <c r="E7" i="15"/>
  <c r="G7" i="15"/>
  <c r="E8" i="15"/>
  <c r="G8" i="15"/>
  <c r="E9" i="15"/>
  <c r="K923" i="10" s="1"/>
  <c r="G9" i="15"/>
  <c r="E10" i="15"/>
  <c r="K921" i="10" s="1"/>
  <c r="G10" i="15"/>
  <c r="E11" i="15"/>
  <c r="I214" i="7" s="1"/>
  <c r="G11" i="15"/>
  <c r="E12" i="15"/>
  <c r="G12" i="15"/>
  <c r="E13" i="15"/>
  <c r="G13" i="15"/>
  <c r="E14" i="15"/>
  <c r="G14" i="15"/>
  <c r="E15" i="15"/>
  <c r="G15" i="15"/>
  <c r="H15" i="15"/>
  <c r="E16" i="15"/>
  <c r="G16" i="15"/>
  <c r="E17" i="15"/>
  <c r="G17" i="15"/>
  <c r="E18" i="15"/>
  <c r="G18" i="15"/>
  <c r="E19" i="15"/>
  <c r="G19" i="15"/>
  <c r="E20" i="15"/>
  <c r="K505" i="10" s="1"/>
  <c r="G20" i="15"/>
  <c r="E21" i="15"/>
  <c r="I153" i="7" s="1"/>
  <c r="G21" i="15"/>
  <c r="E22" i="15"/>
  <c r="G22" i="15"/>
  <c r="H22" i="15"/>
  <c r="E23" i="15"/>
  <c r="G23" i="15"/>
  <c r="E24" i="15"/>
  <c r="G24" i="15"/>
  <c r="E25" i="15"/>
  <c r="G25" i="15"/>
  <c r="E26" i="15"/>
  <c r="G26" i="15"/>
  <c r="E27" i="15"/>
  <c r="G27" i="15"/>
  <c r="E28" i="15"/>
  <c r="G28" i="15"/>
  <c r="E29" i="15"/>
  <c r="G29" i="15"/>
  <c r="E30" i="15"/>
  <c r="K610" i="10" s="1"/>
  <c r="G30" i="15"/>
  <c r="E31" i="15"/>
  <c r="I49" i="7" s="1"/>
  <c r="G31" i="15"/>
  <c r="E32" i="15"/>
  <c r="G32" i="15"/>
  <c r="E33" i="15"/>
  <c r="G33" i="15"/>
  <c r="H33" i="15"/>
  <c r="E34" i="15"/>
  <c r="G34" i="15"/>
  <c r="E35" i="15"/>
  <c r="G35" i="15"/>
  <c r="E36" i="15"/>
  <c r="I222" i="7" s="1"/>
  <c r="G36" i="15"/>
  <c r="E37" i="15"/>
  <c r="I258" i="7" s="1"/>
  <c r="G37" i="15"/>
  <c r="E38" i="15"/>
  <c r="G38" i="15"/>
  <c r="E39" i="15"/>
  <c r="I268" i="7" s="1"/>
  <c r="G39" i="15"/>
  <c r="E40" i="15"/>
  <c r="G40" i="15"/>
  <c r="E41" i="15"/>
  <c r="G41" i="15"/>
  <c r="E42" i="15"/>
  <c r="G42" i="15"/>
  <c r="H42" i="15"/>
  <c r="E43" i="15"/>
  <c r="F25" i="19" s="1"/>
  <c r="G25" i="19" s="1"/>
  <c r="G43" i="15"/>
  <c r="E44" i="15"/>
  <c r="F26" i="19" s="1"/>
  <c r="G26" i="19" s="1"/>
  <c r="G44" i="15"/>
  <c r="H44" i="15"/>
  <c r="E45" i="15"/>
  <c r="F27" i="19" s="1"/>
  <c r="G27" i="19" s="1"/>
  <c r="G45" i="15"/>
  <c r="E46" i="15"/>
  <c r="G46" i="15"/>
  <c r="E47" i="15"/>
  <c r="F29" i="19" s="1"/>
  <c r="G47" i="15"/>
  <c r="E48" i="15"/>
  <c r="G48" i="15"/>
  <c r="E49" i="15"/>
  <c r="G49" i="15"/>
  <c r="I2" i="19"/>
  <c r="D21" i="1" s="1"/>
  <c r="J3" i="19"/>
  <c r="F6" i="19"/>
  <c r="G6" i="19" s="1"/>
  <c r="F7" i="19"/>
  <c r="G7" i="19"/>
  <c r="F8" i="19"/>
  <c r="G8" i="19"/>
  <c r="F9" i="19"/>
  <c r="G9" i="19"/>
  <c r="F10" i="19"/>
  <c r="G10" i="19" s="1"/>
  <c r="F11" i="19"/>
  <c r="G11" i="19" s="1"/>
  <c r="F12" i="19"/>
  <c r="G12" i="19" s="1"/>
  <c r="J12" i="19"/>
  <c r="J14" i="19"/>
  <c r="F16" i="19"/>
  <c r="G16" i="19" s="1"/>
  <c r="F17" i="19"/>
  <c r="G17" i="19"/>
  <c r="F18" i="19"/>
  <c r="G18" i="19" s="1"/>
  <c r="F19" i="19"/>
  <c r="G19" i="19"/>
  <c r="J21" i="19"/>
  <c r="F22" i="19"/>
  <c r="G22" i="19" s="1"/>
  <c r="F23" i="19"/>
  <c r="G23" i="19" s="1"/>
  <c r="F24" i="19"/>
  <c r="G24" i="19" s="1"/>
  <c r="J24" i="19"/>
  <c r="J25" i="19"/>
  <c r="F28" i="19"/>
  <c r="G28" i="19"/>
  <c r="G29" i="19"/>
  <c r="F30" i="19"/>
  <c r="G30" i="19"/>
  <c r="F31" i="19"/>
  <c r="G31" i="19" s="1"/>
  <c r="J2" i="13"/>
  <c r="L17" i="22" s="1"/>
  <c r="K3" i="13"/>
  <c r="J4" i="13"/>
  <c r="J5" i="13"/>
  <c r="J6" i="13"/>
  <c r="J7" i="13"/>
  <c r="J8" i="13"/>
  <c r="J9" i="13"/>
  <c r="K9" i="13"/>
  <c r="J10" i="13"/>
  <c r="J11" i="13"/>
  <c r="K11" i="13"/>
  <c r="J12" i="13"/>
  <c r="J13" i="13"/>
  <c r="J14" i="13"/>
  <c r="J15" i="13"/>
  <c r="J16" i="13"/>
  <c r="J17" i="13"/>
  <c r="J18" i="13"/>
  <c r="K18" i="13"/>
  <c r="J19" i="13"/>
  <c r="J20" i="13"/>
  <c r="J21" i="13"/>
  <c r="K21" i="13"/>
  <c r="J22" i="13"/>
  <c r="J23" i="13"/>
  <c r="J24" i="13"/>
  <c r="J25" i="13"/>
  <c r="J26" i="13"/>
  <c r="J27" i="13"/>
  <c r="J28" i="13"/>
  <c r="N2" i="14"/>
  <c r="K19" i="13" s="1"/>
  <c r="Z4" i="14"/>
  <c r="N5" i="14"/>
  <c r="E7" i="14"/>
  <c r="H7" i="14"/>
  <c r="J7" i="14"/>
  <c r="F7" i="14" s="1"/>
  <c r="K7" i="14"/>
  <c r="L7" i="14"/>
  <c r="J8" i="14"/>
  <c r="L8" i="14"/>
  <c r="H9" i="14"/>
  <c r="I9" i="14"/>
  <c r="E9" i="14" s="1"/>
  <c r="L9" i="14"/>
  <c r="L11" i="14" s="1"/>
  <c r="H4" i="13" s="1"/>
  <c r="H10" i="14"/>
  <c r="L10" i="14"/>
  <c r="N12" i="14"/>
  <c r="E14" i="14"/>
  <c r="H14" i="14"/>
  <c r="J14" i="14"/>
  <c r="K14" i="14"/>
  <c r="L14" i="14"/>
  <c r="F14" i="14" s="1"/>
  <c r="Z14" i="14"/>
  <c r="J15" i="14"/>
  <c r="L15" i="14"/>
  <c r="E16" i="14"/>
  <c r="H16" i="14"/>
  <c r="F16" i="14" s="1"/>
  <c r="I16" i="14"/>
  <c r="J16" i="14"/>
  <c r="I17" i="14" s="1"/>
  <c r="L16" i="14"/>
  <c r="Z16" i="14"/>
  <c r="H17" i="14"/>
  <c r="L17" i="14"/>
  <c r="L18" i="14"/>
  <c r="H5" i="13" s="1"/>
  <c r="N19" i="14"/>
  <c r="E21" i="14"/>
  <c r="H21" i="14"/>
  <c r="J21" i="14"/>
  <c r="K21" i="14"/>
  <c r="L21" i="14" s="1"/>
  <c r="J22" i="14"/>
  <c r="L22" i="14"/>
  <c r="E23" i="14"/>
  <c r="F23" i="14"/>
  <c r="H23" i="14"/>
  <c r="I23" i="14"/>
  <c r="J23" i="14" s="1"/>
  <c r="I24" i="14" s="1"/>
  <c r="L23" i="14"/>
  <c r="H24" i="14"/>
  <c r="L24" i="14"/>
  <c r="N26" i="14"/>
  <c r="E28" i="14"/>
  <c r="H28" i="14"/>
  <c r="J28" i="14"/>
  <c r="F28" i="14" s="1"/>
  <c r="K28" i="14"/>
  <c r="L28" i="14" s="1"/>
  <c r="L32" i="14" s="1"/>
  <c r="H7" i="13" s="1"/>
  <c r="J29" i="14"/>
  <c r="L29" i="14"/>
  <c r="E30" i="14"/>
  <c r="H30" i="14"/>
  <c r="I30" i="14"/>
  <c r="J30" i="14"/>
  <c r="L30" i="14"/>
  <c r="H31" i="14"/>
  <c r="L31" i="14"/>
  <c r="N33" i="14"/>
  <c r="H35" i="14"/>
  <c r="J35" i="14"/>
  <c r="K35" i="14"/>
  <c r="E35" i="14" s="1"/>
  <c r="L35" i="14"/>
  <c r="L39" i="14" s="1"/>
  <c r="H8" i="13" s="1"/>
  <c r="Z35" i="14"/>
  <c r="J36" i="14"/>
  <c r="L36" i="14"/>
  <c r="E37" i="14"/>
  <c r="H37" i="14"/>
  <c r="I37" i="14"/>
  <c r="J37" i="14"/>
  <c r="I38" i="14" s="1"/>
  <c r="E38" i="14" s="1"/>
  <c r="L37" i="14"/>
  <c r="F37" i="14" s="1"/>
  <c r="F38" i="14"/>
  <c r="H38" i="14"/>
  <c r="J38" i="14"/>
  <c r="J39" i="14" s="1"/>
  <c r="G8" i="13" s="1"/>
  <c r="L38" i="14"/>
  <c r="Z38" i="14"/>
  <c r="N40" i="14"/>
  <c r="H42" i="14"/>
  <c r="J42" i="14"/>
  <c r="K42" i="14"/>
  <c r="E42" i="14" s="1"/>
  <c r="Z42" i="14"/>
  <c r="J43" i="14"/>
  <c r="L43" i="14"/>
  <c r="H44" i="14"/>
  <c r="I44" i="14"/>
  <c r="E44" i="14" s="1"/>
  <c r="L44" i="14"/>
  <c r="H45" i="14"/>
  <c r="L45" i="14"/>
  <c r="N47" i="14"/>
  <c r="F49" i="14"/>
  <c r="H49" i="14"/>
  <c r="J49" i="14"/>
  <c r="K49" i="14"/>
  <c r="E49" i="14" s="1"/>
  <c r="L49" i="14"/>
  <c r="Z49" i="14"/>
  <c r="F50" i="14"/>
  <c r="H50" i="14"/>
  <c r="J50" i="14"/>
  <c r="K50" i="14"/>
  <c r="L50" i="14" s="1"/>
  <c r="Z50" i="14"/>
  <c r="J51" i="14"/>
  <c r="L51" i="14"/>
  <c r="H52" i="14"/>
  <c r="I52" i="14"/>
  <c r="E52" i="14" s="1"/>
  <c r="L52" i="14"/>
  <c r="Z52" i="14"/>
  <c r="H53" i="14"/>
  <c r="L53" i="14"/>
  <c r="N55" i="14"/>
  <c r="H57" i="14"/>
  <c r="J57" i="14"/>
  <c r="K57" i="14"/>
  <c r="E57" i="14" s="1"/>
  <c r="Z57" i="14"/>
  <c r="J58" i="14"/>
  <c r="L58" i="14"/>
  <c r="F59" i="14"/>
  <c r="H59" i="14"/>
  <c r="I59" i="14"/>
  <c r="E59" i="14" s="1"/>
  <c r="J59" i="14"/>
  <c r="L59" i="14"/>
  <c r="Z59" i="14"/>
  <c r="H60" i="14"/>
  <c r="I60" i="14"/>
  <c r="L60" i="14"/>
  <c r="N62" i="14"/>
  <c r="E64" i="14"/>
  <c r="F64" i="14"/>
  <c r="H64" i="14"/>
  <c r="J64" i="14"/>
  <c r="K64" i="14"/>
  <c r="L64" i="14" s="1"/>
  <c r="Z64" i="14"/>
  <c r="J65" i="14"/>
  <c r="L65" i="14"/>
  <c r="L68" i="14" s="1"/>
  <c r="H12" i="13" s="1"/>
  <c r="H66" i="14"/>
  <c r="I66" i="14"/>
  <c r="E66" i="14" s="1"/>
  <c r="L66" i="14"/>
  <c r="Z66" i="14"/>
  <c r="H67" i="14"/>
  <c r="L67" i="14"/>
  <c r="N69" i="14"/>
  <c r="E71" i="14"/>
  <c r="H71" i="14"/>
  <c r="J71" i="14"/>
  <c r="F71" i="14" s="1"/>
  <c r="K71" i="14"/>
  <c r="L71" i="14"/>
  <c r="L75" i="14" s="1"/>
  <c r="H13" i="13" s="1"/>
  <c r="Z71" i="14"/>
  <c r="J72" i="14"/>
  <c r="L72" i="14"/>
  <c r="E73" i="14"/>
  <c r="H73" i="14"/>
  <c r="F73" i="14" s="1"/>
  <c r="I73" i="14"/>
  <c r="J73" i="14"/>
  <c r="I74" i="14" s="1"/>
  <c r="L73" i="14"/>
  <c r="E74" i="14"/>
  <c r="H74" i="14"/>
  <c r="J74" i="14"/>
  <c r="F74" i="14" s="1"/>
  <c r="L74" i="14"/>
  <c r="J75" i="14"/>
  <c r="N76" i="14"/>
  <c r="E78" i="14"/>
  <c r="H78" i="14"/>
  <c r="J78" i="14"/>
  <c r="K78" i="14"/>
  <c r="L78" i="14" s="1"/>
  <c r="L79" i="14" s="1"/>
  <c r="H14" i="13" s="1"/>
  <c r="Z78" i="14"/>
  <c r="J79" i="14"/>
  <c r="G14" i="13" s="1"/>
  <c r="N80" i="14"/>
  <c r="H82" i="14"/>
  <c r="J82" i="14"/>
  <c r="K82" i="14"/>
  <c r="E82" i="14" s="1"/>
  <c r="Z82" i="14"/>
  <c r="J83" i="14"/>
  <c r="L83" i="14"/>
  <c r="E84" i="14"/>
  <c r="H84" i="14"/>
  <c r="I84" i="14"/>
  <c r="J84" i="14"/>
  <c r="L84" i="14"/>
  <c r="F85" i="14"/>
  <c r="H85" i="14"/>
  <c r="I85" i="14"/>
  <c r="E85" i="14" s="1"/>
  <c r="J85" i="14"/>
  <c r="J86" i="14" s="1"/>
  <c r="L85" i="14"/>
  <c r="N87" i="14"/>
  <c r="E89" i="14"/>
  <c r="H89" i="14"/>
  <c r="J89" i="14"/>
  <c r="K89" i="14"/>
  <c r="L89" i="14"/>
  <c r="L93" i="14" s="1"/>
  <c r="H16" i="13" s="1"/>
  <c r="Z89" i="14"/>
  <c r="J90" i="14"/>
  <c r="L90" i="14"/>
  <c r="H91" i="14"/>
  <c r="I91" i="14"/>
  <c r="E91" i="14" s="1"/>
  <c r="J91" i="14"/>
  <c r="F91" i="14" s="1"/>
  <c r="L91" i="14"/>
  <c r="H92" i="14"/>
  <c r="I92" i="14"/>
  <c r="E92" i="14" s="1"/>
  <c r="L92" i="14"/>
  <c r="Z92" i="14"/>
  <c r="N94" i="14"/>
  <c r="H96" i="14"/>
  <c r="J96" i="14"/>
  <c r="F96" i="14" s="1"/>
  <c r="K96" i="14"/>
  <c r="L96" i="14" s="1"/>
  <c r="L100" i="14" s="1"/>
  <c r="H17" i="13" s="1"/>
  <c r="Z96" i="14"/>
  <c r="J97" i="14"/>
  <c r="L97" i="14"/>
  <c r="E98" i="14"/>
  <c r="H98" i="14"/>
  <c r="F98" i="14" s="1"/>
  <c r="I98" i="14"/>
  <c r="J98" i="14"/>
  <c r="L98" i="14"/>
  <c r="Z98" i="14"/>
  <c r="H99" i="14"/>
  <c r="I99" i="14"/>
  <c r="L99" i="14"/>
  <c r="N101" i="14"/>
  <c r="E103" i="14"/>
  <c r="H103" i="14"/>
  <c r="J103" i="14"/>
  <c r="K103" i="14"/>
  <c r="L103" i="14"/>
  <c r="Z103" i="14"/>
  <c r="J104" i="14"/>
  <c r="L104" i="14"/>
  <c r="H105" i="14"/>
  <c r="I105" i="14"/>
  <c r="L105" i="14"/>
  <c r="L107" i="14" s="1"/>
  <c r="H18" i="13" s="1"/>
  <c r="E106" i="14"/>
  <c r="F106" i="14"/>
  <c r="H106" i="14"/>
  <c r="J106" i="14"/>
  <c r="L106" i="14"/>
  <c r="N108" i="14"/>
  <c r="E110" i="14"/>
  <c r="H110" i="14"/>
  <c r="J110" i="14"/>
  <c r="K110" i="14"/>
  <c r="L110" i="14"/>
  <c r="L114" i="14" s="1"/>
  <c r="H19" i="13" s="1"/>
  <c r="Z110" i="14"/>
  <c r="J111" i="14"/>
  <c r="L111" i="14"/>
  <c r="H112" i="14"/>
  <c r="I112" i="14"/>
  <c r="E112" i="14" s="1"/>
  <c r="L112" i="14"/>
  <c r="H113" i="14"/>
  <c r="L113" i="14"/>
  <c r="N115" i="14"/>
  <c r="H117" i="14"/>
  <c r="J117" i="14"/>
  <c r="K117" i="14"/>
  <c r="E117" i="14" s="1"/>
  <c r="L117" i="14"/>
  <c r="Z117" i="14"/>
  <c r="J118" i="14"/>
  <c r="L118" i="14"/>
  <c r="E119" i="14"/>
  <c r="F119" i="14"/>
  <c r="H119" i="14"/>
  <c r="I119" i="14"/>
  <c r="J119" i="14"/>
  <c r="L119" i="14"/>
  <c r="F120" i="14"/>
  <c r="H120" i="14"/>
  <c r="I120" i="14"/>
  <c r="E120" i="14" s="1"/>
  <c r="J120" i="14"/>
  <c r="J121" i="14" s="1"/>
  <c r="L120" i="14"/>
  <c r="N122" i="14"/>
  <c r="H124" i="14"/>
  <c r="J124" i="14"/>
  <c r="K124" i="14"/>
  <c r="E124" i="14" s="1"/>
  <c r="Z124" i="14"/>
  <c r="H125" i="14"/>
  <c r="F21" i="13" s="1"/>
  <c r="G19" i="22" s="1"/>
  <c r="J125" i="14"/>
  <c r="G21" i="13" s="1"/>
  <c r="H19" i="22" s="1"/>
  <c r="N126" i="14"/>
  <c r="H128" i="14"/>
  <c r="J128" i="14"/>
  <c r="K128" i="14"/>
  <c r="E128" i="14" s="1"/>
  <c r="Z128" i="14"/>
  <c r="J129" i="14"/>
  <c r="L129" i="14"/>
  <c r="E130" i="14"/>
  <c r="H130" i="14"/>
  <c r="I130" i="14"/>
  <c r="J130" i="14" s="1"/>
  <c r="L130" i="14"/>
  <c r="H131" i="14"/>
  <c r="L131" i="14"/>
  <c r="N133" i="14"/>
  <c r="H135" i="14"/>
  <c r="J135" i="14"/>
  <c r="K135" i="14"/>
  <c r="L135" i="14" s="1"/>
  <c r="Z135" i="14"/>
  <c r="H136" i="14"/>
  <c r="J136" i="14"/>
  <c r="K136" i="14"/>
  <c r="E136" i="14" s="1"/>
  <c r="Z136" i="14"/>
  <c r="J137" i="14"/>
  <c r="L137" i="14"/>
  <c r="H138" i="14"/>
  <c r="I138" i="14"/>
  <c r="L138" i="14"/>
  <c r="Z138" i="14"/>
  <c r="H139" i="14"/>
  <c r="L139" i="14"/>
  <c r="Z139" i="14"/>
  <c r="N141" i="14"/>
  <c r="E143" i="14"/>
  <c r="H143" i="14"/>
  <c r="J143" i="14"/>
  <c r="K143" i="14"/>
  <c r="L143" i="14"/>
  <c r="Z143" i="14"/>
  <c r="J144" i="14"/>
  <c r="L144" i="14"/>
  <c r="E145" i="14"/>
  <c r="H145" i="14"/>
  <c r="I145" i="14"/>
  <c r="J145" i="14"/>
  <c r="L145" i="14"/>
  <c r="F145" i="14" s="1"/>
  <c r="Z145" i="14"/>
  <c r="H146" i="14"/>
  <c r="I146" i="14"/>
  <c r="E146" i="14" s="1"/>
  <c r="L146" i="14"/>
  <c r="N148" i="14"/>
  <c r="H150" i="14"/>
  <c r="J150" i="14"/>
  <c r="K150" i="14"/>
  <c r="E150" i="14" s="1"/>
  <c r="H151" i="14"/>
  <c r="J151" i="14"/>
  <c r="K151" i="14"/>
  <c r="Z151" i="14"/>
  <c r="J152" i="14"/>
  <c r="L152" i="14"/>
  <c r="E153" i="14"/>
  <c r="F153" i="14"/>
  <c r="H153" i="14"/>
  <c r="I153" i="14"/>
  <c r="J153" i="14"/>
  <c r="L153" i="14"/>
  <c r="H154" i="14"/>
  <c r="I154" i="14"/>
  <c r="L154" i="14"/>
  <c r="Z154" i="14"/>
  <c r="N156" i="14"/>
  <c r="E158" i="14"/>
  <c r="H158" i="14"/>
  <c r="J158" i="14"/>
  <c r="K158" i="14"/>
  <c r="L158" i="14"/>
  <c r="L162" i="14" s="1"/>
  <c r="H26" i="13" s="1"/>
  <c r="L998" i="10" s="1"/>
  <c r="Z158" i="14"/>
  <c r="G159" i="14"/>
  <c r="H159" i="14" s="1"/>
  <c r="H162" i="14" s="1"/>
  <c r="F26" i="13" s="1"/>
  <c r="J159" i="14"/>
  <c r="L159" i="14"/>
  <c r="H160" i="14"/>
  <c r="I160" i="14"/>
  <c r="E160" i="14" s="1"/>
  <c r="L160" i="14"/>
  <c r="H161" i="14"/>
  <c r="L161" i="14"/>
  <c r="Z161" i="14"/>
  <c r="N163" i="14"/>
  <c r="E165" i="14"/>
  <c r="H165" i="14"/>
  <c r="J165" i="14"/>
  <c r="K165" i="14"/>
  <c r="L165" i="14"/>
  <c r="Z165" i="14"/>
  <c r="J166" i="14"/>
  <c r="L166" i="14"/>
  <c r="H167" i="14"/>
  <c r="I167" i="14"/>
  <c r="E167" i="14" s="1"/>
  <c r="L167" i="14"/>
  <c r="H168" i="14"/>
  <c r="L168" i="14"/>
  <c r="N170" i="14"/>
  <c r="H172" i="14"/>
  <c r="J172" i="14"/>
  <c r="K172" i="14"/>
  <c r="E172" i="14" s="1"/>
  <c r="Z172" i="14"/>
  <c r="J173" i="14"/>
  <c r="L173" i="14"/>
  <c r="E174" i="14"/>
  <c r="H174" i="14"/>
  <c r="I174" i="14"/>
  <c r="J174" i="14"/>
  <c r="F174" i="14" s="1"/>
  <c r="L174" i="14"/>
  <c r="H175" i="14"/>
  <c r="L175" i="14"/>
  <c r="E176" i="14"/>
  <c r="F176" i="14"/>
  <c r="H176" i="14"/>
  <c r="J176" i="14"/>
  <c r="K176" i="14"/>
  <c r="L176" i="14"/>
  <c r="K2" i="22"/>
  <c r="D24" i="1" s="1"/>
  <c r="L3" i="22"/>
  <c r="L4" i="22"/>
  <c r="L5" i="22"/>
  <c r="L13" i="22"/>
  <c r="L16" i="22"/>
  <c r="L18" i="22"/>
  <c r="L20" i="22"/>
  <c r="L21" i="22"/>
  <c r="L22" i="22"/>
  <c r="O2" i="5"/>
  <c r="Q11" i="4" s="1"/>
  <c r="AC4" i="5"/>
  <c r="O5" i="5"/>
  <c r="O6" i="5"/>
  <c r="O7" i="5"/>
  <c r="O8" i="5"/>
  <c r="L9" i="5"/>
  <c r="M9" i="5" s="1"/>
  <c r="AC9" i="5"/>
  <c r="H10" i="5"/>
  <c r="I10" i="5" s="1"/>
  <c r="L10" i="5"/>
  <c r="M10" i="5"/>
  <c r="O13" i="5"/>
  <c r="AC15" i="5"/>
  <c r="O18" i="5"/>
  <c r="AC19" i="5"/>
  <c r="AC21" i="5"/>
  <c r="O23" i="5"/>
  <c r="AC25" i="5"/>
  <c r="O27" i="5"/>
  <c r="H28" i="5"/>
  <c r="J28" i="5"/>
  <c r="K28" i="5" s="1"/>
  <c r="L28" i="5"/>
  <c r="M28" i="5"/>
  <c r="AC30" i="5"/>
  <c r="AC32" i="5"/>
  <c r="O34" i="5"/>
  <c r="AC36" i="5"/>
  <c r="AC37" i="5"/>
  <c r="O39" i="5"/>
  <c r="O40" i="5"/>
  <c r="AC41" i="5"/>
  <c r="AC42" i="5"/>
  <c r="AC43" i="5"/>
  <c r="AC45" i="5"/>
  <c r="O47" i="5"/>
  <c r="AC49" i="5"/>
  <c r="AC51" i="5"/>
  <c r="AC52" i="5"/>
  <c r="O54" i="5"/>
  <c r="AC55" i="5"/>
  <c r="AC56" i="5"/>
  <c r="I57" i="5"/>
  <c r="J57" i="5"/>
  <c r="M57" i="5"/>
  <c r="AC57" i="5"/>
  <c r="AC58" i="5"/>
  <c r="O60" i="5"/>
  <c r="H61" i="5"/>
  <c r="I61" i="5" s="1"/>
  <c r="J61" i="5"/>
  <c r="K61" i="5" s="1"/>
  <c r="AC61" i="5"/>
  <c r="H62" i="5"/>
  <c r="I62" i="5"/>
  <c r="J62" i="5"/>
  <c r="K62" i="5" s="1"/>
  <c r="AC62" i="5"/>
  <c r="H63" i="5"/>
  <c r="I63" i="5" s="1"/>
  <c r="J63" i="5"/>
  <c r="K63" i="5" s="1"/>
  <c r="AC63" i="5"/>
  <c r="H64" i="5"/>
  <c r="I64" i="5" s="1"/>
  <c r="J64" i="5"/>
  <c r="K64" i="5" s="1"/>
  <c r="H65" i="5"/>
  <c r="I65" i="5" s="1"/>
  <c r="J65" i="5"/>
  <c r="AC65" i="5"/>
  <c r="H66" i="5"/>
  <c r="I66" i="5"/>
  <c r="J66" i="5"/>
  <c r="I68" i="5"/>
  <c r="E18" i="4" s="1"/>
  <c r="O68" i="5"/>
  <c r="I69" i="5"/>
  <c r="J69" i="5"/>
  <c r="M69" i="5"/>
  <c r="I70" i="5"/>
  <c r="J70" i="5"/>
  <c r="M70" i="5"/>
  <c r="I71" i="5"/>
  <c r="J71" i="5"/>
  <c r="F71" i="5" s="1"/>
  <c r="M71" i="5"/>
  <c r="AC71" i="5"/>
  <c r="F72" i="5"/>
  <c r="I72" i="5"/>
  <c r="J72" i="5"/>
  <c r="K72" i="5" s="1"/>
  <c r="G72" i="5" s="1"/>
  <c r="M72" i="5"/>
  <c r="AC72" i="5"/>
  <c r="O85" i="5"/>
  <c r="O86" i="5"/>
  <c r="O87" i="5"/>
  <c r="L88" i="5"/>
  <c r="M88" i="5" s="1"/>
  <c r="H89" i="5"/>
  <c r="I89" i="5" s="1"/>
  <c r="L89" i="5"/>
  <c r="M89" i="5" s="1"/>
  <c r="AC89" i="5"/>
  <c r="AC90" i="5"/>
  <c r="O92" i="5"/>
  <c r="AC93" i="5"/>
  <c r="AC94" i="5"/>
  <c r="O97" i="5"/>
  <c r="AC98" i="5"/>
  <c r="AC99" i="5"/>
  <c r="AC100" i="5"/>
  <c r="O102" i="5"/>
  <c r="AC103" i="5"/>
  <c r="O106" i="5"/>
  <c r="H107" i="5"/>
  <c r="I107" i="5" s="1"/>
  <c r="J107" i="5"/>
  <c r="L107" i="5"/>
  <c r="M107" i="5" s="1"/>
  <c r="AC107" i="5"/>
  <c r="AC108" i="5"/>
  <c r="AC109" i="5"/>
  <c r="AC111" i="5"/>
  <c r="O113" i="5"/>
  <c r="AC114" i="5"/>
  <c r="AC115" i="5"/>
  <c r="O118" i="5"/>
  <c r="O119" i="5"/>
  <c r="AC121" i="5"/>
  <c r="O124" i="5"/>
  <c r="AC125" i="5"/>
  <c r="AC126" i="5"/>
  <c r="AC127" i="5"/>
  <c r="AC128" i="5"/>
  <c r="AC130" i="5"/>
  <c r="O132" i="5"/>
  <c r="AC133" i="5"/>
  <c r="AC134" i="5"/>
  <c r="I135" i="5"/>
  <c r="J135" i="5"/>
  <c r="K135" i="5" s="1"/>
  <c r="G135" i="5" s="1"/>
  <c r="M135" i="5"/>
  <c r="O137" i="5"/>
  <c r="H138" i="5"/>
  <c r="I138" i="5"/>
  <c r="J138" i="5"/>
  <c r="K138" i="5" s="1"/>
  <c r="AC138" i="5"/>
  <c r="H139" i="5"/>
  <c r="I139" i="5" s="1"/>
  <c r="J139" i="5"/>
  <c r="K139" i="5" s="1"/>
  <c r="H140" i="5"/>
  <c r="I140" i="5" s="1"/>
  <c r="J140" i="5"/>
  <c r="K140" i="5" s="1"/>
  <c r="AC140" i="5"/>
  <c r="H141" i="5"/>
  <c r="I141" i="5" s="1"/>
  <c r="J141" i="5"/>
  <c r="H142" i="5"/>
  <c r="I142" i="5"/>
  <c r="J142" i="5"/>
  <c r="K142" i="5" s="1"/>
  <c r="AC142" i="5"/>
  <c r="H143" i="5"/>
  <c r="I143" i="5" s="1"/>
  <c r="J143" i="5"/>
  <c r="AC143" i="5"/>
  <c r="O145" i="5"/>
  <c r="I146" i="5"/>
  <c r="J146" i="5"/>
  <c r="F146" i="5" s="1"/>
  <c r="K146" i="5"/>
  <c r="M146" i="5"/>
  <c r="F147" i="5"/>
  <c r="I147" i="5"/>
  <c r="J147" i="5"/>
  <c r="K147" i="5"/>
  <c r="G147" i="5" s="1"/>
  <c r="M147" i="5"/>
  <c r="AC147" i="5"/>
  <c r="I148" i="5"/>
  <c r="J148" i="5"/>
  <c r="F148" i="5" s="1"/>
  <c r="K148" i="5"/>
  <c r="M148" i="5"/>
  <c r="F149" i="5"/>
  <c r="I149" i="5"/>
  <c r="J149" i="5"/>
  <c r="K149" i="5" s="1"/>
  <c r="M149" i="5"/>
  <c r="O165" i="5"/>
  <c r="O166" i="5"/>
  <c r="O167" i="5"/>
  <c r="L168" i="5"/>
  <c r="M168" i="5" s="1"/>
  <c r="AC168" i="5"/>
  <c r="H169" i="5"/>
  <c r="I169" i="5" s="1"/>
  <c r="L169" i="5"/>
  <c r="M169" i="5"/>
  <c r="AC170" i="5"/>
  <c r="O172" i="5"/>
  <c r="AC173" i="5"/>
  <c r="AC174" i="5"/>
  <c r="O177" i="5"/>
  <c r="AC180" i="5"/>
  <c r="O182" i="5"/>
  <c r="AC183" i="5"/>
  <c r="AC184" i="5"/>
  <c r="O186" i="5"/>
  <c r="H187" i="5"/>
  <c r="I187" i="5" s="1"/>
  <c r="J187" i="5"/>
  <c r="K187" i="5" s="1"/>
  <c r="L187" i="5"/>
  <c r="M187" i="5" s="1"/>
  <c r="AC187" i="5"/>
  <c r="AC189" i="5"/>
  <c r="O193" i="5"/>
  <c r="AC195" i="5"/>
  <c r="AC196" i="5"/>
  <c r="O198" i="5"/>
  <c r="O199" i="5"/>
  <c r="AC200" i="5"/>
  <c r="AC202" i="5"/>
  <c r="O204" i="5"/>
  <c r="AC205" i="5"/>
  <c r="AC206" i="5"/>
  <c r="AC207" i="5"/>
  <c r="AC208" i="5"/>
  <c r="AC209" i="5"/>
  <c r="AC211" i="5"/>
  <c r="O214" i="5"/>
  <c r="AC215" i="5"/>
  <c r="I216" i="5"/>
  <c r="J216" i="5"/>
  <c r="K216" i="5" s="1"/>
  <c r="M216" i="5"/>
  <c r="O218" i="5"/>
  <c r="H219" i="5"/>
  <c r="I219" i="5"/>
  <c r="J219" i="5"/>
  <c r="AC219" i="5"/>
  <c r="H220" i="5"/>
  <c r="I220" i="5" s="1"/>
  <c r="J220" i="5"/>
  <c r="AC220" i="5"/>
  <c r="H221" i="5"/>
  <c r="I221" i="5" s="1"/>
  <c r="J221" i="5"/>
  <c r="K221" i="5"/>
  <c r="AC221" i="5"/>
  <c r="H222" i="5"/>
  <c r="J222" i="5"/>
  <c r="K222" i="5" s="1"/>
  <c r="AC222" i="5"/>
  <c r="H223" i="5"/>
  <c r="I223" i="5"/>
  <c r="J223" i="5"/>
  <c r="K223" i="5" s="1"/>
  <c r="AC223" i="5"/>
  <c r="H224" i="5"/>
  <c r="I224" i="5" s="1"/>
  <c r="H225" i="5"/>
  <c r="I225" i="5" s="1"/>
  <c r="J225" i="5"/>
  <c r="K225" i="5" s="1"/>
  <c r="AC225" i="5"/>
  <c r="O227" i="5"/>
  <c r="I228" i="5"/>
  <c r="J228" i="5"/>
  <c r="K228" i="5" s="1"/>
  <c r="M228" i="5"/>
  <c r="I229" i="5"/>
  <c r="J229" i="5"/>
  <c r="F229" i="5" s="1"/>
  <c r="M229" i="5"/>
  <c r="I230" i="5"/>
  <c r="J230" i="5"/>
  <c r="F230" i="5" s="1"/>
  <c r="K230" i="5"/>
  <c r="M230" i="5"/>
  <c r="AC230" i="5"/>
  <c r="I231" i="5"/>
  <c r="J231" i="5"/>
  <c r="F231" i="5" s="1"/>
  <c r="M231" i="5"/>
  <c r="AC231" i="5"/>
  <c r="I232" i="5"/>
  <c r="J232" i="5"/>
  <c r="F232" i="5" s="1"/>
  <c r="M232" i="5"/>
  <c r="F233" i="5"/>
  <c r="I233" i="5"/>
  <c r="J233" i="5"/>
  <c r="K233" i="5" s="1"/>
  <c r="M233" i="5"/>
  <c r="O245" i="5"/>
  <c r="I246" i="5"/>
  <c r="J246" i="5"/>
  <c r="F246" i="5" s="1"/>
  <c r="K246" i="5"/>
  <c r="M246" i="5"/>
  <c r="F247" i="5"/>
  <c r="I247" i="5"/>
  <c r="I245" i="5" s="1"/>
  <c r="E47" i="4" s="1"/>
  <c r="J247" i="5"/>
  <c r="K247" i="5" s="1"/>
  <c r="M247" i="5"/>
  <c r="F248" i="5"/>
  <c r="I248" i="5"/>
  <c r="J248" i="5"/>
  <c r="K248" i="5" s="1"/>
  <c r="M248" i="5"/>
  <c r="I249" i="5"/>
  <c r="J249" i="5"/>
  <c r="F249" i="5" s="1"/>
  <c r="M249" i="5"/>
  <c r="AC249" i="5"/>
  <c r="I250" i="5"/>
  <c r="J250" i="5"/>
  <c r="F250" i="5" s="1"/>
  <c r="K250" i="5"/>
  <c r="G250" i="5" s="1"/>
  <c r="M250" i="5"/>
  <c r="AC250" i="5"/>
  <c r="F251" i="5"/>
  <c r="I251" i="5"/>
  <c r="J251" i="5"/>
  <c r="K251" i="5"/>
  <c r="G251" i="5" s="1"/>
  <c r="M251" i="5"/>
  <c r="AC251" i="5"/>
  <c r="I252" i="5"/>
  <c r="J252" i="5"/>
  <c r="F252" i="5" s="1"/>
  <c r="K252" i="5"/>
  <c r="G252" i="5" s="1"/>
  <c r="M252" i="5"/>
  <c r="AC252" i="5"/>
  <c r="F253" i="5"/>
  <c r="I253" i="5"/>
  <c r="K253" i="5"/>
  <c r="G253" i="5" s="1"/>
  <c r="M253" i="5"/>
  <c r="AC253" i="5"/>
  <c r="H2" i="4"/>
  <c r="Q3" i="4"/>
  <c r="Q4" i="4"/>
  <c r="Q6" i="4"/>
  <c r="Q7" i="4"/>
  <c r="Q8" i="4"/>
  <c r="Q9" i="4"/>
  <c r="Q10" i="4"/>
  <c r="Q12" i="4"/>
  <c r="Q13" i="4"/>
  <c r="Q14" i="4"/>
  <c r="Q15" i="4"/>
  <c r="Q19" i="4"/>
  <c r="Q21" i="4"/>
  <c r="Q22" i="4"/>
  <c r="Q23" i="4"/>
  <c r="Q24" i="4"/>
  <c r="Q25" i="4"/>
  <c r="Q27" i="4"/>
  <c r="Q28" i="4"/>
  <c r="Q29" i="4"/>
  <c r="Q30" i="4"/>
  <c r="Q34" i="4"/>
  <c r="Q36" i="4"/>
  <c r="Q37" i="4"/>
  <c r="Q38" i="4"/>
  <c r="Q39" i="4"/>
  <c r="Q40" i="4"/>
  <c r="Q42" i="4"/>
  <c r="Q43" i="4"/>
  <c r="Q44" i="4"/>
  <c r="Q45" i="4"/>
  <c r="Q47" i="4"/>
  <c r="E49" i="4"/>
  <c r="F10" i="3" s="1"/>
  <c r="E50" i="4"/>
  <c r="F13" i="3" s="1"/>
  <c r="E51" i="4"/>
  <c r="F14" i="3" s="1"/>
  <c r="J53" i="4"/>
  <c r="E56" i="4"/>
  <c r="F19" i="3" s="1"/>
  <c r="E57" i="4"/>
  <c r="F20" i="3" s="1"/>
  <c r="E58" i="4"/>
  <c r="F21" i="3" s="1"/>
  <c r="E60" i="4"/>
  <c r="E64" i="4"/>
  <c r="D66" i="4"/>
  <c r="D28" i="3" s="1"/>
  <c r="E66" i="4"/>
  <c r="F28" i="3" s="1"/>
  <c r="J66" i="4"/>
  <c r="L66" i="4"/>
  <c r="I2" i="12"/>
  <c r="Z15" i="14" s="1"/>
  <c r="D6" i="12"/>
  <c r="G6" i="12"/>
  <c r="G173" i="14" s="1"/>
  <c r="J6" i="12"/>
  <c r="D7" i="12"/>
  <c r="G7" i="12"/>
  <c r="J7" i="12"/>
  <c r="D8" i="12"/>
  <c r="G8" i="12"/>
  <c r="G97" i="14" s="1"/>
  <c r="J8" i="12"/>
  <c r="F12" i="12"/>
  <c r="J12" i="12"/>
  <c r="F13" i="12"/>
  <c r="J13" i="12"/>
  <c r="F14" i="12"/>
  <c r="J14" i="12"/>
  <c r="F15" i="12"/>
  <c r="J15" i="12"/>
  <c r="F16" i="12"/>
  <c r="F17" i="12"/>
  <c r="F14" i="23" l="1"/>
  <c r="K14" i="23"/>
  <c r="F18" i="23"/>
  <c r="I18" i="23"/>
  <c r="R18" i="23"/>
  <c r="S18" i="23"/>
  <c r="X18" i="23"/>
  <c r="G13" i="23"/>
  <c r="F13" i="23"/>
  <c r="J13" i="23"/>
  <c r="X13" i="23"/>
  <c r="G187" i="5"/>
  <c r="K145" i="5"/>
  <c r="F32" i="4" s="1"/>
  <c r="I137" i="5"/>
  <c r="E31" i="4" s="1"/>
  <c r="L15" i="22"/>
  <c r="J22" i="19"/>
  <c r="J9" i="19"/>
  <c r="H31" i="15"/>
  <c r="H20" i="15"/>
  <c r="H9" i="15"/>
  <c r="S43" i="18"/>
  <c r="Z163" i="7"/>
  <c r="Z126" i="7"/>
  <c r="Z106" i="7"/>
  <c r="L47" i="11"/>
  <c r="Y938" i="10"/>
  <c r="Q19" i="23"/>
  <c r="G216" i="5"/>
  <c r="F187" i="5"/>
  <c r="K249" i="5"/>
  <c r="G249" i="5" s="1"/>
  <c r="I227" i="5"/>
  <c r="E46" i="4" s="1"/>
  <c r="AC35" i="5"/>
  <c r="AC20" i="5"/>
  <c r="L14" i="22"/>
  <c r="Z130" i="14"/>
  <c r="Z84" i="14"/>
  <c r="Z44" i="14"/>
  <c r="Z30" i="14"/>
  <c r="Z23" i="14"/>
  <c r="Z10" i="14"/>
  <c r="K17" i="13"/>
  <c r="H47" i="15"/>
  <c r="H36" i="15"/>
  <c r="H25" i="15"/>
  <c r="Z292" i="7"/>
  <c r="Z280" i="7"/>
  <c r="Z239" i="7"/>
  <c r="Z223" i="7"/>
  <c r="Z162" i="7"/>
  <c r="Z125" i="7"/>
  <c r="Z58" i="7"/>
  <c r="L34" i="8"/>
  <c r="L42" i="11"/>
  <c r="K49" i="9"/>
  <c r="K41" i="9"/>
  <c r="K36" i="9"/>
  <c r="K31" i="9"/>
  <c r="Y749" i="10"/>
  <c r="Y693" i="10"/>
  <c r="Y621" i="10"/>
  <c r="H19" i="23"/>
  <c r="H41" i="15"/>
  <c r="H14" i="15"/>
  <c r="L12" i="22"/>
  <c r="Z290" i="7"/>
  <c r="Z274" i="7"/>
  <c r="Z237" i="7"/>
  <c r="Z201" i="7"/>
  <c r="Z181" i="7"/>
  <c r="Z104" i="7"/>
  <c r="L26" i="8"/>
  <c r="F107" i="5"/>
  <c r="J20" i="19"/>
  <c r="H30" i="15"/>
  <c r="H19" i="15"/>
  <c r="H8" i="15"/>
  <c r="J17" i="12"/>
  <c r="Q35" i="4"/>
  <c r="Q20" i="4"/>
  <c r="Q5" i="4"/>
  <c r="AC248" i="5"/>
  <c r="AC233" i="5"/>
  <c r="AC212" i="5"/>
  <c r="AC194" i="5"/>
  <c r="AC122" i="5"/>
  <c r="AC70" i="5"/>
  <c r="AC50" i="5"/>
  <c r="AC31" i="5"/>
  <c r="AC16" i="5"/>
  <c r="L11" i="22"/>
  <c r="Z150" i="14"/>
  <c r="K26" i="13"/>
  <c r="H46" i="15"/>
  <c r="H35" i="15"/>
  <c r="H24" i="15"/>
  <c r="Z273" i="7"/>
  <c r="Z236" i="7"/>
  <c r="Z200" i="7"/>
  <c r="Z180" i="7"/>
  <c r="Z103" i="7"/>
  <c r="Z50" i="7"/>
  <c r="Z40" i="7"/>
  <c r="L17" i="8"/>
  <c r="L25" i="11"/>
  <c r="K23" i="9"/>
  <c r="K15" i="9"/>
  <c r="K7" i="9"/>
  <c r="G230" i="5"/>
  <c r="L10" i="22"/>
  <c r="H40" i="15"/>
  <c r="H13" i="15"/>
  <c r="Z313" i="7"/>
  <c r="Z272" i="7"/>
  <c r="Z217" i="7"/>
  <c r="Z199" i="7"/>
  <c r="Z178" i="7"/>
  <c r="Z118" i="7"/>
  <c r="Z102" i="7"/>
  <c r="L8" i="8"/>
  <c r="L38" i="11"/>
  <c r="L22" i="11"/>
  <c r="M227" i="5"/>
  <c r="G46" i="4" s="1"/>
  <c r="M245" i="5"/>
  <c r="G47" i="4" s="1"/>
  <c r="J16" i="12"/>
  <c r="Q33" i="4"/>
  <c r="Q18" i="4"/>
  <c r="G248" i="5"/>
  <c r="G233" i="5"/>
  <c r="AC224" i="5"/>
  <c r="AC210" i="5"/>
  <c r="AC191" i="5"/>
  <c r="AC179" i="5"/>
  <c r="AC135" i="5"/>
  <c r="AC120" i="5"/>
  <c r="AC88" i="5"/>
  <c r="AC64" i="5"/>
  <c r="AC48" i="5"/>
  <c r="AC29" i="5"/>
  <c r="AC14" i="5"/>
  <c r="L26" i="22"/>
  <c r="L9" i="22"/>
  <c r="Z167" i="14"/>
  <c r="Z74" i="14"/>
  <c r="K25" i="13"/>
  <c r="H29" i="15"/>
  <c r="H18" i="15"/>
  <c r="H7" i="15"/>
  <c r="Z312" i="7"/>
  <c r="Z253" i="7"/>
  <c r="Z231" i="7"/>
  <c r="Z198" i="7"/>
  <c r="Z177" i="7"/>
  <c r="Z66" i="7"/>
  <c r="L19" i="11"/>
  <c r="K22" i="9"/>
  <c r="K14" i="9"/>
  <c r="K6" i="9"/>
  <c r="Y691" i="10"/>
  <c r="Y518" i="10"/>
  <c r="J12" i="20"/>
  <c r="J5" i="20"/>
  <c r="Q48" i="4"/>
  <c r="Q32" i="4"/>
  <c r="AC229" i="5"/>
  <c r="AC190" i="5"/>
  <c r="AC178" i="5"/>
  <c r="AC141" i="5"/>
  <c r="AC104" i="5"/>
  <c r="AC28" i="5"/>
  <c r="L25" i="22"/>
  <c r="L8" i="22"/>
  <c r="Z174" i="14"/>
  <c r="Z153" i="14"/>
  <c r="Z106" i="14"/>
  <c r="J29" i="19"/>
  <c r="J6" i="19"/>
  <c r="H45" i="15"/>
  <c r="H34" i="15"/>
  <c r="H23" i="15"/>
  <c r="S48" i="18"/>
  <c r="Z311" i="7"/>
  <c r="Z284" i="7"/>
  <c r="Z252" i="7"/>
  <c r="Z137" i="7"/>
  <c r="Z57" i="7"/>
  <c r="L18" i="11"/>
  <c r="K46" i="9"/>
  <c r="K28" i="9"/>
  <c r="Y3312" i="10"/>
  <c r="Y1929" i="10"/>
  <c r="Y556" i="10"/>
  <c r="AC69" i="5"/>
  <c r="AC11" i="5"/>
  <c r="L24" i="22"/>
  <c r="L7" i="22"/>
  <c r="Z113" i="14"/>
  <c r="H39" i="15"/>
  <c r="H12" i="15"/>
  <c r="Z251" i="7"/>
  <c r="Z193" i="7"/>
  <c r="Z136" i="7"/>
  <c r="Z116" i="7"/>
  <c r="L16" i="11"/>
  <c r="K21" i="9"/>
  <c r="K13" i="9"/>
  <c r="K5" i="9"/>
  <c r="J4" i="21"/>
  <c r="Q17" i="4"/>
  <c r="Q46" i="4"/>
  <c r="Q31" i="4"/>
  <c r="Q16" i="4"/>
  <c r="AC247" i="5"/>
  <c r="AC232" i="5"/>
  <c r="K229" i="5"/>
  <c r="G229" i="5" s="1"/>
  <c r="AC188" i="5"/>
  <c r="AC175" i="5"/>
  <c r="AC149" i="5"/>
  <c r="AC146" i="5"/>
  <c r="AC116" i="5"/>
  <c r="AC44" i="5"/>
  <c r="AC10" i="5"/>
  <c r="L23" i="22"/>
  <c r="L6" i="22"/>
  <c r="Z146" i="14"/>
  <c r="Z119" i="14"/>
  <c r="Z99" i="14"/>
  <c r="Z67" i="14"/>
  <c r="Z60" i="14"/>
  <c r="Z28" i="14"/>
  <c r="Z21" i="14"/>
  <c r="Z7" i="14"/>
  <c r="J28" i="19"/>
  <c r="J16" i="19"/>
  <c r="H28" i="15"/>
  <c r="H17" i="15"/>
  <c r="H6" i="15"/>
  <c r="Z250" i="7"/>
  <c r="Z230" i="7"/>
  <c r="Z216" i="7"/>
  <c r="Z192" i="7"/>
  <c r="Z145" i="7"/>
  <c r="Z135" i="7"/>
  <c r="Z115" i="7"/>
  <c r="Z94" i="7"/>
  <c r="L13" i="11"/>
  <c r="K45" i="9"/>
  <c r="K38" i="9"/>
  <c r="K34" i="9"/>
  <c r="K27" i="9"/>
  <c r="J11" i="20"/>
  <c r="G17" i="23"/>
  <c r="M145" i="5"/>
  <c r="G32" i="4" s="1"/>
  <c r="G247" i="5"/>
  <c r="G149" i="5"/>
  <c r="F28" i="5"/>
  <c r="H49" i="15"/>
  <c r="H38" i="15"/>
  <c r="S16" i="23"/>
  <c r="H16" i="15"/>
  <c r="H5" i="15"/>
  <c r="R16" i="23"/>
  <c r="I16" i="23"/>
  <c r="G146" i="5"/>
  <c r="H32" i="15"/>
  <c r="H21" i="15"/>
  <c r="H10" i="15"/>
  <c r="Q41" i="4"/>
  <c r="Q26" i="4"/>
  <c r="AC246" i="5"/>
  <c r="AC228" i="5"/>
  <c r="AC216" i="5"/>
  <c r="AC201" i="5"/>
  <c r="AC169" i="5"/>
  <c r="AC148" i="5"/>
  <c r="AC139" i="5"/>
  <c r="AC129" i="5"/>
  <c r="AC110" i="5"/>
  <c r="AC95" i="5"/>
  <c r="AC66" i="5"/>
  <c r="AC24" i="5"/>
  <c r="Z176" i="14"/>
  <c r="Z131" i="14"/>
  <c r="Z91" i="14"/>
  <c r="Z45" i="14"/>
  <c r="Z31" i="14"/>
  <c r="H48" i="15"/>
  <c r="H37" i="15"/>
  <c r="H26" i="15"/>
  <c r="Z259" i="7"/>
  <c r="Z242" i="7"/>
  <c r="Z226" i="7"/>
  <c r="Z209" i="7"/>
  <c r="Z185" i="7"/>
  <c r="Z167" i="7"/>
  <c r="Z144" i="7"/>
  <c r="Z128" i="7"/>
  <c r="Z90" i="7"/>
  <c r="Z51" i="7"/>
  <c r="Z14" i="7"/>
  <c r="L31" i="11"/>
  <c r="K50" i="9"/>
  <c r="K18" i="9"/>
  <c r="Y643" i="10"/>
  <c r="Y516" i="10"/>
  <c r="E173" i="14"/>
  <c r="H173" i="14"/>
  <c r="H177" i="14" s="1"/>
  <c r="F28" i="13" s="1"/>
  <c r="L975" i="10"/>
  <c r="I8" i="22"/>
  <c r="G228" i="5"/>
  <c r="L955" i="10"/>
  <c r="I16" i="22"/>
  <c r="K973" i="10"/>
  <c r="H8" i="22"/>
  <c r="K219" i="5"/>
  <c r="E159" i="14"/>
  <c r="L173" i="10"/>
  <c r="I17" i="22"/>
  <c r="E17" i="14"/>
  <c r="J17" i="14"/>
  <c r="G246" i="5"/>
  <c r="K232" i="5"/>
  <c r="G232" i="5" s="1"/>
  <c r="F228" i="5"/>
  <c r="F216" i="5"/>
  <c r="G148" i="5"/>
  <c r="F135" i="5"/>
  <c r="L121" i="14"/>
  <c r="H20" i="13" s="1"/>
  <c r="F117" i="14"/>
  <c r="K65" i="5"/>
  <c r="M68" i="5"/>
  <c r="G18" i="4" s="1"/>
  <c r="F998" i="10"/>
  <c r="I998" i="10"/>
  <c r="Z129" i="14"/>
  <c r="F110" i="14"/>
  <c r="L2209" i="10"/>
  <c r="L2103" i="10"/>
  <c r="L1998" i="10"/>
  <c r="Z72" i="14"/>
  <c r="J60" i="14"/>
  <c r="F60" i="14" s="1"/>
  <c r="E60" i="14"/>
  <c r="E24" i="14"/>
  <c r="J24" i="14"/>
  <c r="I145" i="5"/>
  <c r="E32" i="4" s="1"/>
  <c r="F69" i="5"/>
  <c r="K69" i="5"/>
  <c r="G20" i="13"/>
  <c r="L1357" i="10"/>
  <c r="L2394" i="10"/>
  <c r="L2914" i="10"/>
  <c r="E97" i="14"/>
  <c r="H97" i="14"/>
  <c r="F97" i="14" s="1"/>
  <c r="F78" i="14"/>
  <c r="I31" i="14"/>
  <c r="F30" i="14"/>
  <c r="F70" i="5"/>
  <c r="K70" i="5"/>
  <c r="G70" i="5" s="1"/>
  <c r="G65" i="14"/>
  <c r="G83" i="14"/>
  <c r="G111" i="14"/>
  <c r="G166" i="14"/>
  <c r="F57" i="5"/>
  <c r="K57" i="5"/>
  <c r="G57" i="5" s="1"/>
  <c r="L25" i="10"/>
  <c r="I15" i="22"/>
  <c r="L1656" i="10"/>
  <c r="L2693" i="10"/>
  <c r="L3213" i="10"/>
  <c r="I12" i="22"/>
  <c r="L345" i="10"/>
  <c r="L769" i="10"/>
  <c r="L1042" i="10"/>
  <c r="L1149" i="10"/>
  <c r="L477" i="10"/>
  <c r="L834" i="10"/>
  <c r="L2576" i="10"/>
  <c r="L1834" i="10"/>
  <c r="L2523" i="10"/>
  <c r="L1486" i="10"/>
  <c r="L1741" i="10"/>
  <c r="L1724" i="10"/>
  <c r="L2860" i="10"/>
  <c r="L1539" i="10"/>
  <c r="L2771" i="10"/>
  <c r="L3043" i="10"/>
  <c r="L3096" i="10"/>
  <c r="K82" i="7"/>
  <c r="L82" i="7" s="1"/>
  <c r="L84" i="7" s="1"/>
  <c r="L85" i="7" s="1"/>
  <c r="H14" i="6" s="1"/>
  <c r="L3280" i="10"/>
  <c r="F21" i="14"/>
  <c r="L25" i="14"/>
  <c r="H6" i="13" s="1"/>
  <c r="G152" i="14"/>
  <c r="G29" i="14"/>
  <c r="G43" i="14"/>
  <c r="G90" i="14"/>
  <c r="G118" i="14"/>
  <c r="G137" i="14"/>
  <c r="G36" i="14"/>
  <c r="G58" i="14"/>
  <c r="G51" i="14"/>
  <c r="G104" i="14"/>
  <c r="G15" i="14"/>
  <c r="G22" i="14"/>
  <c r="G72" i="14"/>
  <c r="G129" i="14"/>
  <c r="G8" i="14"/>
  <c r="I7" i="22"/>
  <c r="L151" i="14"/>
  <c r="E151" i="14"/>
  <c r="L1624" i="10"/>
  <c r="L2207" i="10"/>
  <c r="L2101" i="10"/>
  <c r="L2661" i="10"/>
  <c r="L3181" i="10"/>
  <c r="D14" i="1"/>
  <c r="Z144" i="14"/>
  <c r="Z65" i="14"/>
  <c r="Z97" i="14"/>
  <c r="Z173" i="14"/>
  <c r="Z8" i="14"/>
  <c r="Z166" i="14"/>
  <c r="Z90" i="14"/>
  <c r="Z159" i="14"/>
  <c r="Z43" i="14"/>
  <c r="Z118" i="14"/>
  <c r="Z137" i="14"/>
  <c r="Z152" i="14"/>
  <c r="Z36" i="14"/>
  <c r="Z58" i="14"/>
  <c r="Z83" i="14"/>
  <c r="Z111" i="14"/>
  <c r="Z29" i="14"/>
  <c r="Z51" i="14"/>
  <c r="Z104" i="14"/>
  <c r="Z22" i="14"/>
  <c r="B16" i="2"/>
  <c r="H10" i="3"/>
  <c r="H15" i="3"/>
  <c r="B17" i="2"/>
  <c r="H20" i="3"/>
  <c r="H25" i="3"/>
  <c r="H16" i="3"/>
  <c r="H5" i="3"/>
  <c r="H12" i="3"/>
  <c r="H21" i="3"/>
  <c r="H17" i="3"/>
  <c r="H26" i="3"/>
  <c r="H13" i="3"/>
  <c r="H18" i="3"/>
  <c r="H27" i="3"/>
  <c r="D6" i="1"/>
  <c r="H23" i="3"/>
  <c r="H9" i="3"/>
  <c r="H19" i="3"/>
  <c r="H24" i="3"/>
  <c r="H29" i="3"/>
  <c r="H28" i="3"/>
  <c r="H14" i="3"/>
  <c r="I222" i="5"/>
  <c r="I218" i="5" s="1"/>
  <c r="E45" i="4" s="1"/>
  <c r="K220" i="5"/>
  <c r="K107" i="5"/>
  <c r="L1884" i="10"/>
  <c r="I14" i="22"/>
  <c r="F124" i="14"/>
  <c r="K231" i="5"/>
  <c r="G231" i="5" s="1"/>
  <c r="K143" i="5"/>
  <c r="K141" i="5"/>
  <c r="K137" i="5" s="1"/>
  <c r="F31" i="4" s="1"/>
  <c r="F151" i="14"/>
  <c r="L147" i="14"/>
  <c r="H24" i="13" s="1"/>
  <c r="I72" i="7"/>
  <c r="I63" i="7"/>
  <c r="F4" i="19"/>
  <c r="G4" i="19" s="1"/>
  <c r="F130" i="14"/>
  <c r="I131" i="14"/>
  <c r="K66" i="5"/>
  <c r="I143" i="7"/>
  <c r="F15" i="19"/>
  <c r="G15" i="19" s="1"/>
  <c r="E214" i="7"/>
  <c r="J214" i="7"/>
  <c r="I60" i="5"/>
  <c r="E17" i="4" s="1"/>
  <c r="I24" i="22"/>
  <c r="I4" i="22"/>
  <c r="E154" i="14"/>
  <c r="J154" i="14"/>
  <c r="F154" i="14" s="1"/>
  <c r="L205" i="10"/>
  <c r="L67" i="10"/>
  <c r="I5" i="22"/>
  <c r="J992" i="10"/>
  <c r="G24" i="22"/>
  <c r="G144" i="14"/>
  <c r="L82" i="14"/>
  <c r="L86" i="14" s="1"/>
  <c r="H15" i="13" s="1"/>
  <c r="G15" i="13"/>
  <c r="L169" i="14"/>
  <c r="H27" i="13" s="1"/>
  <c r="J105" i="14"/>
  <c r="F105" i="14" s="1"/>
  <c r="E105" i="14"/>
  <c r="L57" i="14"/>
  <c r="L61" i="14" s="1"/>
  <c r="H11" i="13" s="1"/>
  <c r="J146" i="14"/>
  <c r="L136" i="14"/>
  <c r="L140" i="14" s="1"/>
  <c r="H23" i="13" s="1"/>
  <c r="L124" i="14"/>
  <c r="L125" i="14" s="1"/>
  <c r="J112" i="14"/>
  <c r="J92" i="14"/>
  <c r="F92" i="14" s="1"/>
  <c r="J61" i="14"/>
  <c r="J52" i="14"/>
  <c r="E50" i="14"/>
  <c r="L42" i="14"/>
  <c r="L46" i="14" s="1"/>
  <c r="H9" i="13" s="1"/>
  <c r="K27" i="13"/>
  <c r="J8" i="19"/>
  <c r="S36" i="18"/>
  <c r="S29" i="18"/>
  <c r="I175" i="14"/>
  <c r="F82" i="14"/>
  <c r="F57" i="14"/>
  <c r="L54" i="14"/>
  <c r="H10" i="13" s="1"/>
  <c r="F35" i="14"/>
  <c r="K7" i="13"/>
  <c r="K702" i="10"/>
  <c r="F21" i="19"/>
  <c r="G21" i="19" s="1"/>
  <c r="I921" i="10"/>
  <c r="E921" i="10"/>
  <c r="S47" i="18"/>
  <c r="S28" i="18"/>
  <c r="S21" i="18"/>
  <c r="F84" i="14"/>
  <c r="K10" i="13"/>
  <c r="J26" i="19"/>
  <c r="F20" i="19"/>
  <c r="G20" i="19" s="1"/>
  <c r="F14" i="19"/>
  <c r="G14" i="19" s="1"/>
  <c r="S41" i="18"/>
  <c r="S13" i="18"/>
  <c r="L172" i="14"/>
  <c r="Z24" i="14"/>
  <c r="K23" i="13"/>
  <c r="K13" i="13"/>
  <c r="J19" i="19"/>
  <c r="J13" i="19"/>
  <c r="I28" i="5"/>
  <c r="G28" i="5" s="1"/>
  <c r="D7" i="1"/>
  <c r="B15" i="2"/>
  <c r="J160" i="14"/>
  <c r="F158" i="14"/>
  <c r="L150" i="14"/>
  <c r="L155" i="14" s="1"/>
  <c r="H25" i="13" s="1"/>
  <c r="F143" i="14"/>
  <c r="E138" i="14"/>
  <c r="J138" i="14"/>
  <c r="L128" i="14"/>
  <c r="L132" i="14" s="1"/>
  <c r="H22" i="13" s="1"/>
  <c r="E99" i="14"/>
  <c r="J99" i="14"/>
  <c r="F89" i="14"/>
  <c r="J44" i="14"/>
  <c r="E49" i="7"/>
  <c r="J49" i="7"/>
  <c r="F49" i="7" s="1"/>
  <c r="I505" i="10"/>
  <c r="E505" i="10"/>
  <c r="C505" i="10" s="1"/>
  <c r="Y25" i="10"/>
  <c r="Y67" i="10"/>
  <c r="Y22" i="10"/>
  <c r="Y65" i="10"/>
  <c r="Y205" i="10"/>
  <c r="Y441" i="10"/>
  <c r="Y859" i="10"/>
  <c r="Y998" i="10"/>
  <c r="Y1042" i="10"/>
  <c r="Y381" i="10"/>
  <c r="Y473" i="10"/>
  <c r="Y973" i="10"/>
  <c r="Y241" i="10"/>
  <c r="Y265" i="10"/>
  <c r="Y341" i="10"/>
  <c r="Y405" i="10"/>
  <c r="Y477" i="10"/>
  <c r="Y888" i="10"/>
  <c r="Y1208" i="10"/>
  <c r="Y171" i="10"/>
  <c r="Y1426" i="10"/>
  <c r="Y201" i="10"/>
  <c r="Y345" i="10"/>
  <c r="Y765" i="10"/>
  <c r="Y894" i="10"/>
  <c r="Y1038" i="10"/>
  <c r="Y1143" i="10"/>
  <c r="Y1537" i="10"/>
  <c r="Y1588" i="10"/>
  <c r="Y769" i="10"/>
  <c r="Y1064" i="10"/>
  <c r="Y1237" i="10"/>
  <c r="Y1353" i="10"/>
  <c r="Y1520" i="10"/>
  <c r="Y139" i="10"/>
  <c r="Y953" i="10"/>
  <c r="Y1094" i="10"/>
  <c r="Y1149" i="10"/>
  <c r="Y1484" i="10"/>
  <c r="Y297" i="10"/>
  <c r="Y830" i="10"/>
  <c r="Y992" i="10"/>
  <c r="Y1100" i="10"/>
  <c r="Y1357" i="10"/>
  <c r="Y437" i="10"/>
  <c r="Y856" i="10"/>
  <c r="Y1270" i="10"/>
  <c r="Y1668" i="10"/>
  <c r="D15" i="1"/>
  <c r="Y239" i="10"/>
  <c r="Y301" i="10"/>
  <c r="Y379" i="10"/>
  <c r="Y475" i="10"/>
  <c r="Y862" i="10"/>
  <c r="Y971" i="10"/>
  <c r="Y1206" i="10"/>
  <c r="Y169" i="10"/>
  <c r="Y243" i="10"/>
  <c r="Y263" i="10"/>
  <c r="Y383" i="10"/>
  <c r="Y403" i="10"/>
  <c r="Y975" i="10"/>
  <c r="Y1276" i="10"/>
  <c r="Y1424" i="10"/>
  <c r="Y1620" i="10"/>
  <c r="Y1672" i="10"/>
  <c r="Y173" i="10"/>
  <c r="Y267" i="10"/>
  <c r="Y343" i="10"/>
  <c r="Y407" i="10"/>
  <c r="Y891" i="10"/>
  <c r="Y63" i="10"/>
  <c r="Y203" i="10"/>
  <c r="Y767" i="10"/>
  <c r="Y1040" i="10"/>
  <c r="Y1234" i="10"/>
  <c r="Y1518" i="10"/>
  <c r="Y1624" i="10"/>
  <c r="Y951" i="10"/>
  <c r="Y1061" i="10"/>
  <c r="Y1146" i="10"/>
  <c r="Y19" i="10"/>
  <c r="Y299" i="10"/>
  <c r="Y439" i="10"/>
  <c r="Y834" i="10"/>
  <c r="Y1204" i="10"/>
  <c r="Y1535" i="10"/>
  <c r="Y1590" i="10"/>
  <c r="Y1739" i="10"/>
  <c r="Y1792" i="10"/>
  <c r="Y1998" i="10"/>
  <c r="Y1622" i="10"/>
  <c r="Y1652" i="10"/>
  <c r="Y1722" i="10"/>
  <c r="Y2572" i="10"/>
  <c r="Y2623" i="10"/>
  <c r="Y2693" i="10"/>
  <c r="Y1240" i="10"/>
  <c r="Y1586" i="10"/>
  <c r="Y1670" i="10"/>
  <c r="Y137" i="10"/>
  <c r="Y1355" i="10"/>
  <c r="Y1830" i="10"/>
  <c r="Y1880" i="10"/>
  <c r="Y2203" i="10"/>
  <c r="Y2519" i="10"/>
  <c r="Y2576" i="10"/>
  <c r="Y2627" i="10"/>
  <c r="Y2097" i="10"/>
  <c r="Y2251" i="10"/>
  <c r="Y2392" i="10"/>
  <c r="Y2559" i="10"/>
  <c r="Y2858" i="10"/>
  <c r="Y2912" i="10"/>
  <c r="Y1834" i="10"/>
  <c r="Y1884" i="10"/>
  <c r="Y1992" i="10"/>
  <c r="Y2141" i="10"/>
  <c r="Y2207" i="10"/>
  <c r="Y2523" i="10"/>
  <c r="Y2835" i="10"/>
  <c r="Y1273" i="10"/>
  <c r="Y1422" i="10"/>
  <c r="Y2034" i="10"/>
  <c r="Y2101" i="10"/>
  <c r="Y2804" i="10"/>
  <c r="Y1486" i="10"/>
  <c r="Y1737" i="10"/>
  <c r="Y1790" i="10"/>
  <c r="Y1996" i="10"/>
  <c r="Y2145" i="10"/>
  <c r="Y2459" i="10"/>
  <c r="Y2707" i="10"/>
  <c r="Y2769" i="10"/>
  <c r="Y2979" i="10"/>
  <c r="Y995" i="10"/>
  <c r="Y1522" i="10"/>
  <c r="Y1720" i="10"/>
  <c r="Y2038" i="10"/>
  <c r="Y2691" i="10"/>
  <c r="Y1654" i="10"/>
  <c r="Y1741" i="10"/>
  <c r="Y1794" i="10"/>
  <c r="Y2463" i="10"/>
  <c r="Y2659" i="10"/>
  <c r="Y2983" i="10"/>
  <c r="Y826" i="10"/>
  <c r="Y1724" i="10"/>
  <c r="Y2574" i="10"/>
  <c r="Y2625" i="10"/>
  <c r="Y141" i="10"/>
  <c r="Y1097" i="10"/>
  <c r="Y1482" i="10"/>
  <c r="Y2249" i="10"/>
  <c r="Y2390" i="10"/>
  <c r="Y2557" i="10"/>
  <c r="Y2856" i="10"/>
  <c r="Y2910" i="10"/>
  <c r="Y3077" i="10"/>
  <c r="Y1067" i="10"/>
  <c r="Y1832" i="10"/>
  <c r="Y1882" i="10"/>
  <c r="Y2139" i="10"/>
  <c r="Y2205" i="10"/>
  <c r="Y2521" i="10"/>
  <c r="Y2394" i="10"/>
  <c r="Y2657" i="10"/>
  <c r="Y2689" i="10"/>
  <c r="Y1656" i="10"/>
  <c r="Y2143" i="10"/>
  <c r="Y2461" i="10"/>
  <c r="Y3227" i="10"/>
  <c r="Y3278" i="10"/>
  <c r="Y2771" i="10"/>
  <c r="Y2806" i="10"/>
  <c r="Y3039" i="10"/>
  <c r="Y3043" i="10"/>
  <c r="Y3211" i="10"/>
  <c r="Y2103" i="10"/>
  <c r="Y3092" i="10"/>
  <c r="Y3179" i="10"/>
  <c r="Y3096" i="10"/>
  <c r="Y2036" i="10"/>
  <c r="Y2767" i="10"/>
  <c r="Y2837" i="10"/>
  <c r="Y3145" i="10"/>
  <c r="Y955" i="10"/>
  <c r="Y2981" i="10"/>
  <c r="Y2802" i="10"/>
  <c r="Y2099" i="10"/>
  <c r="Y2833" i="10"/>
  <c r="Y3041" i="10"/>
  <c r="Y3209" i="10"/>
  <c r="Y3079" i="10"/>
  <c r="Y3177" i="10"/>
  <c r="Y3229" i="10"/>
  <c r="Y3280" i="10"/>
  <c r="Y2661" i="10"/>
  <c r="Y2709" i="10"/>
  <c r="Y2860" i="10"/>
  <c r="Y3075" i="10"/>
  <c r="Y3213" i="10"/>
  <c r="Y2032" i="10"/>
  <c r="Y3094" i="10"/>
  <c r="Y3181" i="10"/>
  <c r="Y2253" i="10"/>
  <c r="Y2914" i="10"/>
  <c r="Y3143" i="10"/>
  <c r="Y3276" i="10"/>
  <c r="Z42" i="7"/>
  <c r="Y2555" i="10"/>
  <c r="Y2705" i="10"/>
  <c r="Z35" i="7"/>
  <c r="Y1994" i="10"/>
  <c r="Y2209" i="10"/>
  <c r="Y1539" i="10"/>
  <c r="Y3147" i="10"/>
  <c r="Z28" i="7"/>
  <c r="Y3225" i="10"/>
  <c r="Z147" i="7"/>
  <c r="Z283" i="7"/>
  <c r="Z82" i="7"/>
  <c r="Z157" i="7"/>
  <c r="Z262" i="7"/>
  <c r="Z59" i="7"/>
  <c r="Z21" i="7"/>
  <c r="L19" i="22"/>
  <c r="Z271" i="7"/>
  <c r="E222" i="7"/>
  <c r="J222" i="7"/>
  <c r="D17" i="1"/>
  <c r="Y923" i="10"/>
  <c r="Y505" i="10"/>
  <c r="Y608" i="10"/>
  <c r="Y921" i="10"/>
  <c r="Y871" i="10"/>
  <c r="Y1077" i="10"/>
  <c r="Y503" i="10"/>
  <c r="Y1252" i="10"/>
  <c r="Y702" i="10"/>
  <c r="Y610" i="10"/>
  <c r="Z117" i="7"/>
  <c r="Z64" i="7"/>
  <c r="Z124" i="7"/>
  <c r="Z105" i="7"/>
  <c r="Z8" i="7"/>
  <c r="Z65" i="7"/>
  <c r="Z100" i="7"/>
  <c r="Z63" i="7"/>
  <c r="Z49" i="7"/>
  <c r="Z112" i="7"/>
  <c r="Z133" i="7"/>
  <c r="Z48" i="7"/>
  <c r="Z156" i="7"/>
  <c r="Z88" i="7"/>
  <c r="Z306" i="7"/>
  <c r="Z227" i="7"/>
  <c r="Z93" i="7"/>
  <c r="Z268" i="7"/>
  <c r="Z72" i="7"/>
  <c r="Z172" i="7"/>
  <c r="Z258" i="7"/>
  <c r="Z143" i="7"/>
  <c r="Z222" i="7"/>
  <c r="Z73" i="7"/>
  <c r="Z9" i="7"/>
  <c r="Z146" i="7"/>
  <c r="Z47" i="7"/>
  <c r="Z289" i="7"/>
  <c r="S10" i="18"/>
  <c r="S15" i="18"/>
  <c r="S26" i="18"/>
  <c r="S31" i="18"/>
  <c r="J15" i="19"/>
  <c r="J31" i="19"/>
  <c r="Z9" i="14"/>
  <c r="Z73" i="14"/>
  <c r="Z105" i="14"/>
  <c r="Z112" i="14"/>
  <c r="Z160" i="14"/>
  <c r="S5" i="18"/>
  <c r="Z153" i="7"/>
  <c r="Z74" i="7"/>
  <c r="S6" i="18"/>
  <c r="S11" i="18"/>
  <c r="S22" i="18"/>
  <c r="S27" i="18"/>
  <c r="S38" i="18"/>
  <c r="J11" i="19"/>
  <c r="J27" i="19"/>
  <c r="Z37" i="14"/>
  <c r="Z53" i="14"/>
  <c r="Z85" i="14"/>
  <c r="S12" i="18"/>
  <c r="Z214" i="7"/>
  <c r="S7" i="18"/>
  <c r="S18" i="18"/>
  <c r="S23" i="18"/>
  <c r="S34" i="18"/>
  <c r="S39" i="18"/>
  <c r="S44" i="18"/>
  <c r="S49" i="18"/>
  <c r="J7" i="19"/>
  <c r="J23" i="19"/>
  <c r="Z17" i="14"/>
  <c r="Z120" i="14"/>
  <c r="Z187" i="7"/>
  <c r="Z261" i="7"/>
  <c r="Z314" i="7"/>
  <c r="S8" i="18"/>
  <c r="S14" i="18"/>
  <c r="S19" i="18"/>
  <c r="S30" i="18"/>
  <c r="S35" i="18"/>
  <c r="S46" i="18"/>
  <c r="S40" i="18"/>
  <c r="J167" i="14"/>
  <c r="F165" i="14"/>
  <c r="H100" i="14"/>
  <c r="F17" i="13" s="1"/>
  <c r="H79" i="14"/>
  <c r="F14" i="13" s="1"/>
  <c r="J66" i="14"/>
  <c r="J9" i="14"/>
  <c r="G13" i="13"/>
  <c r="J18" i="19"/>
  <c r="J5" i="19"/>
  <c r="S33" i="18"/>
  <c r="E610" i="10"/>
  <c r="C610" i="10" s="1"/>
  <c r="I610" i="10"/>
  <c r="K608" i="10"/>
  <c r="K503" i="10"/>
  <c r="F13" i="19"/>
  <c r="G13" i="19" s="1"/>
  <c r="I73" i="7"/>
  <c r="I64" i="7"/>
  <c r="S9" i="18"/>
  <c r="K71" i="5"/>
  <c r="G71" i="5" s="1"/>
  <c r="E96" i="14"/>
  <c r="J30" i="19"/>
  <c r="J17" i="19"/>
  <c r="J4" i="19"/>
  <c r="S45" i="18"/>
  <c r="S32" i="18"/>
  <c r="S25" i="18"/>
  <c r="F135" i="14"/>
  <c r="S50" i="18"/>
  <c r="E135" i="14"/>
  <c r="D16" i="1"/>
  <c r="B22" i="2"/>
  <c r="K8" i="13"/>
  <c r="K16" i="13"/>
  <c r="K24" i="13"/>
  <c r="K6" i="13"/>
  <c r="K14" i="13"/>
  <c r="K22" i="13"/>
  <c r="K4" i="13"/>
  <c r="K12" i="13"/>
  <c r="K20" i="13"/>
  <c r="K28" i="13"/>
  <c r="K15" i="13"/>
  <c r="K5" i="13"/>
  <c r="J10" i="19"/>
  <c r="I314" i="7"/>
  <c r="I306" i="7"/>
  <c r="I48" i="7"/>
  <c r="I9" i="7"/>
  <c r="I74" i="7"/>
  <c r="I65" i="7"/>
  <c r="F5" i="19"/>
  <c r="G5" i="19" s="1"/>
  <c r="S24" i="18"/>
  <c r="S17" i="18"/>
  <c r="F159" i="14"/>
  <c r="K871" i="10"/>
  <c r="K1077" i="10"/>
  <c r="K1252" i="10"/>
  <c r="F103" i="14"/>
  <c r="J268" i="7"/>
  <c r="E268" i="7"/>
  <c r="I105" i="7"/>
  <c r="I93" i="7"/>
  <c r="I227" i="7"/>
  <c r="I172" i="7"/>
  <c r="I187" i="7"/>
  <c r="I117" i="7"/>
  <c r="S16" i="18"/>
  <c r="J15" i="23"/>
  <c r="K15" i="23"/>
  <c r="L15" i="23"/>
  <c r="M15" i="23"/>
  <c r="N15" i="23"/>
  <c r="P15" i="23"/>
  <c r="Q15" i="23"/>
  <c r="R15" i="23"/>
  <c r="S15" i="23"/>
  <c r="T15" i="23"/>
  <c r="U15" i="23"/>
  <c r="V15" i="23"/>
  <c r="F15" i="23"/>
  <c r="W15" i="23"/>
  <c r="I15" i="23"/>
  <c r="O15" i="23"/>
  <c r="X15" i="23"/>
  <c r="G15" i="23"/>
  <c r="F26" i="7"/>
  <c r="H43" i="15"/>
  <c r="H27" i="15"/>
  <c r="I8" i="7"/>
  <c r="I47" i="7"/>
  <c r="H11" i="15"/>
  <c r="F261" i="7"/>
  <c r="F33" i="7"/>
  <c r="E258" i="7"/>
  <c r="J258" i="7"/>
  <c r="E153" i="7"/>
  <c r="J153" i="7"/>
  <c r="F40" i="7"/>
  <c r="F156" i="7"/>
  <c r="F10" i="7"/>
  <c r="H11" i="7"/>
  <c r="F4" i="6" s="1"/>
  <c r="I112" i="7"/>
  <c r="I133" i="7"/>
  <c r="I100" i="7"/>
  <c r="I88" i="7"/>
  <c r="I124" i="7"/>
  <c r="I289" i="7"/>
  <c r="E923" i="10"/>
  <c r="C923" i="10" s="1"/>
  <c r="I923" i="10"/>
  <c r="E217" i="7"/>
  <c r="F270" i="7"/>
  <c r="K168" i="7"/>
  <c r="L168" i="7" s="1"/>
  <c r="K95" i="7"/>
  <c r="L95" i="7" s="1"/>
  <c r="K16" i="6"/>
  <c r="H68" i="7"/>
  <c r="H69" i="7" s="1"/>
  <c r="F12" i="6" s="1"/>
  <c r="F57" i="7"/>
  <c r="F5" i="8"/>
  <c r="K25" i="6"/>
  <c r="E3298" i="10"/>
  <c r="G50" i="9"/>
  <c r="F146" i="7"/>
  <c r="I4" i="8"/>
  <c r="K119" i="7"/>
  <c r="L119" i="7" s="1"/>
  <c r="K107" i="7"/>
  <c r="L107" i="7" s="1"/>
  <c r="J217" i="7"/>
  <c r="F217" i="7" s="1"/>
  <c r="D8" i="1"/>
  <c r="L5" i="8"/>
  <c r="L21" i="8"/>
  <c r="L15" i="8"/>
  <c r="L31" i="8"/>
  <c r="L9" i="8"/>
  <c r="L25" i="8"/>
  <c r="L13" i="8"/>
  <c r="L29" i="8"/>
  <c r="L4" i="8"/>
  <c r="L18" i="8"/>
  <c r="Z101" i="7"/>
  <c r="Z165" i="7"/>
  <c r="L14" i="8"/>
  <c r="L23" i="8"/>
  <c r="L27" i="8"/>
  <c r="Z119" i="7"/>
  <c r="Z179" i="7"/>
  <c r="L10" i="8"/>
  <c r="L19" i="8"/>
  <c r="L35" i="8"/>
  <c r="L32" i="8"/>
  <c r="L6" i="8"/>
  <c r="L28" i="8"/>
  <c r="L20" i="8"/>
  <c r="L24" i="8"/>
  <c r="L11" i="8"/>
  <c r="L16" i="8"/>
  <c r="L36" i="8"/>
  <c r="Z95" i="7"/>
  <c r="L7" i="8"/>
  <c r="L33" i="8"/>
  <c r="L12" i="8"/>
  <c r="F66" i="7"/>
  <c r="D2329" i="10"/>
  <c r="H282" i="7"/>
  <c r="F282" i="7" s="1"/>
  <c r="H66" i="7"/>
  <c r="E50" i="7"/>
  <c r="F27" i="7"/>
  <c r="B18" i="2"/>
  <c r="B19" i="2"/>
  <c r="D9" i="1"/>
  <c r="B20" i="2"/>
  <c r="K7" i="6"/>
  <c r="K15" i="6"/>
  <c r="K23" i="6"/>
  <c r="K31" i="6"/>
  <c r="K10" i="6"/>
  <c r="K18" i="6"/>
  <c r="K26" i="6"/>
  <c r="K34" i="6"/>
  <c r="K5" i="6"/>
  <c r="K13" i="6"/>
  <c r="K21" i="6"/>
  <c r="K29" i="6"/>
  <c r="K37" i="6"/>
  <c r="K11" i="6"/>
  <c r="K19" i="6"/>
  <c r="K27" i="6"/>
  <c r="K35" i="6"/>
  <c r="K30" i="6"/>
  <c r="K8" i="6"/>
  <c r="K12" i="6"/>
  <c r="K17" i="6"/>
  <c r="K22" i="6"/>
  <c r="K4" i="6"/>
  <c r="K9" i="6"/>
  <c r="K14" i="6"/>
  <c r="K24" i="6"/>
  <c r="K36" i="6"/>
  <c r="K6" i="6"/>
  <c r="K28" i="6"/>
  <c r="K33" i="6"/>
  <c r="L22" i="8"/>
  <c r="L37" i="8"/>
  <c r="K20" i="6"/>
  <c r="Z164" i="7"/>
  <c r="E41" i="7"/>
  <c r="H41" i="7"/>
  <c r="F19" i="7"/>
  <c r="B3320" i="10"/>
  <c r="C3322" i="10"/>
  <c r="F3324" i="10"/>
  <c r="L9" i="11"/>
  <c r="F15" i="7"/>
  <c r="E5" i="6" s="1"/>
  <c r="L34" i="11"/>
  <c r="L15" i="11"/>
  <c r="L45" i="11"/>
  <c r="D11" i="1"/>
  <c r="Y562" i="10"/>
  <c r="L7" i="11"/>
  <c r="L23" i="11"/>
  <c r="L39" i="11"/>
  <c r="L4" i="11"/>
  <c r="L20" i="11"/>
  <c r="L36" i="11"/>
  <c r="L17" i="11"/>
  <c r="L33" i="11"/>
  <c r="L49" i="11"/>
  <c r="L14" i="11"/>
  <c r="L30" i="11"/>
  <c r="L46" i="11"/>
  <c r="L11" i="11"/>
  <c r="L27" i="11"/>
  <c r="L43" i="11"/>
  <c r="L8" i="11"/>
  <c r="L24" i="11"/>
  <c r="L40" i="11"/>
  <c r="L5" i="11"/>
  <c r="L21" i="11"/>
  <c r="L37" i="11"/>
  <c r="L12" i="11"/>
  <c r="L28" i="11"/>
  <c r="L44" i="11"/>
  <c r="E3314" i="10"/>
  <c r="C3312" i="10"/>
  <c r="B3312" i="10" s="1"/>
  <c r="E2311" i="10"/>
  <c r="C2309" i="10"/>
  <c r="B1929" i="10"/>
  <c r="F645" i="10"/>
  <c r="F647" i="10" s="1"/>
  <c r="F669" i="10" s="1"/>
  <c r="I645" i="10"/>
  <c r="C3320" i="10"/>
  <c r="B751" i="10"/>
  <c r="D2321" i="10"/>
  <c r="D2324" i="10" s="1"/>
  <c r="C2324" i="10" s="1"/>
  <c r="I2321" i="10"/>
  <c r="E1844" i="10"/>
  <c r="F1945" i="10"/>
  <c r="D558" i="10"/>
  <c r="C554" i="10"/>
  <c r="B554" i="10" s="1"/>
  <c r="B2309" i="10"/>
  <c r="C516" i="10"/>
  <c r="L520" i="10"/>
  <c r="I695" i="10"/>
  <c r="C645" i="10"/>
  <c r="C695" i="10"/>
  <c r="E1947" i="10"/>
  <c r="D522" i="10"/>
  <c r="D524" i="10" s="1"/>
  <c r="D529" i="10" s="1"/>
  <c r="B749" i="10"/>
  <c r="D2155" i="10"/>
  <c r="D941" i="10"/>
  <c r="C941" i="10" s="1"/>
  <c r="C1325" i="10"/>
  <c r="C697" i="10"/>
  <c r="F511" i="10"/>
  <c r="B680" i="10"/>
  <c r="D647" i="10"/>
  <c r="D669" i="10" s="1"/>
  <c r="E686" i="10"/>
  <c r="C680" i="10"/>
  <c r="E669" i="10"/>
  <c r="D940" i="10"/>
  <c r="C940" i="10" s="1"/>
  <c r="I940" i="10"/>
  <c r="B940" i="10" s="1"/>
  <c r="L684" i="10"/>
  <c r="D686" i="10"/>
  <c r="D706" i="10" s="1"/>
  <c r="D739" i="10" s="1"/>
  <c r="C938" i="10"/>
  <c r="B938" i="10" s="1"/>
  <c r="C621" i="10"/>
  <c r="B621" i="10" s="1"/>
  <c r="E558" i="10"/>
  <c r="I691" i="10"/>
  <c r="B691" i="10" s="1"/>
  <c r="I641" i="10"/>
  <c r="B641" i="10" s="1"/>
  <c r="E962" i="10"/>
  <c r="F931" i="10"/>
  <c r="F933" i="10" s="1"/>
  <c r="I556" i="10"/>
  <c r="B556" i="10" s="1"/>
  <c r="X17" i="23"/>
  <c r="C691" i="10"/>
  <c r="D623" i="10"/>
  <c r="C623" i="10" s="1"/>
  <c r="B623" i="10" s="1"/>
  <c r="I516" i="10"/>
  <c r="D12" i="1"/>
  <c r="B21" i="2"/>
  <c r="C751" i="10"/>
  <c r="L757" i="10" s="1"/>
  <c r="C641" i="10"/>
  <c r="D627" i="10"/>
  <c r="D629" i="10" s="1"/>
  <c r="D634" i="10" s="1"/>
  <c r="E17" i="23"/>
  <c r="F17" i="23"/>
  <c r="I17" i="23"/>
  <c r="J17" i="23"/>
  <c r="K17" i="23"/>
  <c r="L17" i="23"/>
  <c r="M17" i="23"/>
  <c r="N17" i="23"/>
  <c r="O17" i="23"/>
  <c r="P17" i="23"/>
  <c r="E20" i="23"/>
  <c r="J20" i="23"/>
  <c r="K20" i="23"/>
  <c r="L20" i="23"/>
  <c r="N20" i="23"/>
  <c r="P20" i="23"/>
  <c r="R20" i="23"/>
  <c r="X20" i="23"/>
  <c r="P11" i="23"/>
  <c r="R11" i="23"/>
  <c r="X11" i="23"/>
  <c r="F11" i="23"/>
  <c r="G11" i="23"/>
  <c r="I11" i="23"/>
  <c r="J11" i="23"/>
  <c r="K11" i="23"/>
  <c r="L11" i="23"/>
  <c r="N11" i="23"/>
  <c r="I693" i="10"/>
  <c r="B693" i="10" s="1"/>
  <c r="I643" i="10"/>
  <c r="B643" i="10" s="1"/>
  <c r="C57" i="10"/>
  <c r="F10" i="23"/>
  <c r="G10" i="23"/>
  <c r="I10" i="23"/>
  <c r="J10" i="23"/>
  <c r="K10" i="23"/>
  <c r="L10" i="23"/>
  <c r="X10" i="23"/>
  <c r="E10" i="23"/>
  <c r="F8" i="23"/>
  <c r="G8" i="23"/>
  <c r="I8" i="23"/>
  <c r="J8" i="23"/>
  <c r="K8" i="23"/>
  <c r="L8" i="23"/>
  <c r="X8" i="23"/>
  <c r="J7" i="23"/>
  <c r="K7" i="23"/>
  <c r="L7" i="23"/>
  <c r="X7" i="23"/>
  <c r="F7" i="23"/>
  <c r="G7" i="23"/>
  <c r="I7" i="23"/>
  <c r="X19" i="23"/>
  <c r="F19" i="23"/>
  <c r="G19" i="23"/>
  <c r="I19" i="23"/>
  <c r="J19" i="23"/>
  <c r="K19" i="23"/>
  <c r="L19" i="23"/>
  <c r="M19" i="23"/>
  <c r="N19" i="23"/>
  <c r="O19" i="23"/>
  <c r="P19" i="23"/>
  <c r="F6" i="23"/>
  <c r="G6" i="23"/>
  <c r="I6" i="23"/>
  <c r="J6" i="23"/>
  <c r="K6" i="23"/>
  <c r="L6" i="23"/>
  <c r="X6" i="23"/>
  <c r="J6" i="20"/>
  <c r="Q18" i="23"/>
  <c r="Q16" i="23"/>
  <c r="R13" i="23"/>
  <c r="P18" i="23"/>
  <c r="P16" i="23"/>
  <c r="P13" i="23"/>
  <c r="O18" i="23"/>
  <c r="O16" i="23"/>
  <c r="N13" i="23"/>
  <c r="N18" i="23"/>
  <c r="N16" i="23"/>
  <c r="X14" i="23"/>
  <c r="L13" i="23"/>
  <c r="J10" i="20"/>
  <c r="D19" i="1"/>
  <c r="M18" i="23"/>
  <c r="M16" i="23"/>
  <c r="R14" i="23"/>
  <c r="K13" i="23"/>
  <c r="L18" i="23"/>
  <c r="L16" i="23"/>
  <c r="P14" i="23"/>
  <c r="J4" i="20"/>
  <c r="K18" i="23"/>
  <c r="K16" i="23"/>
  <c r="N14" i="23"/>
  <c r="I13" i="23"/>
  <c r="J18" i="23"/>
  <c r="J16" i="23"/>
  <c r="L14" i="23"/>
  <c r="H18" i="23"/>
  <c r="H16" i="23"/>
  <c r="J14" i="23"/>
  <c r="G18" i="23"/>
  <c r="G16" i="23"/>
  <c r="I14" i="23"/>
  <c r="F16" i="23"/>
  <c r="G14" i="23"/>
  <c r="E16" i="23"/>
  <c r="K245" i="5" l="1"/>
  <c r="F47" i="4" s="1"/>
  <c r="C4" i="23"/>
  <c r="D1" i="1" s="1"/>
  <c r="G145" i="5"/>
  <c r="D32" i="4" s="1"/>
  <c r="G245" i="5"/>
  <c r="D47" i="4" s="1"/>
  <c r="D495" i="10"/>
  <c r="F12" i="9"/>
  <c r="F757" i="10"/>
  <c r="I757" i="10"/>
  <c r="D600" i="10"/>
  <c r="F14" i="9"/>
  <c r="F205" i="10"/>
  <c r="I205" i="10"/>
  <c r="E133" i="7"/>
  <c r="J133" i="7"/>
  <c r="F99" i="14"/>
  <c r="J100" i="14"/>
  <c r="C921" i="10"/>
  <c r="E925" i="10"/>
  <c r="H129" i="14"/>
  <c r="E129" i="14"/>
  <c r="F3280" i="10"/>
  <c r="I3280" i="10"/>
  <c r="I1042" i="10"/>
  <c r="F1042" i="10"/>
  <c r="E65" i="14"/>
  <c r="H65" i="14"/>
  <c r="I955" i="10"/>
  <c r="F955" i="10"/>
  <c r="E1077" i="10"/>
  <c r="I1077" i="10"/>
  <c r="G12" i="8"/>
  <c r="H9" i="5"/>
  <c r="I9" i="5" s="1"/>
  <c r="H88" i="5"/>
  <c r="I88" i="5" s="1"/>
  <c r="H168" i="5"/>
  <c r="I168" i="5" s="1"/>
  <c r="E112" i="7"/>
  <c r="J112" i="7"/>
  <c r="F222" i="7"/>
  <c r="B921" i="10"/>
  <c r="L894" i="10"/>
  <c r="L1100" i="10"/>
  <c r="L243" i="10"/>
  <c r="L383" i="10"/>
  <c r="L1276" i="10"/>
  <c r="L267" i="10"/>
  <c r="L407" i="10"/>
  <c r="L141" i="10"/>
  <c r="L2627" i="10"/>
  <c r="L1672" i="10"/>
  <c r="L2709" i="10"/>
  <c r="L1590" i="10"/>
  <c r="L3147" i="10"/>
  <c r="L3229" i="10"/>
  <c r="I9" i="22"/>
  <c r="E72" i="14"/>
  <c r="H72" i="14"/>
  <c r="I14" i="8"/>
  <c r="L11" i="5"/>
  <c r="M11" i="5" s="1"/>
  <c r="M8" i="5" s="1"/>
  <c r="L90" i="5"/>
  <c r="M90" i="5" s="1"/>
  <c r="M87" i="5" s="1"/>
  <c r="L170" i="5"/>
  <c r="M170" i="5" s="1"/>
  <c r="M167" i="5" s="1"/>
  <c r="F769" i="10"/>
  <c r="I769" i="10"/>
  <c r="K1424" i="10"/>
  <c r="K2981" i="10"/>
  <c r="K2461" i="10"/>
  <c r="H18" i="22"/>
  <c r="F2103" i="10"/>
  <c r="C2103" i="10" s="1"/>
  <c r="I2103" i="10"/>
  <c r="B2103" i="10" s="1"/>
  <c r="E635" i="10"/>
  <c r="C669" i="10"/>
  <c r="G15" i="9"/>
  <c r="C1945" i="10"/>
  <c r="F1946" i="10"/>
  <c r="G4" i="8"/>
  <c r="G107" i="7"/>
  <c r="H107" i="7" s="1"/>
  <c r="G95" i="7"/>
  <c r="H95" i="7" s="1"/>
  <c r="G231" i="7"/>
  <c r="H231" i="7" s="1"/>
  <c r="G202" i="7"/>
  <c r="H202" i="7" s="1"/>
  <c r="G119" i="7"/>
  <c r="H119" i="7" s="1"/>
  <c r="G168" i="7"/>
  <c r="H168" i="7" s="1"/>
  <c r="G272" i="7"/>
  <c r="H272" i="7" s="1"/>
  <c r="G183" i="7"/>
  <c r="H183" i="7" s="1"/>
  <c r="L2253" i="10"/>
  <c r="L2143" i="10"/>
  <c r="L2036" i="10"/>
  <c r="I20" i="22"/>
  <c r="H22" i="14"/>
  <c r="E22" i="14"/>
  <c r="F3096" i="10"/>
  <c r="I3096" i="10"/>
  <c r="I345" i="10"/>
  <c r="F345" i="10"/>
  <c r="D635" i="10"/>
  <c r="F15" i="9"/>
  <c r="L1208" i="10"/>
  <c r="I6" i="22"/>
  <c r="E8" i="14"/>
  <c r="H8" i="14"/>
  <c r="E117" i="7"/>
  <c r="J117" i="7"/>
  <c r="F117" i="7" s="1"/>
  <c r="K2659" i="10"/>
  <c r="K2205" i="10"/>
  <c r="K2099" i="10"/>
  <c r="K3179" i="10"/>
  <c r="K1622" i="10"/>
  <c r="F138" i="14"/>
  <c r="I139" i="14"/>
  <c r="E702" i="10"/>
  <c r="I702" i="10"/>
  <c r="F52" i="14"/>
  <c r="I53" i="14"/>
  <c r="E131" i="14"/>
  <c r="J131" i="14"/>
  <c r="E15" i="14"/>
  <c r="H15" i="14"/>
  <c r="F3043" i="10"/>
  <c r="I3043" i="10"/>
  <c r="F42" i="14"/>
  <c r="G69" i="5"/>
  <c r="G68" i="5" s="1"/>
  <c r="D18" i="4" s="1"/>
  <c r="K68" i="5"/>
  <c r="F18" i="4" s="1"/>
  <c r="B998" i="10"/>
  <c r="F44" i="14"/>
  <c r="I45" i="14"/>
  <c r="C647" i="10"/>
  <c r="B645" i="10"/>
  <c r="E187" i="7"/>
  <c r="J187" i="7"/>
  <c r="F187" i="7" s="1"/>
  <c r="I10" i="14"/>
  <c r="F9" i="14"/>
  <c r="F172" i="14"/>
  <c r="L177" i="14"/>
  <c r="H28" i="13" s="1"/>
  <c r="G11" i="13"/>
  <c r="F1884" i="10"/>
  <c r="I1884" i="10"/>
  <c r="E104" i="14"/>
  <c r="H104" i="14"/>
  <c r="F2771" i="10"/>
  <c r="I2771" i="10"/>
  <c r="E31" i="14"/>
  <c r="J31" i="14"/>
  <c r="C998" i="10"/>
  <c r="F1000" i="10"/>
  <c r="F2209" i="10"/>
  <c r="C2209" i="10" s="1"/>
  <c r="I2209" i="10"/>
  <c r="B2209" i="10" s="1"/>
  <c r="C558" i="10"/>
  <c r="C1292" i="10"/>
  <c r="E26" i="9"/>
  <c r="F635" i="10"/>
  <c r="H15" i="9"/>
  <c r="L625" i="10"/>
  <c r="F41" i="7"/>
  <c r="E172" i="7"/>
  <c r="J172" i="7"/>
  <c r="F172" i="7" s="1"/>
  <c r="F66" i="14"/>
  <c r="I67" i="14"/>
  <c r="I157" i="7"/>
  <c r="I147" i="7"/>
  <c r="I262" i="7"/>
  <c r="H13" i="22"/>
  <c r="F128" i="14"/>
  <c r="I3181" i="10"/>
  <c r="F3181" i="10"/>
  <c r="E51" i="14"/>
  <c r="H51" i="14"/>
  <c r="I1539" i="10"/>
  <c r="F1539" i="10"/>
  <c r="F3213" i="10"/>
  <c r="I3213" i="10"/>
  <c r="F17" i="14"/>
  <c r="J18" i="14"/>
  <c r="E88" i="7"/>
  <c r="J88" i="7"/>
  <c r="F1149" i="10"/>
  <c r="I1149" i="10"/>
  <c r="C931" i="10"/>
  <c r="C2311" i="10"/>
  <c r="E2329" i="10"/>
  <c r="J227" i="7"/>
  <c r="F227" i="7" s="1"/>
  <c r="E227" i="7"/>
  <c r="E65" i="7"/>
  <c r="J65" i="7"/>
  <c r="F65" i="7" s="1"/>
  <c r="L1794" i="10"/>
  <c r="I23" i="22"/>
  <c r="L862" i="10"/>
  <c r="L1067" i="10"/>
  <c r="L1240" i="10"/>
  <c r="I10" i="22"/>
  <c r="I113" i="14"/>
  <c r="F112" i="14"/>
  <c r="K157" i="7"/>
  <c r="L157" i="7" s="1"/>
  <c r="L158" i="7" s="1"/>
  <c r="L159" i="7" s="1"/>
  <c r="H21" i="6" s="1"/>
  <c r="K262" i="7"/>
  <c r="L262" i="7" s="1"/>
  <c r="L263" i="7" s="1"/>
  <c r="L264" i="7" s="1"/>
  <c r="H31" i="6" s="1"/>
  <c r="K147" i="7"/>
  <c r="L147" i="7" s="1"/>
  <c r="L148" i="7" s="1"/>
  <c r="L149" i="7" s="1"/>
  <c r="H20" i="6" s="1"/>
  <c r="I13" i="22"/>
  <c r="J63" i="7"/>
  <c r="E63" i="7"/>
  <c r="G107" i="5"/>
  <c r="F2661" i="10"/>
  <c r="I2661" i="10"/>
  <c r="H58" i="14"/>
  <c r="E58" i="14"/>
  <c r="F2860" i="10"/>
  <c r="I2860" i="10"/>
  <c r="F2693" i="10"/>
  <c r="I2693" i="10"/>
  <c r="J107" i="14"/>
  <c r="F173" i="14"/>
  <c r="G227" i="5"/>
  <c r="D46" i="4" s="1"/>
  <c r="E47" i="7"/>
  <c r="J47" i="7"/>
  <c r="E93" i="7"/>
  <c r="J93" i="7"/>
  <c r="F93" i="7" s="1"/>
  <c r="J74" i="7"/>
  <c r="F74" i="7" s="1"/>
  <c r="E74" i="7"/>
  <c r="J19" i="10"/>
  <c r="G15" i="22"/>
  <c r="F79" i="14"/>
  <c r="E14" i="13" s="1"/>
  <c r="F125" i="14"/>
  <c r="E21" i="13" s="1"/>
  <c r="H21" i="13"/>
  <c r="E144" i="14"/>
  <c r="H144" i="14"/>
  <c r="E72" i="7"/>
  <c r="J72" i="7"/>
  <c r="F2101" i="10"/>
  <c r="I2101" i="10"/>
  <c r="E36" i="14"/>
  <c r="H36" i="14"/>
  <c r="F1724" i="10"/>
  <c r="I1724" i="10"/>
  <c r="F1656" i="10"/>
  <c r="I1656" i="10"/>
  <c r="J155" i="14"/>
  <c r="K227" i="5"/>
  <c r="F46" i="4" s="1"/>
  <c r="F67" i="10"/>
  <c r="I67" i="10"/>
  <c r="E111" i="14"/>
  <c r="H111" i="14"/>
  <c r="B516" i="10"/>
  <c r="E8" i="7"/>
  <c r="J8" i="7"/>
  <c r="J105" i="7"/>
  <c r="F105" i="7" s="1"/>
  <c r="E105" i="7"/>
  <c r="E9" i="7"/>
  <c r="J9" i="7"/>
  <c r="F9" i="7" s="1"/>
  <c r="J64" i="7"/>
  <c r="F64" i="7" s="1"/>
  <c r="E64" i="7"/>
  <c r="I161" i="14"/>
  <c r="F160" i="14"/>
  <c r="K42" i="7"/>
  <c r="L42" i="7" s="1"/>
  <c r="L43" i="7" s="1"/>
  <c r="H9" i="6" s="1"/>
  <c r="K35" i="7"/>
  <c r="L35" i="7" s="1"/>
  <c r="L36" i="7" s="1"/>
  <c r="H8" i="6" s="1"/>
  <c r="K28" i="7"/>
  <c r="L28" i="7" s="1"/>
  <c r="L29" i="7" s="1"/>
  <c r="H7" i="6" s="1"/>
  <c r="K21" i="7"/>
  <c r="L21" i="7" s="1"/>
  <c r="L22" i="7" s="1"/>
  <c r="H6" i="6" s="1"/>
  <c r="K59" i="7"/>
  <c r="L59" i="7" s="1"/>
  <c r="L60" i="7" s="1"/>
  <c r="H11" i="6" s="1"/>
  <c r="I21" i="22"/>
  <c r="F150" i="14"/>
  <c r="L301" i="10"/>
  <c r="L441" i="10"/>
  <c r="I22" i="22"/>
  <c r="F2207" i="10"/>
  <c r="I2207" i="10"/>
  <c r="H137" i="14"/>
  <c r="E137" i="14"/>
  <c r="F1741" i="10"/>
  <c r="I1741" i="10"/>
  <c r="F24" i="14"/>
  <c r="J25" i="14"/>
  <c r="F520" i="10"/>
  <c r="I520" i="10"/>
  <c r="E100" i="7"/>
  <c r="J100" i="7"/>
  <c r="E83" i="14"/>
  <c r="H83" i="14"/>
  <c r="D670" i="10"/>
  <c r="F16" i="9"/>
  <c r="C3314" i="10"/>
  <c r="E3324" i="10"/>
  <c r="J48" i="7"/>
  <c r="F48" i="7" s="1"/>
  <c r="E48" i="7"/>
  <c r="E73" i="7"/>
  <c r="J73" i="7"/>
  <c r="F73" i="7" s="1"/>
  <c r="E175" i="14"/>
  <c r="J175" i="14"/>
  <c r="J147" i="14"/>
  <c r="F146" i="14"/>
  <c r="F214" i="7"/>
  <c r="F1624" i="10"/>
  <c r="I1624" i="10"/>
  <c r="E118" i="14"/>
  <c r="H118" i="14"/>
  <c r="I1486" i="10"/>
  <c r="F1486" i="10"/>
  <c r="F25" i="10"/>
  <c r="I25" i="10"/>
  <c r="B695" i="10"/>
  <c r="F684" i="10"/>
  <c r="I684" i="10"/>
  <c r="H50" i="11"/>
  <c r="J224" i="5"/>
  <c r="B923" i="10"/>
  <c r="F268" i="7"/>
  <c r="E306" i="7"/>
  <c r="J306" i="7"/>
  <c r="F306" i="7" s="1"/>
  <c r="F167" i="14"/>
  <c r="I168" i="14"/>
  <c r="B505" i="10"/>
  <c r="K60" i="5"/>
  <c r="F17" i="4" s="1"/>
  <c r="H90" i="14"/>
  <c r="E90" i="14"/>
  <c r="F2523" i="10"/>
  <c r="I2523" i="10"/>
  <c r="F173" i="10"/>
  <c r="I173" i="10"/>
  <c r="L2837" i="10"/>
  <c r="I25" i="22"/>
  <c r="F477" i="10"/>
  <c r="I477" i="10"/>
  <c r="F153" i="7"/>
  <c r="E314" i="7"/>
  <c r="J314" i="7"/>
  <c r="F314" i="7" s="1"/>
  <c r="E503" i="10"/>
  <c r="I503" i="10"/>
  <c r="L1522" i="10"/>
  <c r="L1996" i="10"/>
  <c r="L2806" i="10"/>
  <c r="L2559" i="10"/>
  <c r="L3079" i="10"/>
  <c r="I11" i="22"/>
  <c r="E43" i="14"/>
  <c r="H43" i="14"/>
  <c r="F1834" i="10"/>
  <c r="I1834" i="10"/>
  <c r="F2914" i="10"/>
  <c r="I2914" i="10"/>
  <c r="L2463" i="10"/>
  <c r="L2983" i="10"/>
  <c r="L1426" i="10"/>
  <c r="I18" i="22"/>
  <c r="E973" i="10"/>
  <c r="I973" i="10"/>
  <c r="C2321" i="10"/>
  <c r="B2321" i="10" s="1"/>
  <c r="E289" i="7"/>
  <c r="J289" i="7"/>
  <c r="I608" i="10"/>
  <c r="E608" i="10"/>
  <c r="J93" i="14"/>
  <c r="D992" i="10"/>
  <c r="I992" i="10"/>
  <c r="E143" i="7"/>
  <c r="J143" i="7"/>
  <c r="E29" i="14"/>
  <c r="H29" i="14"/>
  <c r="F2576" i="10"/>
  <c r="I2576" i="10"/>
  <c r="F2394" i="10"/>
  <c r="I2394" i="10"/>
  <c r="F136" i="14"/>
  <c r="F975" i="10"/>
  <c r="I975" i="10"/>
  <c r="G271" i="7"/>
  <c r="H271" i="7" s="1"/>
  <c r="G283" i="7"/>
  <c r="H283" i="7" s="1"/>
  <c r="G26" i="22"/>
  <c r="E871" i="10"/>
  <c r="I871" i="10"/>
  <c r="J124" i="7"/>
  <c r="E124" i="7"/>
  <c r="F258" i="7"/>
  <c r="E1252" i="10"/>
  <c r="I1252" i="10"/>
  <c r="B610" i="10"/>
  <c r="E152" i="14"/>
  <c r="H152" i="14"/>
  <c r="F834" i="10"/>
  <c r="I834" i="10"/>
  <c r="E166" i="14"/>
  <c r="H166" i="14"/>
  <c r="F1357" i="10"/>
  <c r="I1357" i="10"/>
  <c r="F1998" i="10"/>
  <c r="C1998" i="10" s="1"/>
  <c r="I1998" i="10"/>
  <c r="K1520" i="10" l="1"/>
  <c r="K2804" i="10"/>
  <c r="K2557" i="10"/>
  <c r="K3077" i="10"/>
  <c r="K1994" i="10"/>
  <c r="H11" i="22"/>
  <c r="F152" i="14"/>
  <c r="H155" i="14"/>
  <c r="F25" i="13" s="1"/>
  <c r="C975" i="10"/>
  <c r="F977" i="10"/>
  <c r="K612" i="10"/>
  <c r="K614" i="10"/>
  <c r="C608" i="10"/>
  <c r="B608" i="10" s="1"/>
  <c r="C2101" i="10"/>
  <c r="B2101" i="10" s="1"/>
  <c r="F2105" i="10"/>
  <c r="C2329" i="10"/>
  <c r="F2361" i="10"/>
  <c r="C1884" i="10"/>
  <c r="F1886" i="10"/>
  <c r="G21" i="4"/>
  <c r="F383" i="10"/>
  <c r="I383" i="10"/>
  <c r="F956" i="10"/>
  <c r="C955" i="10"/>
  <c r="F243" i="10"/>
  <c r="I243" i="10"/>
  <c r="F289" i="7"/>
  <c r="I21" i="8"/>
  <c r="L49" i="5"/>
  <c r="M49" i="5" s="1"/>
  <c r="L206" i="5"/>
  <c r="M206" i="5" s="1"/>
  <c r="L126" i="5"/>
  <c r="M126" i="5" s="1"/>
  <c r="J262" i="7"/>
  <c r="K283" i="7"/>
  <c r="L283" i="7" s="1"/>
  <c r="K271" i="7"/>
  <c r="L271" i="7" s="1"/>
  <c r="I26" i="22"/>
  <c r="E2099" i="10"/>
  <c r="I2099" i="10"/>
  <c r="H25" i="14"/>
  <c r="F6" i="13" s="1"/>
  <c r="F22" i="14"/>
  <c r="H75" i="14"/>
  <c r="F72" i="14"/>
  <c r="I894" i="10"/>
  <c r="F894" i="10"/>
  <c r="I2837" i="10"/>
  <c r="F2837" i="10"/>
  <c r="I7" i="8"/>
  <c r="K199" i="7"/>
  <c r="L199" i="7" s="1"/>
  <c r="F144" i="14"/>
  <c r="H147" i="14"/>
  <c r="F24" i="13" s="1"/>
  <c r="B2693" i="10"/>
  <c r="F1152" i="10"/>
  <c r="F1187" i="10" s="1"/>
  <c r="F1188" i="10" s="1"/>
  <c r="C1149" i="10"/>
  <c r="B1149" i="10" s="1"/>
  <c r="J147" i="7"/>
  <c r="E2205" i="10"/>
  <c r="I2205" i="10"/>
  <c r="H15" i="11"/>
  <c r="I299" i="7"/>
  <c r="C1042" i="10"/>
  <c r="F1044" i="10"/>
  <c r="F1049" i="10" s="1"/>
  <c r="F1050" i="10" s="1"/>
  <c r="C205" i="10"/>
  <c r="B205" i="10" s="1"/>
  <c r="F207" i="10"/>
  <c r="F214" i="10" s="1"/>
  <c r="G7" i="4"/>
  <c r="I8" i="8"/>
  <c r="K165" i="7"/>
  <c r="L165" i="7" s="1"/>
  <c r="K180" i="7"/>
  <c r="L180" i="7" s="1"/>
  <c r="F70" i="10"/>
  <c r="F73" i="10" s="1"/>
  <c r="F109" i="10" s="1"/>
  <c r="C67" i="10"/>
  <c r="B67" i="10" s="1"/>
  <c r="F2695" i="10"/>
  <c r="C2693" i="10"/>
  <c r="J113" i="14"/>
  <c r="E113" i="14"/>
  <c r="F88" i="7"/>
  <c r="J157" i="7"/>
  <c r="B3043" i="10"/>
  <c r="E2659" i="10"/>
  <c r="I2659" i="10"/>
  <c r="F2036" i="10"/>
  <c r="I2036" i="10"/>
  <c r="C635" i="10"/>
  <c r="E15" i="9"/>
  <c r="B1042" i="10"/>
  <c r="F147" i="14"/>
  <c r="E24" i="13" s="1"/>
  <c r="G24" i="13"/>
  <c r="F175" i="10"/>
  <c r="C173" i="10"/>
  <c r="I9" i="8"/>
  <c r="K290" i="7"/>
  <c r="L290" i="7" s="1"/>
  <c r="K237" i="7"/>
  <c r="L237" i="7" s="1"/>
  <c r="K134" i="7"/>
  <c r="L134" i="7" s="1"/>
  <c r="K248" i="7"/>
  <c r="L248" i="7" s="1"/>
  <c r="K125" i="7"/>
  <c r="L125" i="7" s="1"/>
  <c r="L2145" i="10"/>
  <c r="L2038" i="10"/>
  <c r="I19" i="22"/>
  <c r="F19" i="22" s="1"/>
  <c r="B2860" i="10"/>
  <c r="F3045" i="10"/>
  <c r="C3043" i="10"/>
  <c r="F2143" i="10"/>
  <c r="I2143" i="10"/>
  <c r="F3229" i="10"/>
  <c r="I3229" i="10"/>
  <c r="I6" i="8"/>
  <c r="K101" i="7"/>
  <c r="L101" i="7" s="1"/>
  <c r="K89" i="7"/>
  <c r="L89" i="7" s="1"/>
  <c r="K223" i="7"/>
  <c r="L223" i="7" s="1"/>
  <c r="K179" i="7"/>
  <c r="L179" i="7" s="1"/>
  <c r="K113" i="7"/>
  <c r="L113" i="7" s="1"/>
  <c r="K164" i="7"/>
  <c r="L164" i="7" s="1"/>
  <c r="B1252" i="10"/>
  <c r="F2806" i="10"/>
  <c r="I2806" i="10"/>
  <c r="F1522" i="10"/>
  <c r="I1522" i="10"/>
  <c r="H93" i="14"/>
  <c r="F16" i="13" s="1"/>
  <c r="F90" i="14"/>
  <c r="F1240" i="10"/>
  <c r="I1240" i="10"/>
  <c r="G5" i="13"/>
  <c r="E67" i="14"/>
  <c r="J67" i="14"/>
  <c r="E10" i="14"/>
  <c r="J10" i="14"/>
  <c r="F15" i="14"/>
  <c r="H18" i="14"/>
  <c r="F5" i="13" s="1"/>
  <c r="F2253" i="10"/>
  <c r="I2253" i="10"/>
  <c r="F3147" i="10"/>
  <c r="I3147" i="10"/>
  <c r="F112" i="7"/>
  <c r="F3282" i="10"/>
  <c r="F3296" i="10" s="1"/>
  <c r="F3297" i="10" s="1"/>
  <c r="C3280" i="10"/>
  <c r="B3280" i="10" s="1"/>
  <c r="I11" i="8"/>
  <c r="K208" i="7"/>
  <c r="L208" i="7" s="1"/>
  <c r="F1996" i="10"/>
  <c r="I1996" i="10"/>
  <c r="F2862" i="10"/>
  <c r="C2860" i="10"/>
  <c r="B1998" i="10"/>
  <c r="H32" i="14"/>
  <c r="F7" i="13" s="1"/>
  <c r="F29" i="14"/>
  <c r="F1426" i="10"/>
  <c r="I1426" i="10"/>
  <c r="C1486" i="10"/>
  <c r="F1488" i="10"/>
  <c r="C3324" i="10"/>
  <c r="F3330" i="10"/>
  <c r="E161" i="14"/>
  <c r="J161" i="14"/>
  <c r="G25" i="13"/>
  <c r="F155" i="14"/>
  <c r="E25" i="13" s="1"/>
  <c r="F1067" i="10"/>
  <c r="I1067" i="10"/>
  <c r="H11" i="14"/>
  <c r="F4" i="13" s="1"/>
  <c r="F8" i="14"/>
  <c r="I1590" i="10"/>
  <c r="F1590" i="10"/>
  <c r="G14" i="11"/>
  <c r="G313" i="7"/>
  <c r="H313" i="7" s="1"/>
  <c r="K224" i="5"/>
  <c r="F3098" i="10"/>
  <c r="C3096" i="10"/>
  <c r="B3096" i="10" s="1"/>
  <c r="F175" i="14"/>
  <c r="J177" i="14"/>
  <c r="G18" i="13"/>
  <c r="C1252" i="10"/>
  <c r="E1254" i="10"/>
  <c r="C1254" i="10" s="1"/>
  <c r="C973" i="10"/>
  <c r="B973" i="10" s="1"/>
  <c r="E977" i="10"/>
  <c r="F27" i="10"/>
  <c r="F39" i="10" s="1"/>
  <c r="C25" i="10"/>
  <c r="B1486" i="10"/>
  <c r="F137" i="14"/>
  <c r="H140" i="14"/>
  <c r="F23" i="13" s="1"/>
  <c r="F58" i="14"/>
  <c r="H61" i="14"/>
  <c r="F862" i="10"/>
  <c r="I862" i="10"/>
  <c r="B3213" i="10"/>
  <c r="F31" i="14"/>
  <c r="J32" i="14"/>
  <c r="F131" i="14"/>
  <c r="J132" i="14"/>
  <c r="F2709" i="10"/>
  <c r="I2709" i="10"/>
  <c r="F129" i="14"/>
  <c r="H132" i="14"/>
  <c r="F22" i="13" s="1"/>
  <c r="I20" i="8"/>
  <c r="L48" i="5"/>
  <c r="M48" i="5" s="1"/>
  <c r="L125" i="5"/>
  <c r="M125" i="5" s="1"/>
  <c r="L205" i="5"/>
  <c r="M205" i="5" s="1"/>
  <c r="E1622" i="10"/>
  <c r="I1622" i="10"/>
  <c r="B173" i="10"/>
  <c r="F72" i="7"/>
  <c r="J77" i="7"/>
  <c r="I3179" i="10"/>
  <c r="E3179" i="10"/>
  <c r="G6" i="13"/>
  <c r="C2394" i="10"/>
  <c r="F2396" i="10"/>
  <c r="F2430" i="10" s="1"/>
  <c r="F2431" i="10" s="1"/>
  <c r="E168" i="14"/>
  <c r="J168" i="14"/>
  <c r="D19" i="10"/>
  <c r="I19" i="10"/>
  <c r="C3213" i="10"/>
  <c r="F3215" i="10"/>
  <c r="E2461" i="10"/>
  <c r="I2461" i="10"/>
  <c r="F1672" i="10"/>
  <c r="I1672" i="10"/>
  <c r="E933" i="10"/>
  <c r="C925" i="10"/>
  <c r="F1913" i="10"/>
  <c r="H35" i="9"/>
  <c r="C1946" i="10"/>
  <c r="F111" i="14"/>
  <c r="H114" i="14"/>
  <c r="F19" i="13" s="1"/>
  <c r="F1100" i="10"/>
  <c r="I1100" i="10"/>
  <c r="I2559" i="10"/>
  <c r="F2559" i="10"/>
  <c r="B2207" i="10"/>
  <c r="C1656" i="10"/>
  <c r="B1656" i="10" s="1"/>
  <c r="F1658" i="10"/>
  <c r="C1357" i="10"/>
  <c r="F1359" i="10"/>
  <c r="F1393" i="10" s="1"/>
  <c r="F1394" i="10" s="1"/>
  <c r="E873" i="10"/>
  <c r="C873" i="10" s="1"/>
  <c r="C871" i="10"/>
  <c r="J148" i="7"/>
  <c r="F143" i="7"/>
  <c r="B2914" i="10"/>
  <c r="C2207" i="10"/>
  <c r="F2211" i="10"/>
  <c r="F2663" i="10"/>
  <c r="C2661" i="10"/>
  <c r="B2661" i="10" s="1"/>
  <c r="F1794" i="10"/>
  <c r="I1794" i="10"/>
  <c r="F1541" i="10"/>
  <c r="C1539" i="10"/>
  <c r="E53" i="14"/>
  <c r="J53" i="14"/>
  <c r="F1208" i="10"/>
  <c r="I1208" i="10"/>
  <c r="E2981" i="10"/>
  <c r="I2981" i="10"/>
  <c r="F2627" i="10"/>
  <c r="I2627" i="10"/>
  <c r="C757" i="10"/>
  <c r="B757" i="10" s="1"/>
  <c r="F759" i="10"/>
  <c r="I31" i="8"/>
  <c r="L127" i="5"/>
  <c r="M127" i="5" s="1"/>
  <c r="F65" i="14"/>
  <c r="H68" i="14"/>
  <c r="F12" i="13" s="1"/>
  <c r="B684" i="10"/>
  <c r="C684" i="10"/>
  <c r="F686" i="10"/>
  <c r="B25" i="10"/>
  <c r="F1726" i="10"/>
  <c r="C1724" i="10"/>
  <c r="B1724" i="10" s="1"/>
  <c r="B1539" i="10"/>
  <c r="F625" i="10"/>
  <c r="I625" i="10"/>
  <c r="C2771" i="10"/>
  <c r="B2771" i="10" s="1"/>
  <c r="F2773" i="10"/>
  <c r="G15" i="11"/>
  <c r="G299" i="7"/>
  <c r="H299" i="7" s="1"/>
  <c r="E1424" i="10"/>
  <c r="I1424" i="10"/>
  <c r="F141" i="10"/>
  <c r="I141" i="10"/>
  <c r="G17" i="13"/>
  <c r="F100" i="14"/>
  <c r="E17" i="13" s="1"/>
  <c r="G12" i="11"/>
  <c r="G241" i="7"/>
  <c r="H241" i="7" s="1"/>
  <c r="G305" i="7"/>
  <c r="H305" i="7" s="1"/>
  <c r="H307" i="7" s="1"/>
  <c r="H308" i="7" s="1"/>
  <c r="F36" i="6" s="1"/>
  <c r="G252" i="7"/>
  <c r="H252" i="7" s="1"/>
  <c r="G216" i="7"/>
  <c r="H216" i="7" s="1"/>
  <c r="G228" i="7"/>
  <c r="H228" i="7" s="1"/>
  <c r="I2983" i="10"/>
  <c r="F2983" i="10"/>
  <c r="B1357" i="10"/>
  <c r="F2463" i="10"/>
  <c r="I2463" i="10"/>
  <c r="G16" i="11"/>
  <c r="G311" i="7"/>
  <c r="H311" i="7" s="1"/>
  <c r="H169" i="14"/>
  <c r="F27" i="13" s="1"/>
  <c r="F166" i="14"/>
  <c r="F2916" i="10"/>
  <c r="F2950" i="10" s="1"/>
  <c r="F2951" i="10" s="1"/>
  <c r="C2914" i="10"/>
  <c r="F83" i="14"/>
  <c r="H86" i="14"/>
  <c r="B992" i="10"/>
  <c r="C1624" i="10"/>
  <c r="B1624" i="10" s="1"/>
  <c r="F1626" i="10"/>
  <c r="F36" i="14"/>
  <c r="H39" i="14"/>
  <c r="F51" i="14"/>
  <c r="H54" i="14"/>
  <c r="F10" i="13" s="1"/>
  <c r="I15" i="11"/>
  <c r="K299" i="7"/>
  <c r="L299" i="7" s="1"/>
  <c r="F104" i="14"/>
  <c r="H107" i="14"/>
  <c r="F18" i="13" s="1"/>
  <c r="F407" i="10"/>
  <c r="I407" i="10"/>
  <c r="F522" i="10"/>
  <c r="C520" i="10"/>
  <c r="B520" i="10" s="1"/>
  <c r="B2394" i="10"/>
  <c r="F2525" i="10"/>
  <c r="C2523" i="10"/>
  <c r="B2523" i="10" s="1"/>
  <c r="K509" i="10"/>
  <c r="C503" i="10"/>
  <c r="B503" i="10" s="1"/>
  <c r="K507" i="10"/>
  <c r="D1000" i="10"/>
  <c r="C992" i="10"/>
  <c r="C1834" i="10"/>
  <c r="B1834" i="10" s="1"/>
  <c r="F1837" i="10"/>
  <c r="F1839" i="10" s="1"/>
  <c r="F1842" i="10" s="1"/>
  <c r="F1843" i="10" s="1"/>
  <c r="F100" i="7"/>
  <c r="F441" i="10"/>
  <c r="I441" i="10"/>
  <c r="C702" i="10"/>
  <c r="B702" i="10" s="1"/>
  <c r="E704" i="10"/>
  <c r="F347" i="10"/>
  <c r="F354" i="10" s="1"/>
  <c r="C345" i="10"/>
  <c r="F771" i="10"/>
  <c r="C769" i="10"/>
  <c r="B769" i="10" s="1"/>
  <c r="F267" i="10"/>
  <c r="I267" i="10"/>
  <c r="F133" i="7"/>
  <c r="B955" i="10"/>
  <c r="F3079" i="10"/>
  <c r="I3079" i="10"/>
  <c r="F2578" i="10"/>
  <c r="C2576" i="10"/>
  <c r="B2576" i="10" s="1"/>
  <c r="C1741" i="10"/>
  <c r="B1741" i="10" s="1"/>
  <c r="F1743" i="10"/>
  <c r="F124" i="7"/>
  <c r="B871" i="10"/>
  <c r="F118" i="14"/>
  <c r="H121" i="14"/>
  <c r="B834" i="10"/>
  <c r="F839" i="10"/>
  <c r="F842" i="10" s="1"/>
  <c r="F843" i="10" s="1"/>
  <c r="C834" i="10"/>
  <c r="B975" i="10"/>
  <c r="F93" i="14"/>
  <c r="E16" i="13" s="1"/>
  <c r="G16" i="13"/>
  <c r="H46" i="14"/>
  <c r="F9" i="13" s="1"/>
  <c r="F43" i="14"/>
  <c r="C477" i="10"/>
  <c r="B477" i="10" s="1"/>
  <c r="F479" i="10"/>
  <c r="F481" i="10" s="1"/>
  <c r="F494" i="10" s="1"/>
  <c r="F301" i="10"/>
  <c r="I301" i="10"/>
  <c r="F8" i="7"/>
  <c r="J11" i="7"/>
  <c r="F47" i="7"/>
  <c r="F63" i="7"/>
  <c r="J68" i="7"/>
  <c r="F3183" i="10"/>
  <c r="C3181" i="10"/>
  <c r="B3181" i="10" s="1"/>
  <c r="B1884" i="10"/>
  <c r="E45" i="14"/>
  <c r="J45" i="14"/>
  <c r="E139" i="14"/>
  <c r="J139" i="14"/>
  <c r="B345" i="10"/>
  <c r="G35" i="4"/>
  <c r="F1276" i="10"/>
  <c r="I1276" i="10"/>
  <c r="C1077" i="10"/>
  <c r="B1077" i="10" s="1"/>
  <c r="E1078" i="10"/>
  <c r="C1078" i="10" s="1"/>
  <c r="F460" i="10" l="1"/>
  <c r="H11" i="9"/>
  <c r="I509" i="10"/>
  <c r="E509" i="10"/>
  <c r="C509" i="10" s="1"/>
  <c r="C2463" i="10"/>
  <c r="F2466" i="10"/>
  <c r="F2499" i="10" s="1"/>
  <c r="F2500" i="10" s="1"/>
  <c r="G22" i="13"/>
  <c r="F132" i="14"/>
  <c r="E22" i="13" s="1"/>
  <c r="J765" i="10"/>
  <c r="J1038" i="10"/>
  <c r="J1143" i="10"/>
  <c r="J826" i="10"/>
  <c r="J341" i="10"/>
  <c r="J1830" i="10"/>
  <c r="J2519" i="10"/>
  <c r="J473" i="10"/>
  <c r="J1737" i="10"/>
  <c r="J1720" i="10"/>
  <c r="J1482" i="10"/>
  <c r="J2856" i="10"/>
  <c r="J2767" i="10"/>
  <c r="J3039" i="10"/>
  <c r="J3092" i="10"/>
  <c r="J3276" i="10"/>
  <c r="J1535" i="10"/>
  <c r="J2572" i="10"/>
  <c r="G82" i="7"/>
  <c r="H82" i="7" s="1"/>
  <c r="H84" i="7" s="1"/>
  <c r="H85" i="7" s="1"/>
  <c r="F14" i="6" s="1"/>
  <c r="G7" i="22"/>
  <c r="F2257" i="10"/>
  <c r="F2259" i="10" s="1"/>
  <c r="C2253" i="10"/>
  <c r="B2253" i="10" s="1"/>
  <c r="F13" i="13"/>
  <c r="F75" i="14"/>
  <c r="E13" i="13" s="1"/>
  <c r="J63" i="10"/>
  <c r="J201" i="10"/>
  <c r="G5" i="22"/>
  <c r="J1204" i="10"/>
  <c r="G6" i="22"/>
  <c r="F773" i="10"/>
  <c r="F809" i="10" s="1"/>
  <c r="C759" i="10"/>
  <c r="C2559" i="10"/>
  <c r="B2559" i="10" s="1"/>
  <c r="F2561" i="10"/>
  <c r="F2580" i="10" s="1"/>
  <c r="F2603" i="10" s="1"/>
  <c r="F2604" i="10" s="1"/>
  <c r="B2461" i="10"/>
  <c r="K953" i="10"/>
  <c r="H16" i="22"/>
  <c r="C1067" i="10"/>
  <c r="F1070" i="10"/>
  <c r="F10" i="14"/>
  <c r="J11" i="14"/>
  <c r="F2038" i="10"/>
  <c r="C2038" i="10" s="1"/>
  <c r="I2038" i="10"/>
  <c r="F1120" i="10"/>
  <c r="H23" i="9"/>
  <c r="E614" i="10"/>
  <c r="C614" i="10" s="1"/>
  <c r="I614" i="10"/>
  <c r="B614" i="10" s="1"/>
  <c r="F139" i="14"/>
  <c r="J140" i="14"/>
  <c r="C1794" i="10"/>
  <c r="B1794" i="10" s="1"/>
  <c r="F1797" i="10"/>
  <c r="F1808" i="10" s="1"/>
  <c r="F1809" i="10" s="1"/>
  <c r="C2461" i="10"/>
  <c r="E2466" i="10"/>
  <c r="F107" i="14"/>
  <c r="E18" i="13" s="1"/>
  <c r="F2145" i="10"/>
  <c r="C2145" i="10" s="1"/>
  <c r="I2145" i="10"/>
  <c r="B2036" i="10"/>
  <c r="C2099" i="10"/>
  <c r="B2099" i="10" s="1"/>
  <c r="E2105" i="10"/>
  <c r="E612" i="10"/>
  <c r="I612" i="10"/>
  <c r="F320" i="10"/>
  <c r="H9" i="9"/>
  <c r="C1672" i="10"/>
  <c r="F1674" i="10"/>
  <c r="F45" i="14"/>
  <c r="J46" i="14"/>
  <c r="J1094" i="10"/>
  <c r="J1270" i="10"/>
  <c r="J239" i="10"/>
  <c r="J379" i="10"/>
  <c r="J263" i="10"/>
  <c r="J403" i="10"/>
  <c r="J137" i="10"/>
  <c r="J888" i="10"/>
  <c r="J1586" i="10"/>
  <c r="J1668" i="10"/>
  <c r="J2705" i="10"/>
  <c r="J2623" i="10"/>
  <c r="J3225" i="10"/>
  <c r="J3143" i="10"/>
  <c r="G9" i="22"/>
  <c r="C441" i="10"/>
  <c r="B441" i="10" s="1"/>
  <c r="F444" i="10"/>
  <c r="C625" i="10"/>
  <c r="B625" i="10" s="1"/>
  <c r="F627" i="10"/>
  <c r="B1100" i="10"/>
  <c r="C1622" i="10"/>
  <c r="B1622" i="10" s="1"/>
  <c r="E1626" i="10"/>
  <c r="B862" i="10"/>
  <c r="F177" i="14"/>
  <c r="E28" i="13" s="1"/>
  <c r="G28" i="13"/>
  <c r="K1792" i="10"/>
  <c r="H23" i="22"/>
  <c r="C1996" i="10"/>
  <c r="B1996" i="10" s="1"/>
  <c r="F2000" i="10"/>
  <c r="F67" i="14"/>
  <c r="J68" i="14"/>
  <c r="C2036" i="10"/>
  <c r="J297" i="10"/>
  <c r="J437" i="10"/>
  <c r="G22" i="22"/>
  <c r="B2627" i="10"/>
  <c r="F1102" i="10"/>
  <c r="C1100" i="10"/>
  <c r="F865" i="10"/>
  <c r="C862" i="10"/>
  <c r="F161" i="14"/>
  <c r="J162" i="14"/>
  <c r="F32" i="14"/>
  <c r="E7" i="13" s="1"/>
  <c r="G7" i="13"/>
  <c r="K1882" i="10"/>
  <c r="H14" i="22"/>
  <c r="F524" i="10"/>
  <c r="F529" i="10" s="1"/>
  <c r="C522" i="10"/>
  <c r="C3079" i="10"/>
  <c r="F3081" i="10"/>
  <c r="F3100" i="10" s="1"/>
  <c r="F3123" i="10" s="1"/>
  <c r="F3124" i="10" s="1"/>
  <c r="B407" i="10"/>
  <c r="F15" i="13"/>
  <c r="F86" i="14"/>
  <c r="E15" i="13" s="1"/>
  <c r="G36" i="8"/>
  <c r="H211" i="5"/>
  <c r="I211" i="5" s="1"/>
  <c r="F2629" i="10"/>
  <c r="C2627" i="10"/>
  <c r="J169" i="10"/>
  <c r="G17" i="22"/>
  <c r="B19" i="10"/>
  <c r="F11" i="13"/>
  <c r="F61" i="14"/>
  <c r="E11" i="13" s="1"/>
  <c r="K65" i="10"/>
  <c r="K203" i="10"/>
  <c r="H5" i="22"/>
  <c r="F5" i="22" s="1"/>
  <c r="E2663" i="10"/>
  <c r="C2659" i="10"/>
  <c r="B2659" i="10" s="1"/>
  <c r="C383" i="10"/>
  <c r="B383" i="10" s="1"/>
  <c r="F385" i="10"/>
  <c r="F387" i="10" s="1"/>
  <c r="F459" i="10" s="1"/>
  <c r="C301" i="10"/>
  <c r="B301" i="10" s="1"/>
  <c r="F304" i="10"/>
  <c r="C3330" i="10"/>
  <c r="F3331" i="10"/>
  <c r="F18" i="14"/>
  <c r="E5" i="13" s="1"/>
  <c r="F180" i="10"/>
  <c r="H7" i="9"/>
  <c r="J1790" i="10"/>
  <c r="G23" i="22"/>
  <c r="F8" i="13"/>
  <c r="F39" i="14"/>
  <c r="E8" i="13" s="1"/>
  <c r="B1672" i="10"/>
  <c r="F68" i="7"/>
  <c r="J69" i="7"/>
  <c r="F1810" i="10"/>
  <c r="H33" i="9"/>
  <c r="F1745" i="10"/>
  <c r="F1774" i="10" s="1"/>
  <c r="F1775" i="10" s="1"/>
  <c r="C2981" i="10"/>
  <c r="B2981" i="10" s="1"/>
  <c r="E2986" i="10"/>
  <c r="F168" i="14"/>
  <c r="J169" i="14"/>
  <c r="K218" i="5"/>
  <c r="F45" i="4" s="1"/>
  <c r="J263" i="7"/>
  <c r="F40" i="10"/>
  <c r="H5" i="9"/>
  <c r="C407" i="10"/>
  <c r="F409" i="10"/>
  <c r="F447" i="10" s="1"/>
  <c r="H45" i="9"/>
  <c r="F2883" i="10"/>
  <c r="J149" i="7"/>
  <c r="C1913" i="10"/>
  <c r="E35" i="9"/>
  <c r="J2249" i="10"/>
  <c r="J2139" i="10"/>
  <c r="J2032" i="10"/>
  <c r="G20" i="22"/>
  <c r="G35" i="7"/>
  <c r="H35" i="7" s="1"/>
  <c r="H36" i="7" s="1"/>
  <c r="F8" i="6" s="1"/>
  <c r="G28" i="7"/>
  <c r="H28" i="7" s="1"/>
  <c r="H29" i="7" s="1"/>
  <c r="F7" i="6" s="1"/>
  <c r="G21" i="7"/>
  <c r="H21" i="7" s="1"/>
  <c r="H22" i="7" s="1"/>
  <c r="F6" i="6" s="1"/>
  <c r="G59" i="7"/>
  <c r="H59" i="7" s="1"/>
  <c r="H60" i="7" s="1"/>
  <c r="F11" i="6" s="1"/>
  <c r="G42" i="7"/>
  <c r="H42" i="7" s="1"/>
  <c r="H43" i="7" s="1"/>
  <c r="F9" i="6" s="1"/>
  <c r="G21" i="22"/>
  <c r="H49" i="9"/>
  <c r="F3264" i="10"/>
  <c r="C1240" i="10"/>
  <c r="B1240" i="10" s="1"/>
  <c r="F1245" i="10"/>
  <c r="F1280" i="10" s="1"/>
  <c r="F1290" i="10" s="1"/>
  <c r="F1291" i="10" s="1"/>
  <c r="J158" i="7"/>
  <c r="F1017" i="10"/>
  <c r="H21" i="9"/>
  <c r="F2839" i="10"/>
  <c r="F2864" i="10" s="1"/>
  <c r="F2881" i="10" s="1"/>
  <c r="F2882" i="10" s="1"/>
  <c r="C2837" i="10"/>
  <c r="F77" i="7"/>
  <c r="J78" i="7"/>
  <c r="J951" i="10"/>
  <c r="G16" i="22"/>
  <c r="K22" i="10"/>
  <c r="H15" i="22"/>
  <c r="F15" i="22" s="1"/>
  <c r="C1208" i="10"/>
  <c r="B1208" i="10" s="1"/>
  <c r="F1212" i="10"/>
  <c r="F1221" i="10" s="1"/>
  <c r="F1222" i="10" s="1"/>
  <c r="I35" i="11"/>
  <c r="F35" i="11" s="1"/>
  <c r="L62" i="5"/>
  <c r="L139" i="5"/>
  <c r="L220" i="5"/>
  <c r="F2363" i="10"/>
  <c r="H40" i="9"/>
  <c r="B2837" i="10"/>
  <c r="E1994" i="10"/>
  <c r="I1994" i="10"/>
  <c r="F810" i="10"/>
  <c r="H18" i="9"/>
  <c r="J2833" i="10"/>
  <c r="G25" i="22"/>
  <c r="J1880" i="10"/>
  <c r="G14" i="22"/>
  <c r="C3229" i="10"/>
  <c r="B3229" i="10" s="1"/>
  <c r="F3231" i="10"/>
  <c r="E299" i="7"/>
  <c r="J299" i="7"/>
  <c r="F299" i="7" s="1"/>
  <c r="E3077" i="10"/>
  <c r="I3077" i="10"/>
  <c r="F2808" i="10"/>
  <c r="C2806" i="10"/>
  <c r="B2806" i="10" s="1"/>
  <c r="C704" i="10"/>
  <c r="E706" i="10"/>
  <c r="C2983" i="10"/>
  <c r="B2983" i="10" s="1"/>
  <c r="F2986" i="10"/>
  <c r="F3019" i="10" s="1"/>
  <c r="F3020" i="10" s="1"/>
  <c r="B1067" i="10"/>
  <c r="F245" i="10"/>
  <c r="F247" i="10" s="1"/>
  <c r="F319" i="10" s="1"/>
  <c r="C243" i="10"/>
  <c r="B3079" i="10"/>
  <c r="D27" i="10"/>
  <c r="D39" i="10" s="1"/>
  <c r="C19" i="10"/>
  <c r="F20" i="13"/>
  <c r="F121" i="14"/>
  <c r="E20" i="13" s="1"/>
  <c r="F706" i="10"/>
  <c r="F739" i="10" s="1"/>
  <c r="C686" i="10"/>
  <c r="F53" i="14"/>
  <c r="J54" i="14"/>
  <c r="F269" i="10"/>
  <c r="F307" i="10" s="1"/>
  <c r="C267" i="10"/>
  <c r="B267" i="10" s="1"/>
  <c r="F143" i="10"/>
  <c r="F176" i="10" s="1"/>
  <c r="F179" i="10" s="1"/>
  <c r="C141" i="10"/>
  <c r="B141" i="10" s="1"/>
  <c r="F1326" i="10"/>
  <c r="H27" i="9"/>
  <c r="F25" i="14"/>
  <c r="E6" i="13" s="1"/>
  <c r="B2143" i="10"/>
  <c r="F15" i="11"/>
  <c r="C894" i="10"/>
  <c r="B894" i="10" s="1"/>
  <c r="F896" i="10"/>
  <c r="E2557" i="10"/>
  <c r="I2557" i="10"/>
  <c r="C1276" i="10"/>
  <c r="B1276" i="10" s="1"/>
  <c r="F1278" i="10"/>
  <c r="G4" i="6"/>
  <c r="F11" i="7"/>
  <c r="E4" i="6" s="1"/>
  <c r="K1206" i="10"/>
  <c r="H6" i="22"/>
  <c r="F6" i="22" s="1"/>
  <c r="C2709" i="10"/>
  <c r="B2709" i="10" s="1"/>
  <c r="F2711" i="10"/>
  <c r="F5" i="10"/>
  <c r="H4" i="9"/>
  <c r="F1592" i="10"/>
  <c r="F1676" i="10" s="1"/>
  <c r="F1705" i="10" s="1"/>
  <c r="F1706" i="10" s="1"/>
  <c r="C1590" i="10"/>
  <c r="B1590" i="10" s="1"/>
  <c r="F1429" i="10"/>
  <c r="F1462" i="10" s="1"/>
  <c r="F1463" i="10" s="1"/>
  <c r="C1426" i="10"/>
  <c r="B1426" i="10" s="1"/>
  <c r="F3149" i="10"/>
  <c r="F3233" i="10" s="1"/>
  <c r="F3262" i="10" s="1"/>
  <c r="F3263" i="10" s="1"/>
  <c r="C3147" i="10"/>
  <c r="B3147" i="10" s="1"/>
  <c r="F1524" i="10"/>
  <c r="F1543" i="10" s="1"/>
  <c r="F1566" i="10" s="1"/>
  <c r="F1567" i="10" s="1"/>
  <c r="C1522" i="10"/>
  <c r="B1522" i="10" s="1"/>
  <c r="C2143" i="10"/>
  <c r="F2147" i="10"/>
  <c r="F2149" i="10" s="1"/>
  <c r="F113" i="14"/>
  <c r="J114" i="14"/>
  <c r="C2361" i="10"/>
  <c r="F2362" i="10"/>
  <c r="E2804" i="10"/>
  <c r="I2804" i="10"/>
  <c r="J1353" i="10"/>
  <c r="J2390" i="10"/>
  <c r="J2910" i="10"/>
  <c r="G4" i="22"/>
  <c r="B243" i="10"/>
  <c r="E507" i="10"/>
  <c r="I507" i="10"/>
  <c r="J856" i="10"/>
  <c r="J1234" i="10"/>
  <c r="J1061" i="10"/>
  <c r="G10" i="22"/>
  <c r="B2463" i="10"/>
  <c r="C1424" i="10"/>
  <c r="B1424" i="10" s="1"/>
  <c r="E1429" i="10"/>
  <c r="J1652" i="10"/>
  <c r="J3209" i="10"/>
  <c r="J2689" i="10"/>
  <c r="G12" i="22"/>
  <c r="C933" i="10"/>
  <c r="C3179" i="10"/>
  <c r="B3179" i="10" s="1"/>
  <c r="E3183" i="10"/>
  <c r="K299" i="10"/>
  <c r="K439" i="10"/>
  <c r="H22" i="22"/>
  <c r="F22" i="22" s="1"/>
  <c r="C2205" i="10"/>
  <c r="B2205" i="10" s="1"/>
  <c r="E2211" i="10"/>
  <c r="I1520" i="10"/>
  <c r="E1520" i="10"/>
  <c r="F1464" i="10" l="1"/>
  <c r="H29" i="9"/>
  <c r="F3021" i="10"/>
  <c r="H47" i="9"/>
  <c r="F2501" i="10"/>
  <c r="H42" i="9"/>
  <c r="F2744" i="10"/>
  <c r="H44" i="9"/>
  <c r="C507" i="10"/>
  <c r="E511" i="10"/>
  <c r="D341" i="10"/>
  <c r="I341" i="10"/>
  <c r="H46" i="9"/>
  <c r="F2952" i="10"/>
  <c r="D2833" i="10"/>
  <c r="I2833" i="10"/>
  <c r="E3019" i="10"/>
  <c r="J1518" i="10"/>
  <c r="J1992" i="10"/>
  <c r="J2802" i="10"/>
  <c r="J3075" i="10"/>
  <c r="J2555" i="10"/>
  <c r="G11" i="22"/>
  <c r="F11" i="22" s="1"/>
  <c r="F14" i="22"/>
  <c r="D403" i="10"/>
  <c r="I403" i="10"/>
  <c r="D826" i="10"/>
  <c r="I826" i="10"/>
  <c r="F3125" i="10"/>
  <c r="H48" i="9"/>
  <c r="E22" i="10"/>
  <c r="I22" i="10"/>
  <c r="I49" i="11"/>
  <c r="L194" i="5"/>
  <c r="M194" i="5" s="1"/>
  <c r="F3298" i="10"/>
  <c r="H50" i="9"/>
  <c r="C3331" i="10"/>
  <c r="E1882" i="10"/>
  <c r="I1882" i="10"/>
  <c r="D263" i="10"/>
  <c r="I263" i="10"/>
  <c r="G14" i="8"/>
  <c r="H11" i="5"/>
  <c r="I11" i="5" s="1"/>
  <c r="I8" i="5" s="1"/>
  <c r="H90" i="5"/>
  <c r="I90" i="5" s="1"/>
  <c r="I87" i="5" s="1"/>
  <c r="H170" i="5"/>
  <c r="I170" i="5" s="1"/>
  <c r="I167" i="5" s="1"/>
  <c r="D1143" i="10"/>
  <c r="I1143" i="10"/>
  <c r="H31" i="9"/>
  <c r="F1707" i="10"/>
  <c r="K1484" i="10"/>
  <c r="K830" i="10"/>
  <c r="K475" i="10"/>
  <c r="K343" i="10"/>
  <c r="K767" i="10"/>
  <c r="K1040" i="10"/>
  <c r="K1146" i="10"/>
  <c r="K2769" i="10"/>
  <c r="K1537" i="10"/>
  <c r="K2574" i="10"/>
  <c r="K1832" i="10"/>
  <c r="K2521" i="10"/>
  <c r="K1739" i="10"/>
  <c r="K2858" i="10"/>
  <c r="K1722" i="10"/>
  <c r="K3041" i="10"/>
  <c r="K3094" i="10"/>
  <c r="I82" i="7"/>
  <c r="K3278" i="10"/>
  <c r="H7" i="22"/>
  <c r="F7" i="22" s="1"/>
  <c r="D437" i="10"/>
  <c r="I437" i="10"/>
  <c r="D379" i="10"/>
  <c r="I379" i="10"/>
  <c r="F740" i="10"/>
  <c r="H17" i="9"/>
  <c r="D2572" i="10"/>
  <c r="I2572" i="10"/>
  <c r="I1038" i="10"/>
  <c r="D1038" i="10"/>
  <c r="E1524" i="10"/>
  <c r="C1520" i="10"/>
  <c r="D3209" i="10"/>
  <c r="I3209" i="10"/>
  <c r="I1353" i="10"/>
  <c r="D1353" i="10"/>
  <c r="F1395" i="10"/>
  <c r="H28" i="9"/>
  <c r="D951" i="10"/>
  <c r="I951" i="10"/>
  <c r="I45" i="11"/>
  <c r="L188" i="5"/>
  <c r="M188" i="5" s="1"/>
  <c r="I33" i="11"/>
  <c r="L116" i="5"/>
  <c r="M116" i="5" s="1"/>
  <c r="L196" i="5"/>
  <c r="M196" i="5" s="1"/>
  <c r="L37" i="5"/>
  <c r="M37" i="5" s="1"/>
  <c r="D297" i="10"/>
  <c r="I297" i="10"/>
  <c r="F629" i="10"/>
  <c r="F634" i="10" s="1"/>
  <c r="C627" i="10"/>
  <c r="D239" i="10"/>
  <c r="I239" i="10"/>
  <c r="B2145" i="10"/>
  <c r="D1535" i="10"/>
  <c r="I1535" i="10"/>
  <c r="I765" i="10"/>
  <c r="D765" i="10"/>
  <c r="B1520" i="10"/>
  <c r="B2804" i="10"/>
  <c r="F54" i="14"/>
  <c r="E10" i="13" s="1"/>
  <c r="G10" i="13"/>
  <c r="G9" i="8"/>
  <c r="G134" i="7"/>
  <c r="H134" i="7" s="1"/>
  <c r="G248" i="7"/>
  <c r="H248" i="7" s="1"/>
  <c r="G125" i="7"/>
  <c r="H125" i="7" s="1"/>
  <c r="G237" i="7"/>
  <c r="H237" i="7" s="1"/>
  <c r="G290" i="7"/>
  <c r="H290" i="7" s="1"/>
  <c r="D169" i="10"/>
  <c r="I169" i="10"/>
  <c r="F2040" i="10"/>
  <c r="F2042" i="10" s="1"/>
  <c r="D1270" i="10"/>
  <c r="I1270" i="10"/>
  <c r="I23" i="11"/>
  <c r="L21" i="5"/>
  <c r="M21" i="5" s="1"/>
  <c r="L100" i="5"/>
  <c r="M100" i="5" s="1"/>
  <c r="L180" i="5"/>
  <c r="M180" i="5" s="1"/>
  <c r="D3276" i="10"/>
  <c r="I3276" i="10"/>
  <c r="I137" i="10"/>
  <c r="D137" i="10"/>
  <c r="D2689" i="10"/>
  <c r="I2689" i="10"/>
  <c r="D2390" i="10"/>
  <c r="I2390" i="10"/>
  <c r="F1568" i="10"/>
  <c r="H30" i="9"/>
  <c r="C1994" i="10"/>
  <c r="B1994" i="10" s="1"/>
  <c r="E2000" i="10"/>
  <c r="G13" i="6"/>
  <c r="F78" i="7"/>
  <c r="E13" i="6" s="1"/>
  <c r="G11" i="8"/>
  <c r="G208" i="7"/>
  <c r="H208" i="7" s="1"/>
  <c r="G12" i="6"/>
  <c r="F69" i="7"/>
  <c r="E12" i="6" s="1"/>
  <c r="D1094" i="10"/>
  <c r="I1094" i="10"/>
  <c r="D1204" i="10"/>
  <c r="I1204" i="10"/>
  <c r="D3092" i="10"/>
  <c r="I3092" i="10"/>
  <c r="K2251" i="10"/>
  <c r="K2141" i="10"/>
  <c r="K2034" i="10"/>
  <c r="H20" i="22"/>
  <c r="F20" i="22" s="1"/>
  <c r="G27" i="13"/>
  <c r="F169" i="14"/>
  <c r="E27" i="13" s="1"/>
  <c r="G6" i="8"/>
  <c r="G164" i="7"/>
  <c r="H164" i="7" s="1"/>
  <c r="G113" i="7"/>
  <c r="H113" i="7" s="1"/>
  <c r="G89" i="7"/>
  <c r="H89" i="7" s="1"/>
  <c r="G101" i="7"/>
  <c r="H101" i="7" s="1"/>
  <c r="G223" i="7"/>
  <c r="H223" i="7" s="1"/>
  <c r="G179" i="7"/>
  <c r="H179" i="7" s="1"/>
  <c r="I5" i="11"/>
  <c r="K103" i="7"/>
  <c r="L103" i="7" s="1"/>
  <c r="K115" i="7"/>
  <c r="L115" i="7" s="1"/>
  <c r="K225" i="7"/>
  <c r="L225" i="7" s="1"/>
  <c r="K292" i="7"/>
  <c r="L292" i="7" s="1"/>
  <c r="K136" i="7"/>
  <c r="L136" i="7" s="1"/>
  <c r="K251" i="7"/>
  <c r="L251" i="7" s="1"/>
  <c r="K170" i="7"/>
  <c r="L170" i="7" s="1"/>
  <c r="K91" i="7"/>
  <c r="L91" i="7" s="1"/>
  <c r="K127" i="7"/>
  <c r="L127" i="7" s="1"/>
  <c r="K240" i="7"/>
  <c r="L240" i="7" s="1"/>
  <c r="K185" i="7"/>
  <c r="L185" i="7" s="1"/>
  <c r="F355" i="10"/>
  <c r="H10" i="9"/>
  <c r="F2713" i="10"/>
  <c r="F2742" i="10" s="1"/>
  <c r="F2743" i="10" s="1"/>
  <c r="B2038" i="10"/>
  <c r="D3039" i="10"/>
  <c r="I3039" i="10"/>
  <c r="F215" i="10"/>
  <c r="H8" i="9"/>
  <c r="F140" i="14"/>
  <c r="E23" i="13" s="1"/>
  <c r="G23" i="13"/>
  <c r="G12" i="13"/>
  <c r="F68" i="14"/>
  <c r="E12" i="13" s="1"/>
  <c r="F46" i="14"/>
  <c r="E9" i="13" s="1"/>
  <c r="G9" i="13"/>
  <c r="I201" i="10"/>
  <c r="D201" i="10"/>
  <c r="D2767" i="10"/>
  <c r="I2767" i="10"/>
  <c r="H41" i="9"/>
  <c r="F2432" i="10"/>
  <c r="I18" i="11"/>
  <c r="L14" i="5"/>
  <c r="M14" i="5" s="1"/>
  <c r="L93" i="5"/>
  <c r="M93" i="5" s="1"/>
  <c r="L173" i="5"/>
  <c r="M173" i="5" s="1"/>
  <c r="D1652" i="10"/>
  <c r="I1652" i="10"/>
  <c r="E2808" i="10"/>
  <c r="C2804" i="10"/>
  <c r="F2294" i="10"/>
  <c r="C2362" i="10"/>
  <c r="H39" i="9"/>
  <c r="G7" i="8"/>
  <c r="G199" i="7"/>
  <c r="H199" i="7" s="1"/>
  <c r="E439" i="10"/>
  <c r="I439" i="10"/>
  <c r="I40" i="11"/>
  <c r="L108" i="5"/>
  <c r="M108" i="5" s="1"/>
  <c r="G8" i="8"/>
  <c r="G165" i="7"/>
  <c r="H165" i="7" s="1"/>
  <c r="G180" i="7"/>
  <c r="H180" i="7" s="1"/>
  <c r="J264" i="7"/>
  <c r="F162" i="14"/>
  <c r="E26" i="13" s="1"/>
  <c r="G26" i="13"/>
  <c r="D3143" i="10"/>
  <c r="I3143" i="10"/>
  <c r="F11" i="14"/>
  <c r="E4" i="13" s="1"/>
  <c r="G4" i="13"/>
  <c r="I63" i="10"/>
  <c r="D63" i="10"/>
  <c r="D2856" i="10"/>
  <c r="I2856" i="10"/>
  <c r="F1189" i="10"/>
  <c r="H24" i="9"/>
  <c r="I888" i="10"/>
  <c r="D888" i="10"/>
  <c r="I1830" i="10"/>
  <c r="D1830" i="10"/>
  <c r="G20" i="6"/>
  <c r="C706" i="10"/>
  <c r="E739" i="10"/>
  <c r="F670" i="10"/>
  <c r="H16" i="9"/>
  <c r="E299" i="10"/>
  <c r="I299" i="10"/>
  <c r="D1061" i="10"/>
  <c r="I1061" i="10"/>
  <c r="J1422" i="10"/>
  <c r="J2459" i="10"/>
  <c r="J2979" i="10"/>
  <c r="G18" i="22"/>
  <c r="F18" i="22" s="1"/>
  <c r="D3225" i="10"/>
  <c r="I3225" i="10"/>
  <c r="E2499" i="10"/>
  <c r="D1482" i="10"/>
  <c r="I1482" i="10"/>
  <c r="F1223" i="10"/>
  <c r="H25" i="9"/>
  <c r="I65" i="10"/>
  <c r="E65" i="10"/>
  <c r="C3077" i="10"/>
  <c r="E3081" i="10"/>
  <c r="D1234" i="10"/>
  <c r="I1234" i="10"/>
  <c r="F114" i="14"/>
  <c r="E19" i="13" s="1"/>
  <c r="G19" i="13"/>
  <c r="M220" i="5"/>
  <c r="G220" i="5" s="1"/>
  <c r="F220" i="5"/>
  <c r="I21" i="11"/>
  <c r="L19" i="5"/>
  <c r="M19" i="5" s="1"/>
  <c r="L178" i="5"/>
  <c r="M178" i="5" s="1"/>
  <c r="L98" i="5"/>
  <c r="M98" i="5" s="1"/>
  <c r="D2032" i="10"/>
  <c r="I2032" i="10"/>
  <c r="J971" i="10"/>
  <c r="G8" i="22"/>
  <c r="F8" i="22" s="1"/>
  <c r="G147" i="7"/>
  <c r="G157" i="7"/>
  <c r="G262" i="7"/>
  <c r="G13" i="22"/>
  <c r="F13" i="22" s="1"/>
  <c r="D2623" i="10"/>
  <c r="I2623" i="10"/>
  <c r="F1104" i="10"/>
  <c r="F1118" i="10" s="1"/>
  <c r="F1119" i="10" s="1"/>
  <c r="J1620" i="10"/>
  <c r="J2203" i="10"/>
  <c r="J2097" i="10"/>
  <c r="J2657" i="10"/>
  <c r="J3177" i="10"/>
  <c r="D1720" i="10"/>
  <c r="I1720" i="10"/>
  <c r="B509" i="10"/>
  <c r="M139" i="5"/>
  <c r="G139" i="5" s="1"/>
  <c r="F139" i="5"/>
  <c r="D2139" i="10"/>
  <c r="I2139" i="10"/>
  <c r="F898" i="10"/>
  <c r="F911" i="10" s="1"/>
  <c r="F912" i="10" s="1"/>
  <c r="F23" i="22"/>
  <c r="D2705" i="10"/>
  <c r="I2705" i="10"/>
  <c r="D1737" i="10"/>
  <c r="I1737" i="10"/>
  <c r="F495" i="10"/>
  <c r="H12" i="9"/>
  <c r="C612" i="10"/>
  <c r="B612" i="10" s="1"/>
  <c r="E616" i="10"/>
  <c r="C2557" i="10"/>
  <c r="B2557" i="10" s="1"/>
  <c r="E2561" i="10"/>
  <c r="D5" i="10"/>
  <c r="F4" i="9"/>
  <c r="I27" i="11"/>
  <c r="L29" i="5"/>
  <c r="M29" i="5" s="1"/>
  <c r="J159" i="7"/>
  <c r="D2249" i="10"/>
  <c r="I2249" i="10"/>
  <c r="D1790" i="10"/>
  <c r="I1790" i="10"/>
  <c r="E1792" i="10"/>
  <c r="I1792" i="10"/>
  <c r="I1668" i="10"/>
  <c r="D1668" i="10"/>
  <c r="I9" i="11"/>
  <c r="K192" i="7"/>
  <c r="L192" i="7" s="1"/>
  <c r="L194" i="7" s="1"/>
  <c r="L195" i="7" s="1"/>
  <c r="H24" i="6" s="1"/>
  <c r="F16" i="22"/>
  <c r="D473" i="10"/>
  <c r="I473" i="10"/>
  <c r="I11" i="11"/>
  <c r="K193" i="7"/>
  <c r="L193" i="7" s="1"/>
  <c r="F110" i="10"/>
  <c r="H6" i="9"/>
  <c r="D2910" i="10"/>
  <c r="I2910" i="10"/>
  <c r="E1462" i="10"/>
  <c r="L562" i="10"/>
  <c r="F562" i="10" s="1"/>
  <c r="F564" i="10" s="1"/>
  <c r="F566" i="10" s="1"/>
  <c r="F599" i="10" s="1"/>
  <c r="I4" i="11"/>
  <c r="K52" i="7"/>
  <c r="L52" i="7" s="1"/>
  <c r="L53" i="7" s="1"/>
  <c r="H10" i="6" s="1"/>
  <c r="B3077" i="10"/>
  <c r="D856" i="10"/>
  <c r="I856" i="10"/>
  <c r="E1206" i="10"/>
  <c r="I1206" i="10"/>
  <c r="M62" i="5"/>
  <c r="G62" i="5" s="1"/>
  <c r="F62" i="5"/>
  <c r="B507" i="10"/>
  <c r="I107" i="7"/>
  <c r="I183" i="7"/>
  <c r="I272" i="7"/>
  <c r="H4" i="8"/>
  <c r="F4" i="8" s="1"/>
  <c r="I231" i="7"/>
  <c r="I202" i="7"/>
  <c r="I119" i="7"/>
  <c r="I168" i="7"/>
  <c r="I95" i="7"/>
  <c r="I1880" i="10"/>
  <c r="D1880" i="10"/>
  <c r="I7" i="11"/>
  <c r="K126" i="7"/>
  <c r="L126" i="7" s="1"/>
  <c r="K102" i="7"/>
  <c r="L102" i="7" s="1"/>
  <c r="K249" i="7"/>
  <c r="L249" i="7" s="1"/>
  <c r="K186" i="7"/>
  <c r="L186" i="7" s="1"/>
  <c r="K200" i="7"/>
  <c r="L200" i="7" s="1"/>
  <c r="K90" i="7"/>
  <c r="L90" i="7" s="1"/>
  <c r="K114" i="7"/>
  <c r="L114" i="7" s="1"/>
  <c r="K224" i="7"/>
  <c r="L224" i="7" s="1"/>
  <c r="K135" i="7"/>
  <c r="L135" i="7" s="1"/>
  <c r="K209" i="7"/>
  <c r="L209" i="7" s="1"/>
  <c r="K284" i="7"/>
  <c r="L284" i="7" s="1"/>
  <c r="K274" i="7"/>
  <c r="L274" i="7" s="1"/>
  <c r="K171" i="7"/>
  <c r="L171" i="7" s="1"/>
  <c r="K238" i="7"/>
  <c r="L238" i="7" s="1"/>
  <c r="K291" i="7"/>
  <c r="L291" i="7" s="1"/>
  <c r="E203" i="10"/>
  <c r="I203" i="10"/>
  <c r="I271" i="7"/>
  <c r="I283" i="7"/>
  <c r="H26" i="22"/>
  <c r="F26" i="22" s="1"/>
  <c r="D1586" i="10"/>
  <c r="I1586" i="10"/>
  <c r="F1776" i="10"/>
  <c r="H32" i="9"/>
  <c r="E953" i="10"/>
  <c r="I953" i="10"/>
  <c r="D2519" i="10"/>
  <c r="I2519" i="10"/>
  <c r="F1051" i="10" l="1"/>
  <c r="H22" i="9"/>
  <c r="K169" i="7"/>
  <c r="L169" i="7" s="1"/>
  <c r="I6" i="11"/>
  <c r="K92" i="7"/>
  <c r="L92" i="7" s="1"/>
  <c r="K128" i="7"/>
  <c r="L128" i="7" s="1"/>
  <c r="K239" i="7"/>
  <c r="L239" i="7" s="1"/>
  <c r="K104" i="7"/>
  <c r="L104" i="7" s="1"/>
  <c r="K116" i="7"/>
  <c r="L116" i="7" s="1"/>
  <c r="K137" i="7"/>
  <c r="L137" i="7" s="1"/>
  <c r="K226" i="7"/>
  <c r="L226" i="7" s="1"/>
  <c r="K250" i="7"/>
  <c r="L250" i="7" s="1"/>
  <c r="K184" i="7"/>
  <c r="L184" i="7" s="1"/>
  <c r="K293" i="7"/>
  <c r="L293" i="7" s="1"/>
  <c r="C2249" i="10"/>
  <c r="D2257" i="10"/>
  <c r="D2259" i="10" s="1"/>
  <c r="D2711" i="10"/>
  <c r="C2705" i="10"/>
  <c r="K171" i="10"/>
  <c r="H17" i="22"/>
  <c r="F17" i="22" s="1"/>
  <c r="D1658" i="10"/>
  <c r="C1652" i="10"/>
  <c r="I35" i="7"/>
  <c r="I28" i="7"/>
  <c r="I21" i="7"/>
  <c r="I59" i="7"/>
  <c r="I42" i="7"/>
  <c r="H21" i="22"/>
  <c r="F21" i="22" s="1"/>
  <c r="B1270" i="10"/>
  <c r="D771" i="10"/>
  <c r="D773" i="10" s="1"/>
  <c r="D809" i="10" s="1"/>
  <c r="C765" i="10"/>
  <c r="E1537" i="10"/>
  <c r="I1537" i="10"/>
  <c r="D839" i="10"/>
  <c r="D842" i="10" s="1"/>
  <c r="D843" i="10" s="1"/>
  <c r="C826" i="10"/>
  <c r="H20" i="8"/>
  <c r="J48" i="5"/>
  <c r="J205" i="5"/>
  <c r="J125" i="5"/>
  <c r="D1592" i="10"/>
  <c r="C1586" i="10"/>
  <c r="D1837" i="10"/>
  <c r="D1839" i="10" s="1"/>
  <c r="D1842" i="10" s="1"/>
  <c r="D1843" i="10" s="1"/>
  <c r="C1830" i="10"/>
  <c r="B1830" i="10" s="1"/>
  <c r="C2833" i="10"/>
  <c r="B2833" i="10" s="1"/>
  <c r="D2839" i="10"/>
  <c r="E283" i="7"/>
  <c r="J283" i="7"/>
  <c r="F283" i="7" s="1"/>
  <c r="G21" i="6"/>
  <c r="D2629" i="10"/>
  <c r="C2623" i="10"/>
  <c r="B2623" i="10" s="1"/>
  <c r="D896" i="10"/>
  <c r="C888" i="10"/>
  <c r="E2034" i="10"/>
  <c r="I2034" i="10"/>
  <c r="D1278" i="10"/>
  <c r="C1270" i="10"/>
  <c r="B765" i="10"/>
  <c r="B951" i="10"/>
  <c r="I2769" i="10"/>
  <c r="E2769" i="10"/>
  <c r="I46" i="11"/>
  <c r="L189" i="5"/>
  <c r="M189" i="5" s="1"/>
  <c r="E21" i="4"/>
  <c r="F844" i="10"/>
  <c r="H19" i="9"/>
  <c r="I2979" i="10"/>
  <c r="D2979" i="10"/>
  <c r="B888" i="10"/>
  <c r="I8" i="11"/>
  <c r="K247" i="7"/>
  <c r="L247" i="7" s="1"/>
  <c r="K162" i="7"/>
  <c r="L162" i="7" s="1"/>
  <c r="K177" i="7"/>
  <c r="L177" i="7" s="1"/>
  <c r="K198" i="7"/>
  <c r="L198" i="7" s="1"/>
  <c r="K236" i="7"/>
  <c r="L236" i="7" s="1"/>
  <c r="K207" i="7"/>
  <c r="L207" i="7" s="1"/>
  <c r="L210" i="7" s="1"/>
  <c r="L211" i="7" s="1"/>
  <c r="H26" i="6" s="1"/>
  <c r="I2141" i="10"/>
  <c r="E2141" i="10"/>
  <c r="I30" i="11"/>
  <c r="L32" i="5"/>
  <c r="M32" i="5" s="1"/>
  <c r="C951" i="10"/>
  <c r="D956" i="10"/>
  <c r="D964" i="10" s="1"/>
  <c r="D385" i="10"/>
  <c r="D387" i="10" s="1"/>
  <c r="C379" i="10"/>
  <c r="B379" i="10" s="1"/>
  <c r="E1146" i="10"/>
  <c r="I1146" i="10"/>
  <c r="D269" i="10"/>
  <c r="C263" i="10"/>
  <c r="B263" i="10" s="1"/>
  <c r="B341" i="10"/>
  <c r="E7" i="4"/>
  <c r="E271" i="7"/>
  <c r="J271" i="7"/>
  <c r="L129" i="7"/>
  <c r="L130" i="7" s="1"/>
  <c r="H18" i="6" s="1"/>
  <c r="B2139" i="10"/>
  <c r="H262" i="7"/>
  <c r="E262" i="7"/>
  <c r="D1245" i="10"/>
  <c r="D1280" i="10" s="1"/>
  <c r="D1290" i="10" s="1"/>
  <c r="D1291" i="10" s="1"/>
  <c r="C1234" i="10"/>
  <c r="B1234" i="10" s="1"/>
  <c r="D2459" i="10"/>
  <c r="I2459" i="10"/>
  <c r="I24" i="11"/>
  <c r="L24" i="5"/>
  <c r="M24" i="5" s="1"/>
  <c r="L103" i="5"/>
  <c r="M103" i="5" s="1"/>
  <c r="L183" i="5"/>
  <c r="M183" i="5" s="1"/>
  <c r="I2251" i="10"/>
  <c r="E2251" i="10"/>
  <c r="D1541" i="10"/>
  <c r="C1535" i="10"/>
  <c r="B1535" i="10" s="1"/>
  <c r="I28" i="11"/>
  <c r="L30" i="5"/>
  <c r="M30" i="5" s="1"/>
  <c r="E1040" i="10"/>
  <c r="I1040" i="10"/>
  <c r="B1882" i="10"/>
  <c r="C403" i="10"/>
  <c r="B403" i="10" s="1"/>
  <c r="D409" i="10"/>
  <c r="D347" i="10"/>
  <c r="D354" i="10" s="1"/>
  <c r="C341" i="10"/>
  <c r="C1790" i="10"/>
  <c r="D1797" i="10"/>
  <c r="D1808" i="10" s="1"/>
  <c r="D1809" i="10" s="1"/>
  <c r="D2578" i="10"/>
  <c r="C2572" i="10"/>
  <c r="J107" i="7"/>
  <c r="F107" i="7" s="1"/>
  <c r="E107" i="7"/>
  <c r="G31" i="6"/>
  <c r="H13" i="8"/>
  <c r="F13" i="8" s="1"/>
  <c r="J89" i="5"/>
  <c r="J10" i="5"/>
  <c r="J169" i="5"/>
  <c r="B826" i="10"/>
  <c r="D1422" i="10"/>
  <c r="I1422" i="10"/>
  <c r="B2390" i="10"/>
  <c r="D175" i="10"/>
  <c r="C169" i="10"/>
  <c r="B169" i="10" s="1"/>
  <c r="C437" i="10"/>
  <c r="B437" i="10" s="1"/>
  <c r="D444" i="10"/>
  <c r="E767" i="10"/>
  <c r="I767" i="10"/>
  <c r="C1882" i="10"/>
  <c r="E1886" i="10"/>
  <c r="C511" i="10"/>
  <c r="E524" i="10"/>
  <c r="B1586" i="10"/>
  <c r="E1832" i="10"/>
  <c r="I1832" i="10"/>
  <c r="C2910" i="10"/>
  <c r="B2910" i="10" s="1"/>
  <c r="D2916" i="10"/>
  <c r="D2950" i="10" s="1"/>
  <c r="D2951" i="10" s="1"/>
  <c r="B1206" i="10"/>
  <c r="C2139" i="10"/>
  <c r="D2147" i="10"/>
  <c r="D2149" i="10" s="1"/>
  <c r="L294" i="7"/>
  <c r="L295" i="7" s="1"/>
  <c r="H34" i="6" s="1"/>
  <c r="D1886" i="10"/>
  <c r="C1880" i="10"/>
  <c r="C1206" i="10"/>
  <c r="E1212" i="10"/>
  <c r="D479" i="10"/>
  <c r="D481" i="10" s="1"/>
  <c r="D494" i="10" s="1"/>
  <c r="C473" i="10"/>
  <c r="B473" i="10" s="1"/>
  <c r="J562" i="10"/>
  <c r="D562" i="10" s="1"/>
  <c r="D564" i="10" s="1"/>
  <c r="D566" i="10" s="1"/>
  <c r="D599" i="10" s="1"/>
  <c r="G4" i="11"/>
  <c r="G52" i="7"/>
  <c r="H52" i="7" s="1"/>
  <c r="H53" i="7" s="1"/>
  <c r="F10" i="6" s="1"/>
  <c r="H147" i="7"/>
  <c r="E147" i="7"/>
  <c r="B2856" i="10"/>
  <c r="D3045" i="10"/>
  <c r="C3039" i="10"/>
  <c r="B3039" i="10" s="1"/>
  <c r="D3098" i="10"/>
  <c r="C3092" i="10"/>
  <c r="B3092" i="10" s="1"/>
  <c r="C2390" i="10"/>
  <c r="D2396" i="10"/>
  <c r="D2430" i="10" s="1"/>
  <c r="D2431" i="10" s="1"/>
  <c r="B239" i="10"/>
  <c r="D1359" i="10"/>
  <c r="D1393" i="10" s="1"/>
  <c r="D1394" i="10" s="1"/>
  <c r="C1353" i="10"/>
  <c r="E343" i="10"/>
  <c r="I343" i="10"/>
  <c r="E50" i="9"/>
  <c r="C3298" i="10"/>
  <c r="J183" i="7"/>
  <c r="F183" i="7" s="1"/>
  <c r="E183" i="7"/>
  <c r="B2249" i="10"/>
  <c r="E2574" i="10"/>
  <c r="I2574" i="10"/>
  <c r="C203" i="10"/>
  <c r="B203" i="10" s="1"/>
  <c r="E207" i="10"/>
  <c r="H157" i="7"/>
  <c r="E157" i="7"/>
  <c r="B1880" i="10"/>
  <c r="C65" i="10"/>
  <c r="E70" i="10"/>
  <c r="C1061" i="10"/>
  <c r="B1061" i="10" s="1"/>
  <c r="D1070" i="10"/>
  <c r="D1104" i="10" s="1"/>
  <c r="D1118" i="10" s="1"/>
  <c r="D1119" i="10" s="1"/>
  <c r="C2856" i="10"/>
  <c r="D2862" i="10"/>
  <c r="B439" i="10"/>
  <c r="I41" i="11"/>
  <c r="L109" i="5"/>
  <c r="M109" i="5" s="1"/>
  <c r="C239" i="10"/>
  <c r="D245" i="10"/>
  <c r="D247" i="10" s="1"/>
  <c r="B1353" i="10"/>
  <c r="E3278" i="10"/>
  <c r="I3278" i="10"/>
  <c r="I475" i="10"/>
  <c r="E475" i="10"/>
  <c r="I50" i="11"/>
  <c r="F50" i="11" s="1"/>
  <c r="L224" i="5"/>
  <c r="I44" i="11"/>
  <c r="L114" i="5"/>
  <c r="M114" i="5" s="1"/>
  <c r="M113" i="5" s="1"/>
  <c r="G26" i="4" s="1"/>
  <c r="D865" i="10"/>
  <c r="D898" i="10" s="1"/>
  <c r="D911" i="10" s="1"/>
  <c r="D912" i="10" s="1"/>
  <c r="C856" i="10"/>
  <c r="B856" i="10" s="1"/>
  <c r="B65" i="10"/>
  <c r="B299" i="10"/>
  <c r="D70" i="10"/>
  <c r="D73" i="10" s="1"/>
  <c r="D109" i="10" s="1"/>
  <c r="C63" i="10"/>
  <c r="C439" i="10"/>
  <c r="E444" i="10"/>
  <c r="B2767" i="10"/>
  <c r="F2605" i="10"/>
  <c r="H43" i="9"/>
  <c r="D1212" i="10"/>
  <c r="D1221" i="10" s="1"/>
  <c r="D1222" i="10" s="1"/>
  <c r="C1204" i="10"/>
  <c r="B1204" i="10" s="1"/>
  <c r="D2695" i="10"/>
  <c r="C2689" i="10"/>
  <c r="B2689" i="10" s="1"/>
  <c r="B3209" i="10"/>
  <c r="J82" i="7"/>
  <c r="E82" i="7"/>
  <c r="E830" i="10"/>
  <c r="I830" i="10"/>
  <c r="D2555" i="10"/>
  <c r="I2555" i="10"/>
  <c r="D1620" i="10"/>
  <c r="I1620" i="10"/>
  <c r="I24" i="8"/>
  <c r="L209" i="5"/>
  <c r="M209" i="5" s="1"/>
  <c r="L130" i="5"/>
  <c r="M130" i="5" s="1"/>
  <c r="L52" i="5"/>
  <c r="M52" i="5" s="1"/>
  <c r="B1720" i="10"/>
  <c r="I25" i="11"/>
  <c r="L25" i="5"/>
  <c r="M25" i="5" s="1"/>
  <c r="L184" i="5"/>
  <c r="M184" i="5" s="1"/>
  <c r="L104" i="5"/>
  <c r="M104" i="5" s="1"/>
  <c r="C299" i="10"/>
  <c r="E304" i="10"/>
  <c r="B63" i="10"/>
  <c r="D2773" i="10"/>
  <c r="C2767" i="10"/>
  <c r="I10" i="11"/>
  <c r="K163" i="7"/>
  <c r="L163" i="7" s="1"/>
  <c r="K178" i="7"/>
  <c r="L178" i="7" s="1"/>
  <c r="K280" i="7"/>
  <c r="L280" i="7" s="1"/>
  <c r="L285" i="7" s="1"/>
  <c r="L286" i="7" s="1"/>
  <c r="H33" i="6" s="1"/>
  <c r="B1094" i="10"/>
  <c r="D143" i="10"/>
  <c r="D176" i="10" s="1"/>
  <c r="D179" i="10" s="1"/>
  <c r="C137" i="10"/>
  <c r="B137" i="10" s="1"/>
  <c r="F600" i="10"/>
  <c r="H14" i="9"/>
  <c r="C3209" i="10"/>
  <c r="D3215" i="10"/>
  <c r="E3094" i="10"/>
  <c r="I3094" i="10"/>
  <c r="I1484" i="10"/>
  <c r="E1484" i="10"/>
  <c r="D3075" i="10"/>
  <c r="I3075" i="10"/>
  <c r="I42" i="11"/>
  <c r="L110" i="5"/>
  <c r="M110" i="5" s="1"/>
  <c r="C3225" i="10"/>
  <c r="B3225" i="10" s="1"/>
  <c r="D3231" i="10"/>
  <c r="D971" i="10"/>
  <c r="I971" i="10"/>
  <c r="I10" i="8"/>
  <c r="K181" i="7"/>
  <c r="L181" i="7" s="1"/>
  <c r="K298" i="7"/>
  <c r="L298" i="7" s="1"/>
  <c r="L300" i="7" s="1"/>
  <c r="L301" i="7" s="1"/>
  <c r="H35" i="6" s="1"/>
  <c r="K166" i="7"/>
  <c r="L166" i="7" s="1"/>
  <c r="K312" i="7"/>
  <c r="L312" i="7" s="1"/>
  <c r="C1668" i="10"/>
  <c r="B1668" i="10" s="1"/>
  <c r="D1674" i="10"/>
  <c r="C616" i="10"/>
  <c r="E629" i="10"/>
  <c r="C1720" i="10"/>
  <c r="D1726" i="10"/>
  <c r="D2040" i="10"/>
  <c r="D2042" i="10" s="1"/>
  <c r="C2032" i="10"/>
  <c r="B2032" i="10" s="1"/>
  <c r="I16" i="11"/>
  <c r="K311" i="7"/>
  <c r="L311" i="7" s="1"/>
  <c r="K1355" i="10"/>
  <c r="K2912" i="10"/>
  <c r="K2392" i="10"/>
  <c r="H4" i="22"/>
  <c r="F4" i="22" s="1"/>
  <c r="D207" i="10"/>
  <c r="D214" i="10" s="1"/>
  <c r="C201" i="10"/>
  <c r="B201" i="10" s="1"/>
  <c r="D1102" i="10"/>
  <c r="C1094" i="10"/>
  <c r="E3041" i="10"/>
  <c r="I3041" i="10"/>
  <c r="D2802" i="10"/>
  <c r="I2802" i="10"/>
  <c r="D2525" i="10"/>
  <c r="C2519" i="10"/>
  <c r="E119" i="7"/>
  <c r="J119" i="7"/>
  <c r="F119" i="7" s="1"/>
  <c r="B953" i="10"/>
  <c r="E202" i="7"/>
  <c r="J202" i="7"/>
  <c r="F202" i="7" s="1"/>
  <c r="D3177" i="10"/>
  <c r="I3177" i="10"/>
  <c r="B1482" i="10"/>
  <c r="I39" i="11"/>
  <c r="F39" i="11" s="1"/>
  <c r="L66" i="5"/>
  <c r="L225" i="5"/>
  <c r="L143" i="5"/>
  <c r="D304" i="10"/>
  <c r="C297" i="10"/>
  <c r="B297" i="10" s="1"/>
  <c r="E1722" i="10"/>
  <c r="I1722" i="10"/>
  <c r="I31" i="11"/>
  <c r="L35" i="5"/>
  <c r="M35" i="5" s="1"/>
  <c r="M34" i="5" s="1"/>
  <c r="G12" i="4" s="1"/>
  <c r="I1992" i="10"/>
  <c r="D1992" i="10"/>
  <c r="I47" i="11"/>
  <c r="L190" i="5"/>
  <c r="M190" i="5" s="1"/>
  <c r="M186" i="5" s="1"/>
  <c r="G39" i="4" s="1"/>
  <c r="C1737" i="10"/>
  <c r="D1743" i="10"/>
  <c r="K2691" i="10"/>
  <c r="K1654" i="10"/>
  <c r="K3211" i="10"/>
  <c r="H12" i="22"/>
  <c r="F12" i="22" s="1"/>
  <c r="B2705" i="10"/>
  <c r="B1652" i="10"/>
  <c r="K2835" i="10"/>
  <c r="H25" i="22"/>
  <c r="F25" i="22" s="1"/>
  <c r="I17" i="11"/>
  <c r="K229" i="7"/>
  <c r="L229" i="7" s="1"/>
  <c r="K253" i="7"/>
  <c r="L253" i="7" s="1"/>
  <c r="K242" i="7"/>
  <c r="L242" i="7" s="1"/>
  <c r="F530" i="10"/>
  <c r="H13" i="9"/>
  <c r="I12" i="11"/>
  <c r="K241" i="7"/>
  <c r="L241" i="7" s="1"/>
  <c r="K305" i="7"/>
  <c r="L305" i="7" s="1"/>
  <c r="L307" i="7" s="1"/>
  <c r="L308" i="7" s="1"/>
  <c r="H36" i="6" s="1"/>
  <c r="K228" i="7"/>
  <c r="L228" i="7" s="1"/>
  <c r="K252" i="7"/>
  <c r="L252" i="7" s="1"/>
  <c r="K216" i="7"/>
  <c r="L216" i="7" s="1"/>
  <c r="D2657" i="10"/>
  <c r="I2657" i="10"/>
  <c r="C1482" i="10"/>
  <c r="D1488" i="10"/>
  <c r="C739" i="10"/>
  <c r="E670" i="10"/>
  <c r="G16" i="9"/>
  <c r="B3143" i="10"/>
  <c r="C2294" i="10"/>
  <c r="E39" i="9"/>
  <c r="K265" i="10"/>
  <c r="K139" i="10"/>
  <c r="K891" i="10"/>
  <c r="K1097" i="10"/>
  <c r="K241" i="10"/>
  <c r="K405" i="10"/>
  <c r="K1670" i="10"/>
  <c r="K1273" i="10"/>
  <c r="K2707" i="10"/>
  <c r="K1588" i="10"/>
  <c r="K2625" i="10"/>
  <c r="K3145" i="10"/>
  <c r="K381" i="10"/>
  <c r="K3227" i="10"/>
  <c r="H9" i="22"/>
  <c r="F9" i="22" s="1"/>
  <c r="H12" i="8"/>
  <c r="F12" i="8" s="1"/>
  <c r="J9" i="5"/>
  <c r="J88" i="5"/>
  <c r="J168" i="5"/>
  <c r="C3276" i="10"/>
  <c r="B3276" i="10" s="1"/>
  <c r="D3282" i="10"/>
  <c r="D3296" i="10" s="1"/>
  <c r="D3297" i="10" s="1"/>
  <c r="D1044" i="10"/>
  <c r="D1049" i="10" s="1"/>
  <c r="D1050" i="10" s="1"/>
  <c r="C1038" i="10"/>
  <c r="E2858" i="10"/>
  <c r="I2858" i="10"/>
  <c r="C22" i="10"/>
  <c r="B22" i="10" s="1"/>
  <c r="E27" i="10"/>
  <c r="D1518" i="10"/>
  <c r="I1518" i="10"/>
  <c r="B2519" i="10"/>
  <c r="E168" i="7"/>
  <c r="J168" i="7"/>
  <c r="F168" i="7" s="1"/>
  <c r="E956" i="10"/>
  <c r="C953" i="10"/>
  <c r="E231" i="7"/>
  <c r="J231" i="7"/>
  <c r="F231" i="7" s="1"/>
  <c r="I32" i="11"/>
  <c r="L36" i="5"/>
  <c r="M36" i="5" s="1"/>
  <c r="L195" i="5"/>
  <c r="M195" i="5" s="1"/>
  <c r="M193" i="5" s="1"/>
  <c r="G40" i="4" s="1"/>
  <c r="L115" i="5"/>
  <c r="M115" i="5" s="1"/>
  <c r="E1463" i="10"/>
  <c r="C1792" i="10"/>
  <c r="B1792" i="10" s="1"/>
  <c r="E1797" i="10"/>
  <c r="I2097" i="10"/>
  <c r="D2097" i="10"/>
  <c r="E2500" i="10"/>
  <c r="D3149" i="10"/>
  <c r="C3143" i="10"/>
  <c r="K1064" i="10"/>
  <c r="K1237" i="10"/>
  <c r="K859" i="10"/>
  <c r="H10" i="22"/>
  <c r="F10" i="22" s="1"/>
  <c r="B1038" i="10"/>
  <c r="E1739" i="10"/>
  <c r="I1739" i="10"/>
  <c r="D1152" i="10"/>
  <c r="D1187" i="10" s="1"/>
  <c r="D1188" i="10" s="1"/>
  <c r="C1143" i="10"/>
  <c r="B1143" i="10" s="1"/>
  <c r="I29" i="11"/>
  <c r="L31" i="5"/>
  <c r="M31" i="5" s="1"/>
  <c r="M27" i="5" s="1"/>
  <c r="G11" i="4" s="1"/>
  <c r="E95" i="7"/>
  <c r="J95" i="7"/>
  <c r="F95" i="7" s="1"/>
  <c r="L138" i="7"/>
  <c r="L139" i="7" s="1"/>
  <c r="H19" i="6" s="1"/>
  <c r="J272" i="7"/>
  <c r="F272" i="7" s="1"/>
  <c r="E272" i="7"/>
  <c r="B1790" i="10"/>
  <c r="B1737" i="10"/>
  <c r="I2203" i="10"/>
  <c r="D2203" i="10"/>
  <c r="K995" i="10"/>
  <c r="H24" i="22"/>
  <c r="F24" i="22" s="1"/>
  <c r="B2572" i="10"/>
  <c r="E2521" i="10"/>
  <c r="I2521" i="10"/>
  <c r="E35" i="4"/>
  <c r="I48" i="11"/>
  <c r="L191" i="5"/>
  <c r="M191" i="5" s="1"/>
  <c r="E3020" i="10"/>
  <c r="H31" i="8" l="1"/>
  <c r="J127" i="5"/>
  <c r="E1808" i="10"/>
  <c r="C1797" i="10"/>
  <c r="D2211" i="10"/>
  <c r="C2211" i="10" s="1"/>
  <c r="C2203" i="10"/>
  <c r="D1810" i="10"/>
  <c r="F33" i="9"/>
  <c r="D110" i="10"/>
  <c r="F6" i="9"/>
  <c r="D1745" i="10"/>
  <c r="D1774" i="10" s="1"/>
  <c r="D1775" i="10" s="1"/>
  <c r="I18" i="8"/>
  <c r="L44" i="5"/>
  <c r="M44" i="5" s="1"/>
  <c r="D2986" i="10"/>
  <c r="C2979" i="10"/>
  <c r="E42" i="7"/>
  <c r="J42" i="7"/>
  <c r="E381" i="10"/>
  <c r="I381" i="10"/>
  <c r="I33" i="8"/>
  <c r="L134" i="5"/>
  <c r="M134" i="5" s="1"/>
  <c r="M224" i="5"/>
  <c r="G224" i="5" s="1"/>
  <c r="F224" i="5"/>
  <c r="D1051" i="10"/>
  <c r="F22" i="9"/>
  <c r="E2257" i="10"/>
  <c r="C2251" i="10"/>
  <c r="B2251" i="10" s="1"/>
  <c r="L960" i="10"/>
  <c r="B2979" i="10"/>
  <c r="D1676" i="10"/>
  <c r="D1705" i="10" s="1"/>
  <c r="D1706" i="10" s="1"/>
  <c r="E59" i="7"/>
  <c r="J59" i="7"/>
  <c r="M66" i="5"/>
  <c r="G66" i="5" s="1"/>
  <c r="F66" i="5"/>
  <c r="C1739" i="10"/>
  <c r="E1743" i="10"/>
  <c r="C1743" i="10" s="1"/>
  <c r="E1588" i="10"/>
  <c r="I1588" i="10"/>
  <c r="D1189" i="10"/>
  <c r="F24" i="9"/>
  <c r="H148" i="7"/>
  <c r="F147" i="7"/>
  <c r="D1776" i="10"/>
  <c r="F32" i="9"/>
  <c r="F271" i="7"/>
  <c r="C2034" i="10"/>
  <c r="B2034" i="10" s="1"/>
  <c r="E2040" i="10"/>
  <c r="K125" i="5"/>
  <c r="E21" i="7"/>
  <c r="J21" i="7"/>
  <c r="C27" i="10"/>
  <c r="E39" i="10"/>
  <c r="C3041" i="10"/>
  <c r="B3041" i="10" s="1"/>
  <c r="E3045" i="10"/>
  <c r="B2203" i="10"/>
  <c r="E1395" i="10"/>
  <c r="G28" i="9"/>
  <c r="E2625" i="10"/>
  <c r="I2625" i="10"/>
  <c r="C670" i="10"/>
  <c r="E16" i="9"/>
  <c r="I2707" i="10"/>
  <c r="E2707" i="10"/>
  <c r="B3075" i="10"/>
  <c r="C2858" i="10"/>
  <c r="B2858" i="10" s="1"/>
  <c r="E2862" i="10"/>
  <c r="C2862" i="10" s="1"/>
  <c r="E1273" i="10"/>
  <c r="I1273" i="10"/>
  <c r="D3081" i="10"/>
  <c r="C3081" i="10" s="1"/>
  <c r="C3075" i="10"/>
  <c r="C475" i="10"/>
  <c r="E479" i="10"/>
  <c r="C70" i="10"/>
  <c r="E73" i="10"/>
  <c r="G10" i="8"/>
  <c r="G312" i="7"/>
  <c r="H312" i="7" s="1"/>
  <c r="H315" i="7" s="1"/>
  <c r="H316" i="7" s="1"/>
  <c r="F37" i="6" s="1"/>
  <c r="G166" i="7"/>
  <c r="H166" i="7" s="1"/>
  <c r="G298" i="7"/>
  <c r="H298" i="7" s="1"/>
  <c r="H300" i="7" s="1"/>
  <c r="H301" i="7" s="1"/>
  <c r="F35" i="6" s="1"/>
  <c r="G181" i="7"/>
  <c r="H181" i="7" s="1"/>
  <c r="D2883" i="10"/>
  <c r="F45" i="9"/>
  <c r="I19" i="11"/>
  <c r="L15" i="5"/>
  <c r="M15" i="5" s="1"/>
  <c r="L174" i="5"/>
  <c r="M174" i="5" s="1"/>
  <c r="L94" i="5"/>
  <c r="M94" i="5" s="1"/>
  <c r="K205" i="5"/>
  <c r="E28" i="7"/>
  <c r="J28" i="7"/>
  <c r="D1120" i="10"/>
  <c r="F23" i="9"/>
  <c r="E3145" i="10"/>
  <c r="I3145" i="10"/>
  <c r="D2000" i="10"/>
  <c r="C2000" i="10" s="1"/>
  <c r="C1992" i="10"/>
  <c r="B1992" i="10" s="1"/>
  <c r="B1739" i="10"/>
  <c r="C629" i="10"/>
  <c r="E634" i="10"/>
  <c r="C3177" i="10"/>
  <c r="B3177" i="10" s="1"/>
  <c r="D3183" i="10"/>
  <c r="C3183" i="10" s="1"/>
  <c r="E2952" i="10"/>
  <c r="G46" i="9"/>
  <c r="E859" i="10"/>
  <c r="I859" i="10"/>
  <c r="E1670" i="10"/>
  <c r="I1670" i="10"/>
  <c r="E2835" i="10"/>
  <c r="I2835" i="10"/>
  <c r="I43" i="11"/>
  <c r="L111" i="5"/>
  <c r="M111" i="5" s="1"/>
  <c r="M106" i="5" s="1"/>
  <c r="G25" i="4" s="1"/>
  <c r="B475" i="10"/>
  <c r="C343" i="10"/>
  <c r="B343" i="10" s="1"/>
  <c r="E347" i="10"/>
  <c r="M182" i="5"/>
  <c r="G38" i="4" s="1"/>
  <c r="K48" i="5"/>
  <c r="J35" i="7"/>
  <c r="E35" i="7"/>
  <c r="B1518" i="10"/>
  <c r="I1237" i="10"/>
  <c r="E1237" i="10"/>
  <c r="D1017" i="10"/>
  <c r="F21" i="9"/>
  <c r="E405" i="10"/>
  <c r="I405" i="10"/>
  <c r="D2663" i="10"/>
  <c r="C2663" i="10" s="1"/>
  <c r="C2657" i="10"/>
  <c r="B2657" i="10" s="1"/>
  <c r="C1722" i="10"/>
  <c r="B1722" i="10" s="1"/>
  <c r="E1726" i="10"/>
  <c r="E1488" i="10"/>
  <c r="C1484" i="10"/>
  <c r="B3278" i="10"/>
  <c r="D530" i="10"/>
  <c r="F13" i="9"/>
  <c r="D1429" i="10"/>
  <c r="C1422" i="10"/>
  <c r="B1422" i="10" s="1"/>
  <c r="D320" i="10"/>
  <c r="F9" i="9"/>
  <c r="M102" i="5"/>
  <c r="G24" i="4" s="1"/>
  <c r="E2147" i="10"/>
  <c r="C2141" i="10"/>
  <c r="B2141" i="10" s="1"/>
  <c r="C1518" i="10"/>
  <c r="D1524" i="10"/>
  <c r="C1524" i="10" s="1"/>
  <c r="H16" i="11"/>
  <c r="F16" i="11" s="1"/>
  <c r="I311" i="7"/>
  <c r="B1484" i="10"/>
  <c r="D2864" i="10"/>
  <c r="D2881" i="10" s="1"/>
  <c r="D2882" i="10" s="1"/>
  <c r="C1620" i="10"/>
  <c r="B1620" i="10" s="1"/>
  <c r="D1626" i="10"/>
  <c r="C1626" i="10" s="1"/>
  <c r="C3278" i="10"/>
  <c r="E3282" i="10"/>
  <c r="D1326" i="10"/>
  <c r="F27" i="9"/>
  <c r="C1832" i="10"/>
  <c r="B1832" i="10" s="1"/>
  <c r="E1837" i="10"/>
  <c r="D447" i="10"/>
  <c r="D459" i="10" s="1"/>
  <c r="M23" i="5"/>
  <c r="G10" i="4" s="1"/>
  <c r="D2808" i="10"/>
  <c r="C2808" i="10" s="1"/>
  <c r="C2802" i="10"/>
  <c r="C767" i="10"/>
  <c r="E771" i="10"/>
  <c r="E995" i="10"/>
  <c r="I995" i="10"/>
  <c r="I19" i="8"/>
  <c r="L45" i="5"/>
  <c r="M45" i="5" s="1"/>
  <c r="L202" i="5"/>
  <c r="M202" i="5" s="1"/>
  <c r="E1097" i="10"/>
  <c r="I1097" i="10"/>
  <c r="D460" i="10"/>
  <c r="F11" i="9"/>
  <c r="I26" i="8"/>
  <c r="L56" i="5"/>
  <c r="M56" i="5" s="1"/>
  <c r="D2713" i="10"/>
  <c r="D2742" i="10" s="1"/>
  <c r="D2743" i="10" s="1"/>
  <c r="C1146" i="10"/>
  <c r="E1152" i="10"/>
  <c r="I1064" i="10"/>
  <c r="E1064" i="10"/>
  <c r="D180" i="10"/>
  <c r="F7" i="9"/>
  <c r="C444" i="10"/>
  <c r="C524" i="10"/>
  <c r="E529" i="10"/>
  <c r="B2459" i="10"/>
  <c r="L243" i="7"/>
  <c r="L244" i="7" s="1"/>
  <c r="H29" i="6" s="1"/>
  <c r="D810" i="10"/>
  <c r="F18" i="9"/>
  <c r="E3227" i="10"/>
  <c r="I3227" i="10"/>
  <c r="I13" i="11"/>
  <c r="K167" i="7"/>
  <c r="L167" i="7" s="1"/>
  <c r="K106" i="7"/>
  <c r="L106" i="7" s="1"/>
  <c r="L108" i="7" s="1"/>
  <c r="L109" i="7" s="1"/>
  <c r="H16" i="6" s="1"/>
  <c r="K118" i="7"/>
  <c r="L118" i="7" s="1"/>
  <c r="L120" i="7" s="1"/>
  <c r="L121" i="7" s="1"/>
  <c r="H17" i="6" s="1"/>
  <c r="K215" i="7"/>
  <c r="L215" i="7" s="1"/>
  <c r="L218" i="7" s="1"/>
  <c r="L219" i="7" s="1"/>
  <c r="H27" i="6" s="1"/>
  <c r="K94" i="7"/>
  <c r="L94" i="7" s="1"/>
  <c r="L96" i="7" s="1"/>
  <c r="L97" i="7" s="1"/>
  <c r="H15" i="6" s="1"/>
  <c r="K182" i="7"/>
  <c r="L182" i="7" s="1"/>
  <c r="K201" i="7"/>
  <c r="L201" i="7" s="1"/>
  <c r="L203" i="7" s="1"/>
  <c r="L204" i="7" s="1"/>
  <c r="H25" i="6" s="1"/>
  <c r="K273" i="7"/>
  <c r="L273" i="7" s="1"/>
  <c r="L275" i="7" s="1"/>
  <c r="L276" i="7" s="1"/>
  <c r="H32" i="6" s="1"/>
  <c r="K230" i="7"/>
  <c r="L230" i="7" s="1"/>
  <c r="L232" i="7" s="1"/>
  <c r="L233" i="7" s="1"/>
  <c r="H28" i="6" s="1"/>
  <c r="F225" i="5"/>
  <c r="M225" i="5"/>
  <c r="G225" i="5" s="1"/>
  <c r="C2574" i="10"/>
  <c r="B2574" i="10" s="1"/>
  <c r="E2578" i="10"/>
  <c r="C2578" i="10" s="1"/>
  <c r="H263" i="7"/>
  <c r="F262" i="7"/>
  <c r="F49" i="9"/>
  <c r="D3264" i="10"/>
  <c r="E241" i="10"/>
  <c r="I241" i="10"/>
  <c r="C304" i="10"/>
  <c r="D2561" i="10"/>
  <c r="C2561" i="10" s="1"/>
  <c r="C2555" i="10"/>
  <c r="H158" i="7"/>
  <c r="F157" i="7"/>
  <c r="C1212" i="10"/>
  <c r="E1221" i="10"/>
  <c r="F169" i="5"/>
  <c r="K169" i="5"/>
  <c r="G169" i="5" s="1"/>
  <c r="C956" i="10"/>
  <c r="E964" i="10"/>
  <c r="K88" i="5"/>
  <c r="F88" i="5"/>
  <c r="I139" i="10"/>
  <c r="E139" i="10"/>
  <c r="I36" i="8"/>
  <c r="L211" i="5"/>
  <c r="M211" i="5" s="1"/>
  <c r="E1654" i="10"/>
  <c r="I1654" i="10"/>
  <c r="I2392" i="10"/>
  <c r="E2392" i="10"/>
  <c r="B830" i="10"/>
  <c r="D2363" i="10"/>
  <c r="F40" i="9"/>
  <c r="F10" i="5"/>
  <c r="K10" i="5"/>
  <c r="G10" i="5" s="1"/>
  <c r="D2466" i="10"/>
  <c r="C2459" i="10"/>
  <c r="H21" i="8"/>
  <c r="J49" i="5"/>
  <c r="J206" i="5"/>
  <c r="J126" i="5"/>
  <c r="I171" i="10"/>
  <c r="E171" i="10"/>
  <c r="D844" i="10"/>
  <c r="F19" i="9"/>
  <c r="D3233" i="10"/>
  <c r="D3262" i="10" s="1"/>
  <c r="D3263" i="10" s="1"/>
  <c r="F168" i="5"/>
  <c r="K168" i="5"/>
  <c r="E891" i="10"/>
  <c r="I891" i="10"/>
  <c r="E3211" i="10"/>
  <c r="I3211" i="10"/>
  <c r="I35" i="8"/>
  <c r="L210" i="5"/>
  <c r="M210" i="5" s="1"/>
  <c r="C3094" i="10"/>
  <c r="E3098" i="10"/>
  <c r="C3098" i="10" s="1"/>
  <c r="E2432" i="10"/>
  <c r="G41" i="9"/>
  <c r="K9" i="5"/>
  <c r="F9" i="5"/>
  <c r="I265" i="10"/>
  <c r="E265" i="10"/>
  <c r="E2691" i="10"/>
  <c r="I2691" i="10"/>
  <c r="E2912" i="10"/>
  <c r="I2912" i="10"/>
  <c r="C830" i="10"/>
  <c r="E839" i="10"/>
  <c r="D40" i="10"/>
  <c r="F5" i="9"/>
  <c r="C207" i="10"/>
  <c r="E214" i="10"/>
  <c r="C1886" i="10"/>
  <c r="F1911" i="10"/>
  <c r="F89" i="5"/>
  <c r="K89" i="5"/>
  <c r="G89" i="5" s="1"/>
  <c r="C1040" i="10"/>
  <c r="B1040" i="10" s="1"/>
  <c r="E1044" i="10"/>
  <c r="L188" i="7"/>
  <c r="L189" i="7" s="1"/>
  <c r="H23" i="6" s="1"/>
  <c r="E2773" i="10"/>
  <c r="C2769" i="10"/>
  <c r="B2769" i="10" s="1"/>
  <c r="C1537" i="10"/>
  <c r="B1537" i="10" s="1"/>
  <c r="E1541" i="10"/>
  <c r="C1541" i="10" s="1"/>
  <c r="B3094" i="10"/>
  <c r="B2555" i="10"/>
  <c r="C2521" i="10"/>
  <c r="B2521" i="10" s="1"/>
  <c r="E2525" i="10"/>
  <c r="D2580" i="10"/>
  <c r="D2603" i="10" s="1"/>
  <c r="D2604" i="10" s="1"/>
  <c r="I1355" i="10"/>
  <c r="E1355" i="10"/>
  <c r="B971" i="10"/>
  <c r="I14" i="11"/>
  <c r="K313" i="7"/>
  <c r="L313" i="7" s="1"/>
  <c r="D1223" i="10"/>
  <c r="F25" i="9"/>
  <c r="D307" i="10"/>
  <c r="D319" i="10" s="1"/>
  <c r="L173" i="7"/>
  <c r="L174" i="7" s="1"/>
  <c r="H22" i="6" s="1"/>
  <c r="I22" i="11"/>
  <c r="L20" i="5"/>
  <c r="M20" i="5" s="1"/>
  <c r="M18" i="5" s="1"/>
  <c r="G9" i="4" s="1"/>
  <c r="L179" i="5"/>
  <c r="M179" i="5" s="1"/>
  <c r="M177" i="5" s="1"/>
  <c r="G37" i="4" s="1"/>
  <c r="L99" i="5"/>
  <c r="M99" i="5" s="1"/>
  <c r="M97" i="5" s="1"/>
  <c r="G23" i="4" s="1"/>
  <c r="D3100" i="10"/>
  <c r="D3123" i="10" s="1"/>
  <c r="D3124" i="10" s="1"/>
  <c r="D2105" i="10"/>
  <c r="C2105" i="10" s="1"/>
  <c r="C2097" i="10"/>
  <c r="B2097" i="10" s="1"/>
  <c r="M143" i="5"/>
  <c r="G143" i="5" s="1"/>
  <c r="F143" i="5"/>
  <c r="B2802" i="10"/>
  <c r="L315" i="7"/>
  <c r="L316" i="7" s="1"/>
  <c r="H37" i="6" s="1"/>
  <c r="C971" i="10"/>
  <c r="D977" i="10"/>
  <c r="C977" i="10" s="1"/>
  <c r="F82" i="7"/>
  <c r="J84" i="7"/>
  <c r="I34" i="8"/>
  <c r="L201" i="5"/>
  <c r="M201" i="5" s="1"/>
  <c r="B767" i="10"/>
  <c r="B1146" i="10"/>
  <c r="L254" i="7"/>
  <c r="L255" i="7" s="1"/>
  <c r="H30" i="6" s="1"/>
  <c r="D740" i="10"/>
  <c r="F17" i="9"/>
  <c r="D355" i="10" l="1"/>
  <c r="F10" i="9"/>
  <c r="D215" i="10"/>
  <c r="F8" i="9"/>
  <c r="I25" i="8"/>
  <c r="L55" i="5"/>
  <c r="M55" i="5" s="1"/>
  <c r="L215" i="5"/>
  <c r="M215" i="5" s="1"/>
  <c r="M214" i="5" s="1"/>
  <c r="G44" i="4" s="1"/>
  <c r="C2257" i="10"/>
  <c r="E2259" i="10"/>
  <c r="I37" i="8"/>
  <c r="L212" i="5"/>
  <c r="M212" i="5" s="1"/>
  <c r="G11" i="11"/>
  <c r="G193" i="7"/>
  <c r="H193" i="7" s="1"/>
  <c r="F960" i="10"/>
  <c r="I960" i="10"/>
  <c r="D1002" i="10"/>
  <c r="D1015" i="10" s="1"/>
  <c r="D1016" i="10" s="1"/>
  <c r="C529" i="10"/>
  <c r="E495" i="10"/>
  <c r="G12" i="9"/>
  <c r="C1097" i="10"/>
  <c r="E1102" i="10"/>
  <c r="C1102" i="10" s="1"/>
  <c r="G27" i="11"/>
  <c r="H29" i="5"/>
  <c r="I29" i="5" s="1"/>
  <c r="G9" i="11"/>
  <c r="G192" i="7"/>
  <c r="H192" i="7" s="1"/>
  <c r="C405" i="10"/>
  <c r="E409" i="10"/>
  <c r="G24" i="11"/>
  <c r="H24" i="5"/>
  <c r="I24" i="5" s="1"/>
  <c r="H103" i="5"/>
  <c r="I103" i="5" s="1"/>
  <c r="H183" i="5"/>
  <c r="I183" i="5" s="1"/>
  <c r="G22" i="11"/>
  <c r="H20" i="5"/>
  <c r="I20" i="5" s="1"/>
  <c r="H179" i="5"/>
  <c r="I179" i="5" s="1"/>
  <c r="H99" i="5"/>
  <c r="I99" i="5" s="1"/>
  <c r="D1707" i="10"/>
  <c r="F31" i="9"/>
  <c r="G40" i="11"/>
  <c r="H108" i="5"/>
  <c r="I108" i="5" s="1"/>
  <c r="C1911" i="10"/>
  <c r="F1912" i="10"/>
  <c r="I28" i="8"/>
  <c r="L120" i="5"/>
  <c r="M120" i="5" s="1"/>
  <c r="G17" i="11"/>
  <c r="G229" i="7"/>
  <c r="H229" i="7" s="1"/>
  <c r="G253" i="7"/>
  <c r="H253" i="7" s="1"/>
  <c r="G242" i="7"/>
  <c r="H242" i="7" s="1"/>
  <c r="H41" i="11"/>
  <c r="J109" i="5"/>
  <c r="C171" i="10"/>
  <c r="B171" i="10" s="1"/>
  <c r="E175" i="10"/>
  <c r="C175" i="10" s="1"/>
  <c r="E2396" i="10"/>
  <c r="C2392" i="10"/>
  <c r="B2392" i="10" s="1"/>
  <c r="I32" i="8"/>
  <c r="L133" i="5"/>
  <c r="M133" i="5" s="1"/>
  <c r="M132" i="5" s="1"/>
  <c r="G30" i="4" s="1"/>
  <c r="G21" i="11"/>
  <c r="H19" i="5"/>
  <c r="I19" i="5" s="1"/>
  <c r="H98" i="5"/>
  <c r="I98" i="5" s="1"/>
  <c r="H178" i="5"/>
  <c r="I178" i="5" s="1"/>
  <c r="I177" i="5" s="1"/>
  <c r="E37" i="4" s="1"/>
  <c r="E5" i="10"/>
  <c r="C39" i="10"/>
  <c r="G4" i="9"/>
  <c r="G128" i="7"/>
  <c r="H128" i="7" s="1"/>
  <c r="G116" i="7"/>
  <c r="H116" i="7" s="1"/>
  <c r="G92" i="7"/>
  <c r="H92" i="7" s="1"/>
  <c r="G6" i="11"/>
  <c r="G169" i="7"/>
  <c r="H169" i="7" s="1"/>
  <c r="G184" i="7"/>
  <c r="H184" i="7" s="1"/>
  <c r="G104" i="7"/>
  <c r="H104" i="7" s="1"/>
  <c r="G137" i="7"/>
  <c r="H137" i="7" s="1"/>
  <c r="G293" i="7"/>
  <c r="H293" i="7" s="1"/>
  <c r="G226" i="7"/>
  <c r="H226" i="7" s="1"/>
  <c r="G250" i="7"/>
  <c r="H250" i="7" s="1"/>
  <c r="G239" i="7"/>
  <c r="H239" i="7" s="1"/>
  <c r="E600" i="10"/>
  <c r="C634" i="10"/>
  <c r="G14" i="9"/>
  <c r="E180" i="10"/>
  <c r="C214" i="10"/>
  <c r="G7" i="9"/>
  <c r="H159" i="7"/>
  <c r="F158" i="7"/>
  <c r="E3296" i="10"/>
  <c r="C3282" i="10"/>
  <c r="G35" i="8"/>
  <c r="H210" i="5"/>
  <c r="I210" i="5" s="1"/>
  <c r="B1588" i="10"/>
  <c r="D2501" i="10"/>
  <c r="F42" i="9"/>
  <c r="I30" i="8"/>
  <c r="L122" i="5"/>
  <c r="M122" i="5" s="1"/>
  <c r="D3021" i="10"/>
  <c r="F47" i="9"/>
  <c r="C2525" i="10"/>
  <c r="E2580" i="10"/>
  <c r="D1462" i="10"/>
  <c r="C1429" i="10"/>
  <c r="E1245" i="10"/>
  <c r="C1237" i="10"/>
  <c r="E2839" i="10"/>
  <c r="C2839" i="10" s="1"/>
  <c r="C2835" i="10"/>
  <c r="B2835" i="10" s="1"/>
  <c r="E2711" i="10"/>
  <c r="C2711" i="10" s="1"/>
  <c r="C2707" i="10"/>
  <c r="F21" i="7"/>
  <c r="J22" i="7"/>
  <c r="C1588" i="10"/>
  <c r="E1592" i="10"/>
  <c r="G33" i="11"/>
  <c r="H37" i="5"/>
  <c r="I37" i="5" s="1"/>
  <c r="H116" i="5"/>
  <c r="I116" i="5" s="1"/>
  <c r="H196" i="5"/>
  <c r="I196" i="5" s="1"/>
  <c r="G5" i="11"/>
  <c r="G91" i="7"/>
  <c r="H91" i="7" s="1"/>
  <c r="G185" i="7"/>
  <c r="H185" i="7" s="1"/>
  <c r="G103" i="7"/>
  <c r="H103" i="7" s="1"/>
  <c r="G136" i="7"/>
  <c r="H136" i="7" s="1"/>
  <c r="G251" i="7"/>
  <c r="H251" i="7" s="1"/>
  <c r="G170" i="7"/>
  <c r="H170" i="7" s="1"/>
  <c r="G127" i="7"/>
  <c r="H127" i="7" s="1"/>
  <c r="G240" i="7"/>
  <c r="H240" i="7" s="1"/>
  <c r="G115" i="7"/>
  <c r="H115" i="7" s="1"/>
  <c r="G292" i="7"/>
  <c r="H292" i="7" s="1"/>
  <c r="G225" i="7"/>
  <c r="H225" i="7" s="1"/>
  <c r="K126" i="5"/>
  <c r="C1654" i="10"/>
  <c r="B1654" i="10" s="1"/>
  <c r="E1658" i="10"/>
  <c r="C1658" i="10" s="1"/>
  <c r="I15" i="8"/>
  <c r="L41" i="5"/>
  <c r="M41" i="5" s="1"/>
  <c r="L200" i="5"/>
  <c r="M200" i="5" s="1"/>
  <c r="M199" i="5" s="1"/>
  <c r="G7" i="11"/>
  <c r="G114" i="7"/>
  <c r="H114" i="7" s="1"/>
  <c r="H120" i="7" s="1"/>
  <c r="H121" i="7" s="1"/>
  <c r="F17" i="6" s="1"/>
  <c r="G171" i="7"/>
  <c r="H171" i="7" s="1"/>
  <c r="G135" i="7"/>
  <c r="H135" i="7" s="1"/>
  <c r="H138" i="7" s="1"/>
  <c r="H139" i="7" s="1"/>
  <c r="F19" i="6" s="1"/>
  <c r="G90" i="7"/>
  <c r="H90" i="7" s="1"/>
  <c r="G274" i="7"/>
  <c r="H274" i="7" s="1"/>
  <c r="G126" i="7"/>
  <c r="H126" i="7" s="1"/>
  <c r="G186" i="7"/>
  <c r="H186" i="7" s="1"/>
  <c r="G200" i="7"/>
  <c r="H200" i="7" s="1"/>
  <c r="G284" i="7"/>
  <c r="H284" i="7" s="1"/>
  <c r="G224" i="7"/>
  <c r="H224" i="7" s="1"/>
  <c r="H232" i="7" s="1"/>
  <c r="H233" i="7" s="1"/>
  <c r="F28" i="6" s="1"/>
  <c r="G238" i="7"/>
  <c r="H238" i="7" s="1"/>
  <c r="G209" i="7"/>
  <c r="H209" i="7" s="1"/>
  <c r="G102" i="7"/>
  <c r="H102" i="7" s="1"/>
  <c r="G249" i="7"/>
  <c r="H249" i="7" s="1"/>
  <c r="G291" i="7"/>
  <c r="H291" i="7" s="1"/>
  <c r="H294" i="7" s="1"/>
  <c r="H295" i="7" s="1"/>
  <c r="F34" i="6" s="1"/>
  <c r="B995" i="10"/>
  <c r="B1237" i="10"/>
  <c r="C3145" i="10"/>
  <c r="B3145" i="10" s="1"/>
  <c r="E3149" i="10"/>
  <c r="G37" i="8"/>
  <c r="H212" i="5"/>
  <c r="I212" i="5" s="1"/>
  <c r="B2707" i="10"/>
  <c r="K206" i="5"/>
  <c r="I27" i="8"/>
  <c r="L58" i="5"/>
  <c r="M58" i="5" s="1"/>
  <c r="C995" i="10"/>
  <c r="E1000" i="10"/>
  <c r="C1000" i="10" s="1"/>
  <c r="G118" i="7"/>
  <c r="H118" i="7" s="1"/>
  <c r="G94" i="7"/>
  <c r="H94" i="7" s="1"/>
  <c r="G106" i="7"/>
  <c r="H106" i="7" s="1"/>
  <c r="G215" i="7"/>
  <c r="H215" i="7" s="1"/>
  <c r="H218" i="7" s="1"/>
  <c r="H219" i="7" s="1"/>
  <c r="F27" i="6" s="1"/>
  <c r="G167" i="7"/>
  <c r="H167" i="7" s="1"/>
  <c r="G182" i="7"/>
  <c r="H182" i="7" s="1"/>
  <c r="G273" i="7"/>
  <c r="H273" i="7" s="1"/>
  <c r="H275" i="7" s="1"/>
  <c r="H276" i="7" s="1"/>
  <c r="F32" i="6" s="1"/>
  <c r="G230" i="7"/>
  <c r="H230" i="7" s="1"/>
  <c r="G201" i="7"/>
  <c r="H201" i="7" s="1"/>
  <c r="G13" i="11"/>
  <c r="G23" i="11"/>
  <c r="H21" i="5"/>
  <c r="I21" i="5" s="1"/>
  <c r="H100" i="5"/>
  <c r="I100" i="5" s="1"/>
  <c r="H180" i="5"/>
  <c r="I180" i="5" s="1"/>
  <c r="C1837" i="10"/>
  <c r="E1839" i="10"/>
  <c r="C839" i="10"/>
  <c r="E842" i="10"/>
  <c r="K49" i="5"/>
  <c r="I17" i="8"/>
  <c r="L43" i="5"/>
  <c r="M43" i="5" s="1"/>
  <c r="C1064" i="10"/>
  <c r="B1064" i="10" s="1"/>
  <c r="E1070" i="10"/>
  <c r="C771" i="10"/>
  <c r="E773" i="10"/>
  <c r="D2744" i="10"/>
  <c r="F44" i="9"/>
  <c r="C1670" i="10"/>
  <c r="B1670" i="10" s="1"/>
  <c r="E1674" i="10"/>
  <c r="C1674" i="10" s="1"/>
  <c r="D1543" i="10"/>
  <c r="D1566" i="10" s="1"/>
  <c r="D1567" i="10" s="1"/>
  <c r="G45" i="11"/>
  <c r="H188" i="5"/>
  <c r="I188" i="5" s="1"/>
  <c r="I16" i="8"/>
  <c r="L42" i="5"/>
  <c r="M42" i="5" s="1"/>
  <c r="F35" i="7"/>
  <c r="J36" i="7"/>
  <c r="F28" i="7"/>
  <c r="J29" i="7"/>
  <c r="E109" i="10"/>
  <c r="C73" i="10"/>
  <c r="C2040" i="10"/>
  <c r="E2042" i="10"/>
  <c r="D3125" i="10"/>
  <c r="F48" i="9"/>
  <c r="G19" i="11"/>
  <c r="H15" i="5"/>
  <c r="I15" i="5" s="1"/>
  <c r="H174" i="5"/>
  <c r="I174" i="5" s="1"/>
  <c r="H94" i="5"/>
  <c r="I94" i="5" s="1"/>
  <c r="E143" i="10"/>
  <c r="C139" i="10"/>
  <c r="B139" i="10" s="1"/>
  <c r="C1152" i="10"/>
  <c r="E1187" i="10"/>
  <c r="J311" i="7"/>
  <c r="E311" i="7"/>
  <c r="C859" i="10"/>
  <c r="B859" i="10" s="1"/>
  <c r="E865" i="10"/>
  <c r="F59" i="7"/>
  <c r="J60" i="7"/>
  <c r="C381" i="10"/>
  <c r="B381" i="10" s="1"/>
  <c r="E385" i="10"/>
  <c r="I29" i="8"/>
  <c r="L121" i="5"/>
  <c r="M121" i="5" s="1"/>
  <c r="C1273" i="10"/>
  <c r="B1273" i="10" s="1"/>
  <c r="E1278" i="10"/>
  <c r="C1278" i="10" s="1"/>
  <c r="G9" i="5"/>
  <c r="C3045" i="10"/>
  <c r="E3100" i="10"/>
  <c r="C241" i="10"/>
  <c r="B241" i="10" s="1"/>
  <c r="E245" i="10"/>
  <c r="J85" i="7"/>
  <c r="F84" i="7"/>
  <c r="I22" i="8"/>
  <c r="L50" i="5"/>
  <c r="M50" i="5" s="1"/>
  <c r="M47" i="5" s="1"/>
  <c r="G15" i="4" s="1"/>
  <c r="L128" i="5"/>
  <c r="M128" i="5" s="1"/>
  <c r="M124" i="5" s="1"/>
  <c r="G29" i="4" s="1"/>
  <c r="L207" i="5"/>
  <c r="M207" i="5" s="1"/>
  <c r="E2916" i="10"/>
  <c r="C2912" i="10"/>
  <c r="B2912" i="10" s="1"/>
  <c r="C3211" i="10"/>
  <c r="B3211" i="10" s="1"/>
  <c r="E3215" i="10"/>
  <c r="C3215" i="10" s="1"/>
  <c r="G49" i="11"/>
  <c r="H194" i="5"/>
  <c r="I194" i="5" s="1"/>
  <c r="H46" i="11"/>
  <c r="J189" i="5"/>
  <c r="C479" i="10"/>
  <c r="E481" i="10"/>
  <c r="B2625" i="10"/>
  <c r="F42" i="7"/>
  <c r="J43" i="7"/>
  <c r="C2147" i="10"/>
  <c r="E2149" i="10"/>
  <c r="C1221" i="10"/>
  <c r="E1222" i="10"/>
  <c r="B1097" i="10"/>
  <c r="B405" i="10"/>
  <c r="D2605" i="10"/>
  <c r="F43" i="9"/>
  <c r="E1543" i="10"/>
  <c r="C1488" i="10"/>
  <c r="C2625" i="10"/>
  <c r="E2629" i="10"/>
  <c r="D1568" i="10"/>
  <c r="F30" i="9"/>
  <c r="E1809" i="10"/>
  <c r="C1808" i="10"/>
  <c r="C1355" i="10"/>
  <c r="B1355" i="10" s="1"/>
  <c r="E1359" i="10"/>
  <c r="C2773" i="10"/>
  <c r="E2864" i="10"/>
  <c r="B2691" i="10"/>
  <c r="D2499" i="10"/>
  <c r="C2466" i="10"/>
  <c r="G88" i="5"/>
  <c r="G25" i="11"/>
  <c r="H25" i="5"/>
  <c r="I25" i="5" s="1"/>
  <c r="H184" i="5"/>
  <c r="I184" i="5" s="1"/>
  <c r="H104" i="5"/>
  <c r="I104" i="5" s="1"/>
  <c r="I23" i="8"/>
  <c r="L129" i="5"/>
  <c r="M129" i="5" s="1"/>
  <c r="L51" i="5"/>
  <c r="M51" i="5" s="1"/>
  <c r="L208" i="5"/>
  <c r="M208" i="5" s="1"/>
  <c r="C2691" i="10"/>
  <c r="E2695" i="10"/>
  <c r="C2695" i="10" s="1"/>
  <c r="C891" i="10"/>
  <c r="B891" i="10" s="1"/>
  <c r="E896" i="10"/>
  <c r="C896" i="10" s="1"/>
  <c r="E1002" i="10"/>
  <c r="H264" i="7"/>
  <c r="F263" i="7"/>
  <c r="C3227" i="10"/>
  <c r="B3227" i="10" s="1"/>
  <c r="E3231" i="10"/>
  <c r="C3231" i="10" s="1"/>
  <c r="E1745" i="10"/>
  <c r="C1726" i="10"/>
  <c r="H28" i="11"/>
  <c r="J30" i="5"/>
  <c r="K127" i="5"/>
  <c r="H149" i="7"/>
  <c r="F148" i="7"/>
  <c r="C1044" i="10"/>
  <c r="E1049" i="10"/>
  <c r="C265" i="10"/>
  <c r="B265" i="10" s="1"/>
  <c r="E269" i="10"/>
  <c r="G168" i="5"/>
  <c r="G18" i="11"/>
  <c r="H14" i="5"/>
  <c r="I14" i="5" s="1"/>
  <c r="H93" i="5"/>
  <c r="I93" i="5" s="1"/>
  <c r="H173" i="5"/>
  <c r="I173" i="5" s="1"/>
  <c r="C347" i="10"/>
  <c r="E354" i="10"/>
  <c r="G32" i="11"/>
  <c r="H36" i="5"/>
  <c r="I36" i="5" s="1"/>
  <c r="H115" i="5"/>
  <c r="I115" i="5" s="1"/>
  <c r="H195" i="5"/>
  <c r="I195" i="5" s="1"/>
  <c r="D3019" i="10"/>
  <c r="C2986" i="10"/>
  <c r="M119" i="5" l="1"/>
  <c r="I97" i="5"/>
  <c r="E23" i="4" s="1"/>
  <c r="I18" i="5"/>
  <c r="E9" i="4" s="1"/>
  <c r="M204" i="5"/>
  <c r="G43" i="4" s="1"/>
  <c r="C269" i="10"/>
  <c r="E307" i="10"/>
  <c r="C307" i="10" s="1"/>
  <c r="F20" i="6"/>
  <c r="F149" i="7"/>
  <c r="E20" i="6" s="1"/>
  <c r="C1809" i="10"/>
  <c r="E1776" i="10"/>
  <c r="G32" i="9"/>
  <c r="H96" i="7"/>
  <c r="H97" i="7" s="1"/>
  <c r="F15" i="6" s="1"/>
  <c r="G42" i="11"/>
  <c r="H110" i="5"/>
  <c r="I110" i="5" s="1"/>
  <c r="C600" i="10"/>
  <c r="E14" i="9"/>
  <c r="I23" i="5"/>
  <c r="E10" i="4" s="1"/>
  <c r="C842" i="10"/>
  <c r="E843" i="10"/>
  <c r="G17" i="8"/>
  <c r="H43" i="5"/>
  <c r="I43" i="5" s="1"/>
  <c r="G32" i="8"/>
  <c r="H133" i="5"/>
  <c r="I133" i="5" s="1"/>
  <c r="G48" i="11"/>
  <c r="H191" i="5"/>
  <c r="I191" i="5" s="1"/>
  <c r="G27" i="8"/>
  <c r="H58" i="5"/>
  <c r="I58" i="5" s="1"/>
  <c r="F1844" i="10"/>
  <c r="H34" i="9"/>
  <c r="C1912" i="10"/>
  <c r="H194" i="7"/>
  <c r="H195" i="7" s="1"/>
  <c r="F24" i="6" s="1"/>
  <c r="C385" i="10"/>
  <c r="E387" i="10"/>
  <c r="M118" i="5"/>
  <c r="G27" i="4" s="1"/>
  <c r="G28" i="4"/>
  <c r="D1464" i="10"/>
  <c r="F29" i="9"/>
  <c r="E1842" i="10"/>
  <c r="C1839" i="10"/>
  <c r="G34" i="8"/>
  <c r="H201" i="5"/>
  <c r="I201" i="5" s="1"/>
  <c r="M198" i="5"/>
  <c r="G41" i="4" s="1"/>
  <c r="G42" i="4"/>
  <c r="G11" i="6"/>
  <c r="F60" i="7"/>
  <c r="E11" i="6" s="1"/>
  <c r="F31" i="6"/>
  <c r="F264" i="7"/>
  <c r="E31" i="6" s="1"/>
  <c r="E1566" i="10"/>
  <c r="C1543" i="10"/>
  <c r="K189" i="5"/>
  <c r="E247" i="10"/>
  <c r="C245" i="10"/>
  <c r="M40" i="5"/>
  <c r="C1245" i="10"/>
  <c r="E1280" i="10"/>
  <c r="G19" i="8"/>
  <c r="H45" i="5"/>
  <c r="I45" i="5" s="1"/>
  <c r="H202" i="5"/>
  <c r="I202" i="5" s="1"/>
  <c r="C409" i="10"/>
  <c r="E447" i="10"/>
  <c r="C447" i="10" s="1"/>
  <c r="D3020" i="10"/>
  <c r="C3019" i="10"/>
  <c r="C1049" i="10"/>
  <c r="E1050" i="10"/>
  <c r="G43" i="11"/>
  <c r="H111" i="5"/>
  <c r="I111" i="5" s="1"/>
  <c r="F2049" i="10"/>
  <c r="C2042" i="10"/>
  <c r="H108" i="7"/>
  <c r="H109" i="7" s="1"/>
  <c r="F16" i="6" s="1"/>
  <c r="E3297" i="10"/>
  <c r="C3296" i="10"/>
  <c r="C2259" i="10"/>
  <c r="F2292" i="10"/>
  <c r="C481" i="10"/>
  <c r="E494" i="10"/>
  <c r="C865" i="10"/>
  <c r="E898" i="10"/>
  <c r="D2500" i="10"/>
  <c r="C2499" i="10"/>
  <c r="F311" i="7"/>
  <c r="G44" i="11"/>
  <c r="H114" i="5"/>
  <c r="I114" i="5" s="1"/>
  <c r="I113" i="5" s="1"/>
  <c r="E26" i="4" s="1"/>
  <c r="D1463" i="10"/>
  <c r="C1462" i="10"/>
  <c r="E2430" i="10"/>
  <c r="C2396" i="10"/>
  <c r="G31" i="11"/>
  <c r="H35" i="5"/>
  <c r="I35" i="5" s="1"/>
  <c r="I34" i="5" s="1"/>
  <c r="E12" i="4" s="1"/>
  <c r="E3123" i="10"/>
  <c r="C3100" i="10"/>
  <c r="C1187" i="10"/>
  <c r="E1188" i="10"/>
  <c r="F21" i="6"/>
  <c r="F159" i="7"/>
  <c r="E21" i="6" s="1"/>
  <c r="G30" i="11"/>
  <c r="H32" i="5"/>
  <c r="I32" i="5" s="1"/>
  <c r="E40" i="10"/>
  <c r="C109" i="10"/>
  <c r="G5" i="9"/>
  <c r="C773" i="10"/>
  <c r="E809" i="10"/>
  <c r="G28" i="8"/>
  <c r="H120" i="5"/>
  <c r="I120" i="5" s="1"/>
  <c r="C2580" i="10"/>
  <c r="E2603" i="10"/>
  <c r="H12" i="11"/>
  <c r="F12" i="11" s="1"/>
  <c r="I241" i="7"/>
  <c r="I305" i="7"/>
  <c r="I228" i="7"/>
  <c r="I252" i="7"/>
  <c r="I216" i="7"/>
  <c r="M54" i="5"/>
  <c r="G16" i="4" s="1"/>
  <c r="E1015" i="10"/>
  <c r="I193" i="5"/>
  <c r="E40" i="4" s="1"/>
  <c r="E2881" i="10"/>
  <c r="C2864" i="10"/>
  <c r="E1189" i="10"/>
  <c r="C1222" i="10"/>
  <c r="G24" i="9"/>
  <c r="F29" i="7"/>
  <c r="E7" i="6" s="1"/>
  <c r="G7" i="6"/>
  <c r="K109" i="5"/>
  <c r="C1070" i="10"/>
  <c r="E1104" i="10"/>
  <c r="C1592" i="10"/>
  <c r="E1676" i="10"/>
  <c r="G47" i="11"/>
  <c r="H190" i="5"/>
  <c r="I190" i="5" s="1"/>
  <c r="H7" i="11"/>
  <c r="F7" i="11" s="1"/>
  <c r="I126" i="7"/>
  <c r="I114" i="7"/>
  <c r="I171" i="7"/>
  <c r="I90" i="7"/>
  <c r="I249" i="7"/>
  <c r="I274" i="7"/>
  <c r="I186" i="7"/>
  <c r="I200" i="7"/>
  <c r="I238" i="7"/>
  <c r="I135" i="7"/>
  <c r="I102" i="7"/>
  <c r="I209" i="7"/>
  <c r="I224" i="7"/>
  <c r="I284" i="7"/>
  <c r="I291" i="7"/>
  <c r="C495" i="10"/>
  <c r="E12" i="9"/>
  <c r="G8" i="11"/>
  <c r="G162" i="7"/>
  <c r="H162" i="7" s="1"/>
  <c r="G177" i="7"/>
  <c r="H177" i="7" s="1"/>
  <c r="H188" i="7" s="1"/>
  <c r="H189" i="7" s="1"/>
  <c r="F23" i="6" s="1"/>
  <c r="G198" i="7"/>
  <c r="H198" i="7" s="1"/>
  <c r="H203" i="7" s="1"/>
  <c r="H204" i="7" s="1"/>
  <c r="F25" i="6" s="1"/>
  <c r="G236" i="7"/>
  <c r="H236" i="7" s="1"/>
  <c r="H243" i="7" s="1"/>
  <c r="H244" i="7" s="1"/>
  <c r="F29" i="6" s="1"/>
  <c r="G207" i="7"/>
  <c r="H207" i="7" s="1"/>
  <c r="H210" i="7" s="1"/>
  <c r="H211" i="7" s="1"/>
  <c r="F26" i="6" s="1"/>
  <c r="G247" i="7"/>
  <c r="H247" i="7" s="1"/>
  <c r="H254" i="7" s="1"/>
  <c r="H255" i="7" s="1"/>
  <c r="F30" i="6" s="1"/>
  <c r="E3233" i="10"/>
  <c r="C3149" i="10"/>
  <c r="C2629" i="10"/>
  <c r="E2713" i="10"/>
  <c r="F85" i="7"/>
  <c r="E14" i="6" s="1"/>
  <c r="G14" i="6"/>
  <c r="C1359" i="10"/>
  <c r="E1393" i="10"/>
  <c r="F2153" i="10"/>
  <c r="C2149" i="10"/>
  <c r="C180" i="10"/>
  <c r="E7" i="9"/>
  <c r="D913" i="10"/>
  <c r="F20" i="9"/>
  <c r="E1774" i="10"/>
  <c r="C1745" i="10"/>
  <c r="G8" i="6"/>
  <c r="F36" i="7"/>
  <c r="E8" i="6" s="1"/>
  <c r="H129" i="7"/>
  <c r="H130" i="7" s="1"/>
  <c r="F18" i="6" s="1"/>
  <c r="G6" i="6"/>
  <c r="F22" i="7"/>
  <c r="E6" i="6" s="1"/>
  <c r="K562" i="10"/>
  <c r="H4" i="11"/>
  <c r="F4" i="11" s="1"/>
  <c r="I52" i="7"/>
  <c r="I182" i="5"/>
  <c r="E38" i="4" s="1"/>
  <c r="B960" i="10"/>
  <c r="G178" i="7"/>
  <c r="H178" i="7" s="1"/>
  <c r="G10" i="11"/>
  <c r="G280" i="7"/>
  <c r="H280" i="7" s="1"/>
  <c r="H285" i="7" s="1"/>
  <c r="H286" i="7" s="1"/>
  <c r="F33" i="6" s="1"/>
  <c r="G163" i="7"/>
  <c r="H163" i="7" s="1"/>
  <c r="E320" i="10"/>
  <c r="C354" i="10"/>
  <c r="G9" i="9"/>
  <c r="K30" i="5"/>
  <c r="G9" i="6"/>
  <c r="F43" i="7"/>
  <c r="E9" i="6" s="1"/>
  <c r="E2950" i="10"/>
  <c r="C2916" i="10"/>
  <c r="E176" i="10"/>
  <c r="C143" i="10"/>
  <c r="H14" i="11"/>
  <c r="F14" i="11" s="1"/>
  <c r="I313" i="7"/>
  <c r="C5" i="10"/>
  <c r="E4" i="9"/>
  <c r="I102" i="5"/>
  <c r="E24" i="4" s="1"/>
  <c r="F962" i="10"/>
  <c r="C960" i="10"/>
  <c r="H6" i="8" l="1"/>
  <c r="F6" i="8" s="1"/>
  <c r="I89" i="7"/>
  <c r="I179" i="7"/>
  <c r="I113" i="7"/>
  <c r="I101" i="7"/>
  <c r="I164" i="7"/>
  <c r="I223" i="7"/>
  <c r="H14" i="8"/>
  <c r="F14" i="8" s="1"/>
  <c r="J11" i="5"/>
  <c r="J170" i="5"/>
  <c r="J90" i="5"/>
  <c r="J291" i="7"/>
  <c r="F291" i="7" s="1"/>
  <c r="E291" i="7"/>
  <c r="C2881" i="10"/>
  <c r="E2882" i="10"/>
  <c r="I208" i="7"/>
  <c r="H11" i="8"/>
  <c r="F11" i="8" s="1"/>
  <c r="I34" i="11"/>
  <c r="F34" i="11" s="1"/>
  <c r="L61" i="5"/>
  <c r="L219" i="5"/>
  <c r="L138" i="5"/>
  <c r="G18" i="8"/>
  <c r="H44" i="5"/>
  <c r="I44" i="5" s="1"/>
  <c r="E284" i="7"/>
  <c r="J284" i="7"/>
  <c r="F284" i="7" s="1"/>
  <c r="E740" i="10"/>
  <c r="C809" i="10"/>
  <c r="G17" i="9"/>
  <c r="C2713" i="10"/>
  <c r="E2742" i="10"/>
  <c r="E224" i="7"/>
  <c r="J224" i="7"/>
  <c r="F224" i="7" s="1"/>
  <c r="E2431" i="10"/>
  <c r="C2430" i="10"/>
  <c r="G49" i="9"/>
  <c r="C3297" i="10"/>
  <c r="E3264" i="10"/>
  <c r="G24" i="8"/>
  <c r="H52" i="5"/>
  <c r="I52" i="5" s="1"/>
  <c r="H130" i="5"/>
  <c r="I130" i="5" s="1"/>
  <c r="H209" i="5"/>
  <c r="I209" i="5" s="1"/>
  <c r="E1705" i="10"/>
  <c r="C1676" i="10"/>
  <c r="H9" i="11"/>
  <c r="F9" i="11" s="1"/>
  <c r="I192" i="7"/>
  <c r="H8" i="8"/>
  <c r="F8" i="8" s="1"/>
  <c r="I165" i="7"/>
  <c r="I180" i="7"/>
  <c r="E209" i="7"/>
  <c r="J209" i="7"/>
  <c r="F209" i="7" s="1"/>
  <c r="H5" i="11"/>
  <c r="F5" i="11" s="1"/>
  <c r="I103" i="7"/>
  <c r="I91" i="7"/>
  <c r="I225" i="7"/>
  <c r="I292" i="7"/>
  <c r="I136" i="7"/>
  <c r="I251" i="7"/>
  <c r="I170" i="7"/>
  <c r="I127" i="7"/>
  <c r="I185" i="7"/>
  <c r="I240" i="7"/>
  <c r="I115" i="7"/>
  <c r="G16" i="8"/>
  <c r="H42" i="5"/>
  <c r="I42" i="5" s="1"/>
  <c r="F2293" i="10"/>
  <c r="C2292" i="10"/>
  <c r="C320" i="10"/>
  <c r="E9" i="9"/>
  <c r="E1016" i="10"/>
  <c r="C40" i="10"/>
  <c r="E5" i="9"/>
  <c r="D1395" i="10"/>
  <c r="F28" i="9"/>
  <c r="C1463" i="10"/>
  <c r="E1290" i="10"/>
  <c r="C1280" i="10"/>
  <c r="G15" i="8"/>
  <c r="H200" i="5"/>
  <c r="I200" i="5" s="1"/>
  <c r="I199" i="5" s="1"/>
  <c r="H41" i="5"/>
  <c r="I41" i="5" s="1"/>
  <c r="I40" i="5" s="1"/>
  <c r="C2049" i="10"/>
  <c r="F2050" i="10"/>
  <c r="H32" i="11"/>
  <c r="F32" i="11" s="1"/>
  <c r="J36" i="5"/>
  <c r="J195" i="5"/>
  <c r="J115" i="5"/>
  <c r="J126" i="7"/>
  <c r="F126" i="7" s="1"/>
  <c r="E126" i="7"/>
  <c r="C1104" i="10"/>
  <c r="E1118" i="10"/>
  <c r="G30" i="8"/>
  <c r="H122" i="5"/>
  <c r="I122" i="5" s="1"/>
  <c r="E238" i="7"/>
  <c r="J238" i="7"/>
  <c r="F238" i="7" s="1"/>
  <c r="E216" i="7"/>
  <c r="J216" i="7"/>
  <c r="F216" i="7" s="1"/>
  <c r="M39" i="5"/>
  <c r="G13" i="4" s="1"/>
  <c r="G14" i="4"/>
  <c r="E1843" i="10"/>
  <c r="C1842" i="10"/>
  <c r="G33" i="8"/>
  <c r="H134" i="5"/>
  <c r="I134" i="5" s="1"/>
  <c r="G26" i="8"/>
  <c r="H56" i="5"/>
  <c r="I56" i="5" s="1"/>
  <c r="E200" i="7"/>
  <c r="J200" i="7"/>
  <c r="F200" i="7" s="1"/>
  <c r="J252" i="7"/>
  <c r="F252" i="7" s="1"/>
  <c r="E252" i="7"/>
  <c r="G29" i="11"/>
  <c r="H31" i="5"/>
  <c r="I31" i="5" s="1"/>
  <c r="C1776" i="10"/>
  <c r="E32" i="9"/>
  <c r="C2950" i="10"/>
  <c r="E2951" i="10"/>
  <c r="E135" i="7"/>
  <c r="J135" i="7"/>
  <c r="F135" i="7" s="1"/>
  <c r="G29" i="8"/>
  <c r="H121" i="5"/>
  <c r="I121" i="5" s="1"/>
  <c r="I119" i="5" s="1"/>
  <c r="E186" i="7"/>
  <c r="J186" i="7"/>
  <c r="F186" i="7" s="1"/>
  <c r="E228" i="7"/>
  <c r="J228" i="7"/>
  <c r="F228" i="7" s="1"/>
  <c r="E319" i="10"/>
  <c r="C247" i="10"/>
  <c r="I132" i="5"/>
  <c r="E30" i="4" s="1"/>
  <c r="E3262" i="10"/>
  <c r="C3233" i="10"/>
  <c r="C1774" i="10"/>
  <c r="E1775" i="10"/>
  <c r="J313" i="7"/>
  <c r="F313" i="7" s="1"/>
  <c r="E313" i="7"/>
  <c r="G20" i="11"/>
  <c r="H16" i="5"/>
  <c r="I16" i="5" s="1"/>
  <c r="I13" i="5" s="1"/>
  <c r="H175" i="5"/>
  <c r="I175" i="5" s="1"/>
  <c r="I172" i="5" s="1"/>
  <c r="H95" i="5"/>
  <c r="I95" i="5" s="1"/>
  <c r="I92" i="5" s="1"/>
  <c r="G25" i="8"/>
  <c r="H55" i="5"/>
  <c r="I55" i="5" s="1"/>
  <c r="I54" i="5" s="1"/>
  <c r="E16" i="4" s="1"/>
  <c r="H215" i="5"/>
  <c r="I215" i="5" s="1"/>
  <c r="I214" i="5" s="1"/>
  <c r="E44" i="4" s="1"/>
  <c r="J274" i="7"/>
  <c r="F274" i="7" s="1"/>
  <c r="E274" i="7"/>
  <c r="H7" i="8"/>
  <c r="F7" i="8" s="1"/>
  <c r="I199" i="7"/>
  <c r="E305" i="7"/>
  <c r="J305" i="7"/>
  <c r="G21" i="8"/>
  <c r="F21" i="8" s="1"/>
  <c r="H126" i="5"/>
  <c r="H49" i="5"/>
  <c r="H206" i="5"/>
  <c r="E1017" i="10"/>
  <c r="C1050" i="10"/>
  <c r="G21" i="9"/>
  <c r="G23" i="8"/>
  <c r="H51" i="5"/>
  <c r="I51" i="5" s="1"/>
  <c r="H208" i="5"/>
  <c r="I208" i="5" s="1"/>
  <c r="H129" i="5"/>
  <c r="I129" i="5" s="1"/>
  <c r="J249" i="7"/>
  <c r="F249" i="7" s="1"/>
  <c r="E249" i="7"/>
  <c r="J241" i="7"/>
  <c r="F241" i="7" s="1"/>
  <c r="E241" i="7"/>
  <c r="E1120" i="10"/>
  <c r="C1188" i="10"/>
  <c r="G23" i="9"/>
  <c r="D2432" i="10"/>
  <c r="F41" i="9"/>
  <c r="C2500" i="10"/>
  <c r="G20" i="8"/>
  <c r="F20" i="8" s="1"/>
  <c r="H48" i="5"/>
  <c r="H125" i="5"/>
  <c r="H205" i="5"/>
  <c r="E1394" i="10"/>
  <c r="C1393" i="10"/>
  <c r="H9" i="8"/>
  <c r="F9" i="8" s="1"/>
  <c r="I134" i="7"/>
  <c r="I125" i="7"/>
  <c r="I248" i="7"/>
  <c r="I237" i="7"/>
  <c r="I290" i="7"/>
  <c r="C1844" i="10"/>
  <c r="E34" i="9"/>
  <c r="E102" i="7"/>
  <c r="J102" i="7"/>
  <c r="F102" i="7" s="1"/>
  <c r="E179" i="10"/>
  <c r="C176" i="10"/>
  <c r="H173" i="7"/>
  <c r="H174" i="7" s="1"/>
  <c r="F22" i="6" s="1"/>
  <c r="E90" i="7"/>
  <c r="J90" i="7"/>
  <c r="F90" i="7" s="1"/>
  <c r="E911" i="10"/>
  <c r="C898" i="10"/>
  <c r="E562" i="10"/>
  <c r="I562" i="10"/>
  <c r="G31" i="8"/>
  <c r="F31" i="8" s="1"/>
  <c r="H127" i="5"/>
  <c r="C962" i="10"/>
  <c r="F964" i="10"/>
  <c r="J52" i="7"/>
  <c r="E52" i="7"/>
  <c r="E171" i="7"/>
  <c r="J171" i="7"/>
  <c r="F171" i="7" s="1"/>
  <c r="H24" i="11"/>
  <c r="F24" i="11" s="1"/>
  <c r="J24" i="5"/>
  <c r="J103" i="5"/>
  <c r="J183" i="5"/>
  <c r="C2603" i="10"/>
  <c r="E2604" i="10"/>
  <c r="D2952" i="10"/>
  <c r="F46" i="9"/>
  <c r="C3020" i="10"/>
  <c r="E1567" i="10"/>
  <c r="C1566" i="10"/>
  <c r="E459" i="10"/>
  <c r="C387" i="10"/>
  <c r="E810" i="10"/>
  <c r="C843" i="10"/>
  <c r="G18" i="9"/>
  <c r="F2154" i="10"/>
  <c r="C2153" i="10"/>
  <c r="E114" i="7"/>
  <c r="J114" i="7"/>
  <c r="F114" i="7" s="1"/>
  <c r="C1189" i="10"/>
  <c r="E24" i="9"/>
  <c r="E3124" i="10"/>
  <c r="C3123" i="10"/>
  <c r="E460" i="10"/>
  <c r="C494" i="10"/>
  <c r="G11" i="9"/>
  <c r="E28" i="4" l="1"/>
  <c r="J115" i="7"/>
  <c r="F115" i="7" s="1"/>
  <c r="E115" i="7"/>
  <c r="C2742" i="10"/>
  <c r="E2743" i="10"/>
  <c r="E2744" i="10"/>
  <c r="C2882" i="10"/>
  <c r="G44" i="9"/>
  <c r="C1395" i="10"/>
  <c r="E28" i="9"/>
  <c r="E127" i="7"/>
  <c r="J127" i="7"/>
  <c r="F127" i="7" s="1"/>
  <c r="C740" i="10"/>
  <c r="E17" i="9"/>
  <c r="E1119" i="10"/>
  <c r="C1118" i="10"/>
  <c r="G28" i="11"/>
  <c r="F28" i="11" s="1"/>
  <c r="H30" i="5"/>
  <c r="E170" i="7"/>
  <c r="J170" i="7"/>
  <c r="F170" i="7" s="1"/>
  <c r="C1705" i="10"/>
  <c r="E1706" i="10"/>
  <c r="K90" i="5"/>
  <c r="F90" i="5"/>
  <c r="E2501" i="10"/>
  <c r="C2604" i="10"/>
  <c r="G42" i="9"/>
  <c r="E192" i="7"/>
  <c r="J192" i="7"/>
  <c r="K103" i="5"/>
  <c r="F103" i="5"/>
  <c r="C2154" i="10"/>
  <c r="F2051" i="10"/>
  <c r="H37" i="9"/>
  <c r="I48" i="5"/>
  <c r="F48" i="5"/>
  <c r="J251" i="7"/>
  <c r="F251" i="7" s="1"/>
  <c r="E251" i="7"/>
  <c r="K170" i="5"/>
  <c r="F170" i="5"/>
  <c r="C319" i="10"/>
  <c r="E215" i="10"/>
  <c r="G8" i="9"/>
  <c r="E185" i="7"/>
  <c r="J185" i="7"/>
  <c r="F185" i="7" s="1"/>
  <c r="K24" i="5"/>
  <c r="F24" i="5"/>
  <c r="I125" i="5"/>
  <c r="F125" i="5"/>
  <c r="E22" i="4"/>
  <c r="J136" i="7"/>
  <c r="F136" i="7" s="1"/>
  <c r="E136" i="7"/>
  <c r="F11" i="5"/>
  <c r="K11" i="5"/>
  <c r="E240" i="7"/>
  <c r="J240" i="7"/>
  <c r="F240" i="7" s="1"/>
  <c r="H17" i="11"/>
  <c r="F17" i="11" s="1"/>
  <c r="I229" i="7"/>
  <c r="I253" i="7"/>
  <c r="I242" i="7"/>
  <c r="I205" i="5"/>
  <c r="F205" i="5"/>
  <c r="E36" i="4"/>
  <c r="J292" i="7"/>
  <c r="F292" i="7" s="1"/>
  <c r="E292" i="7"/>
  <c r="G22" i="8"/>
  <c r="H50" i="5"/>
  <c r="I50" i="5" s="1"/>
  <c r="H128" i="5"/>
  <c r="I128" i="5" s="1"/>
  <c r="H207" i="5"/>
  <c r="I207" i="5" s="1"/>
  <c r="E8" i="4"/>
  <c r="K115" i="5"/>
  <c r="G115" i="5" s="1"/>
  <c r="F115" i="5"/>
  <c r="J225" i="7"/>
  <c r="F225" i="7" s="1"/>
  <c r="E225" i="7"/>
  <c r="E223" i="7"/>
  <c r="J223" i="7"/>
  <c r="C1017" i="10"/>
  <c r="E21" i="9"/>
  <c r="F52" i="7"/>
  <c r="J53" i="7"/>
  <c r="I206" i="5"/>
  <c r="G206" i="5" s="1"/>
  <c r="F206" i="5"/>
  <c r="K195" i="5"/>
  <c r="G195" i="5" s="1"/>
  <c r="F195" i="5"/>
  <c r="E913" i="10"/>
  <c r="G20" i="9"/>
  <c r="J91" i="7"/>
  <c r="F91" i="7" s="1"/>
  <c r="E91" i="7"/>
  <c r="E164" i="7"/>
  <c r="J164" i="7"/>
  <c r="F164" i="7" s="1"/>
  <c r="F183" i="5"/>
  <c r="K183" i="5"/>
  <c r="H18" i="11"/>
  <c r="F18" i="11" s="1"/>
  <c r="J14" i="5"/>
  <c r="J93" i="5"/>
  <c r="J173" i="5"/>
  <c r="H21" i="11"/>
  <c r="F21" i="11" s="1"/>
  <c r="J19" i="5"/>
  <c r="J98" i="5"/>
  <c r="J178" i="5"/>
  <c r="F1002" i="10"/>
  <c r="C964" i="10"/>
  <c r="H23" i="11"/>
  <c r="F23" i="11" s="1"/>
  <c r="J21" i="5"/>
  <c r="J180" i="5"/>
  <c r="J100" i="5"/>
  <c r="I49" i="5"/>
  <c r="G49" i="5" s="1"/>
  <c r="F49" i="5"/>
  <c r="F36" i="5"/>
  <c r="K36" i="5"/>
  <c r="G36" i="5" s="1"/>
  <c r="J103" i="7"/>
  <c r="F103" i="7" s="1"/>
  <c r="E103" i="7"/>
  <c r="C3264" i="10"/>
  <c r="E49" i="9"/>
  <c r="M138" i="5"/>
  <c r="F138" i="5"/>
  <c r="E101" i="7"/>
  <c r="J101" i="7"/>
  <c r="C179" i="10"/>
  <c r="E110" i="10"/>
  <c r="G6" i="9"/>
  <c r="C810" i="10"/>
  <c r="E18" i="9"/>
  <c r="C2432" i="10"/>
  <c r="E41" i="9"/>
  <c r="G41" i="11"/>
  <c r="F41" i="11" s="1"/>
  <c r="H109" i="5"/>
  <c r="E290" i="7"/>
  <c r="J290" i="7"/>
  <c r="C1120" i="10"/>
  <c r="E23" i="9"/>
  <c r="I126" i="5"/>
  <c r="G126" i="5" s="1"/>
  <c r="F126" i="5"/>
  <c r="C2951" i="10"/>
  <c r="E2883" i="10"/>
  <c r="G45" i="9"/>
  <c r="C1843" i="10"/>
  <c r="E1810" i="10"/>
  <c r="G33" i="9"/>
  <c r="H49" i="11"/>
  <c r="F49" i="11" s="1"/>
  <c r="J194" i="5"/>
  <c r="M219" i="5"/>
  <c r="F219" i="5"/>
  <c r="E113" i="7"/>
  <c r="J113" i="7"/>
  <c r="C459" i="10"/>
  <c r="E355" i="10"/>
  <c r="G10" i="9"/>
  <c r="H11" i="11"/>
  <c r="F11" i="11" s="1"/>
  <c r="I193" i="7"/>
  <c r="C460" i="10"/>
  <c r="E11" i="9"/>
  <c r="E1464" i="10"/>
  <c r="C1567" i="10"/>
  <c r="G29" i="9"/>
  <c r="I127" i="5"/>
  <c r="G127" i="5" s="1"/>
  <c r="F127" i="5"/>
  <c r="J237" i="7"/>
  <c r="F237" i="7" s="1"/>
  <c r="E237" i="7"/>
  <c r="C1775" i="10"/>
  <c r="E1707" i="10"/>
  <c r="G31" i="9"/>
  <c r="F1947" i="10"/>
  <c r="H36" i="9"/>
  <c r="C2050" i="10"/>
  <c r="F61" i="5"/>
  <c r="M61" i="5"/>
  <c r="J179" i="7"/>
  <c r="F179" i="7" s="1"/>
  <c r="E179" i="7"/>
  <c r="E1326" i="10"/>
  <c r="C1394" i="10"/>
  <c r="G27" i="9"/>
  <c r="C2952" i="10"/>
  <c r="E46" i="9"/>
  <c r="E248" i="7"/>
  <c r="J248" i="7"/>
  <c r="F248" i="7" s="1"/>
  <c r="J307" i="7"/>
  <c r="F305" i="7"/>
  <c r="F2155" i="10"/>
  <c r="H38" i="9"/>
  <c r="C2293" i="10"/>
  <c r="C2431" i="10"/>
  <c r="E2363" i="10"/>
  <c r="G40" i="9"/>
  <c r="J89" i="7"/>
  <c r="E89" i="7"/>
  <c r="C1290" i="10"/>
  <c r="E1291" i="10"/>
  <c r="G46" i="11"/>
  <c r="F46" i="11" s="1"/>
  <c r="H189" i="5"/>
  <c r="B562" i="10"/>
  <c r="E125" i="7"/>
  <c r="J125" i="7"/>
  <c r="E14" i="4"/>
  <c r="E180" i="7"/>
  <c r="J180" i="7"/>
  <c r="F180" i="7" s="1"/>
  <c r="C911" i="10"/>
  <c r="E912" i="10"/>
  <c r="G47" i="9"/>
  <c r="E3021" i="10"/>
  <c r="C3124" i="10"/>
  <c r="C562" i="10"/>
  <c r="E564" i="10"/>
  <c r="E134" i="7"/>
  <c r="J134" i="7"/>
  <c r="J199" i="7"/>
  <c r="F199" i="7" s="1"/>
  <c r="E199" i="7"/>
  <c r="C3262" i="10"/>
  <c r="E3263" i="10"/>
  <c r="E42" i="4"/>
  <c r="E165" i="7"/>
  <c r="J165" i="7"/>
  <c r="F165" i="7" s="1"/>
  <c r="J208" i="7"/>
  <c r="F208" i="7" s="1"/>
  <c r="E208" i="7"/>
  <c r="K180" i="5" l="1"/>
  <c r="G180" i="5" s="1"/>
  <c r="F180" i="5"/>
  <c r="C1326" i="10"/>
  <c r="E27" i="9"/>
  <c r="H29" i="11"/>
  <c r="F29" i="11" s="1"/>
  <c r="J31" i="5"/>
  <c r="H33" i="11"/>
  <c r="F33" i="11" s="1"/>
  <c r="J37" i="5"/>
  <c r="J116" i="5"/>
  <c r="J196" i="5"/>
  <c r="F223" i="7"/>
  <c r="E1051" i="10"/>
  <c r="C1119" i="10"/>
  <c r="G22" i="9"/>
  <c r="H45" i="11"/>
  <c r="F45" i="11" s="1"/>
  <c r="J188" i="5"/>
  <c r="F21" i="5"/>
  <c r="K21" i="5"/>
  <c r="G21" i="5" s="1"/>
  <c r="E253" i="7"/>
  <c r="J253" i="7"/>
  <c r="F253" i="7" s="1"/>
  <c r="H40" i="11"/>
  <c r="F40" i="11" s="1"/>
  <c r="J108" i="5"/>
  <c r="G61" i="5"/>
  <c r="C110" i="10"/>
  <c r="E6" i="9"/>
  <c r="J229" i="7"/>
  <c r="F229" i="7" s="1"/>
  <c r="E229" i="7"/>
  <c r="H8" i="11"/>
  <c r="F8" i="11" s="1"/>
  <c r="I162" i="7"/>
  <c r="I177" i="7"/>
  <c r="I198" i="7"/>
  <c r="I236" i="7"/>
  <c r="I207" i="7"/>
  <c r="I247" i="7"/>
  <c r="H42" i="11"/>
  <c r="F42" i="11" s="1"/>
  <c r="J110" i="5"/>
  <c r="H47" i="11"/>
  <c r="F47" i="11" s="1"/>
  <c r="J190" i="5"/>
  <c r="C912" i="10"/>
  <c r="E844" i="10"/>
  <c r="G19" i="9"/>
  <c r="C2363" i="10"/>
  <c r="E40" i="9"/>
  <c r="J193" i="7"/>
  <c r="F193" i="7" s="1"/>
  <c r="E193" i="7"/>
  <c r="C2883" i="10"/>
  <c r="E45" i="9"/>
  <c r="F101" i="7"/>
  <c r="H20" i="11"/>
  <c r="J16" i="5"/>
  <c r="J175" i="5"/>
  <c r="J95" i="5"/>
  <c r="C2501" i="10"/>
  <c r="E42" i="9"/>
  <c r="G103" i="5"/>
  <c r="C215" i="10"/>
  <c r="E8" i="9"/>
  <c r="K100" i="5"/>
  <c r="G100" i="5" s="1"/>
  <c r="F100" i="5"/>
  <c r="C2155" i="10"/>
  <c r="E38" i="9"/>
  <c r="I38" i="11"/>
  <c r="F38" i="11" s="1"/>
  <c r="L223" i="5"/>
  <c r="L142" i="5"/>
  <c r="L65" i="5"/>
  <c r="I36" i="11"/>
  <c r="F36" i="11" s="1"/>
  <c r="L221" i="5"/>
  <c r="L63" i="5"/>
  <c r="L140" i="5"/>
  <c r="I163" i="7"/>
  <c r="I178" i="7"/>
  <c r="H10" i="11"/>
  <c r="F10" i="11" s="1"/>
  <c r="I280" i="7"/>
  <c r="F178" i="5"/>
  <c r="K178" i="5"/>
  <c r="H44" i="11"/>
  <c r="F44" i="11" s="1"/>
  <c r="J114" i="5"/>
  <c r="F1015" i="10"/>
  <c r="C1002" i="10"/>
  <c r="G138" i="5"/>
  <c r="K98" i="5"/>
  <c r="F98" i="5"/>
  <c r="G11" i="5"/>
  <c r="G8" i="5" s="1"/>
  <c r="K8" i="5"/>
  <c r="G170" i="5"/>
  <c r="G167" i="5" s="1"/>
  <c r="K167" i="5"/>
  <c r="G90" i="5"/>
  <c r="G87" i="5" s="1"/>
  <c r="K87" i="5"/>
  <c r="C2744" i="10"/>
  <c r="E44" i="9"/>
  <c r="F89" i="7"/>
  <c r="E242" i="7"/>
  <c r="J242" i="7"/>
  <c r="F242" i="7" s="1"/>
  <c r="H31" i="11"/>
  <c r="F31" i="11" s="1"/>
  <c r="J35" i="5"/>
  <c r="C355" i="10"/>
  <c r="E10" i="9"/>
  <c r="K19" i="5"/>
  <c r="F19" i="5"/>
  <c r="C1706" i="10"/>
  <c r="E1568" i="10"/>
  <c r="G30" i="9"/>
  <c r="I204" i="5"/>
  <c r="G205" i="5"/>
  <c r="H6" i="11"/>
  <c r="F6" i="11" s="1"/>
  <c r="I169" i="7"/>
  <c r="I128" i="7"/>
  <c r="I104" i="7"/>
  <c r="I239" i="7"/>
  <c r="I116" i="7"/>
  <c r="I184" i="7"/>
  <c r="I137" i="7"/>
  <c r="I226" i="7"/>
  <c r="I250" i="7"/>
  <c r="I92" i="7"/>
  <c r="I293" i="7"/>
  <c r="F307" i="7"/>
  <c r="J308" i="7"/>
  <c r="F113" i="7"/>
  <c r="F290" i="7"/>
  <c r="E2605" i="10"/>
  <c r="C2743" i="10"/>
  <c r="G43" i="9"/>
  <c r="G24" i="5"/>
  <c r="C1810" i="10"/>
  <c r="E33" i="9"/>
  <c r="C1947" i="10"/>
  <c r="E36" i="9"/>
  <c r="E3125" i="10"/>
  <c r="C3263" i="10"/>
  <c r="G48" i="9"/>
  <c r="F125" i="7"/>
  <c r="C1707" i="10"/>
  <c r="E31" i="9"/>
  <c r="F173" i="5"/>
  <c r="K173" i="5"/>
  <c r="I109" i="5"/>
  <c r="F109" i="5"/>
  <c r="K93" i="5"/>
  <c r="F93" i="5"/>
  <c r="I47" i="5"/>
  <c r="G48" i="5"/>
  <c r="G10" i="6"/>
  <c r="F53" i="7"/>
  <c r="E10" i="6" s="1"/>
  <c r="F134" i="7"/>
  <c r="I189" i="5"/>
  <c r="F189" i="5"/>
  <c r="G219" i="5"/>
  <c r="K14" i="5"/>
  <c r="F14" i="5"/>
  <c r="I37" i="11"/>
  <c r="F37" i="11" s="1"/>
  <c r="L141" i="5"/>
  <c r="L64" i="5"/>
  <c r="L222" i="5"/>
  <c r="I30" i="5"/>
  <c r="F30" i="5"/>
  <c r="C1464" i="10"/>
  <c r="E29" i="9"/>
  <c r="F192" i="7"/>
  <c r="J194" i="7"/>
  <c r="F194" i="5"/>
  <c r="K194" i="5"/>
  <c r="C3021" i="10"/>
  <c r="E47" i="9"/>
  <c r="C564" i="10"/>
  <c r="E566" i="10"/>
  <c r="C1291" i="10"/>
  <c r="E1223" i="10"/>
  <c r="G25" i="9"/>
  <c r="H27" i="11"/>
  <c r="F27" i="11" s="1"/>
  <c r="J29" i="5"/>
  <c r="G183" i="5"/>
  <c r="I124" i="5"/>
  <c r="G125" i="5"/>
  <c r="C2051" i="10"/>
  <c r="E37" i="9"/>
  <c r="C1051" i="10" l="1"/>
  <c r="E22" i="9"/>
  <c r="E43" i="4"/>
  <c r="I198" i="5"/>
  <c r="E41" i="4" s="1"/>
  <c r="F21" i="4"/>
  <c r="E280" i="7"/>
  <c r="J280" i="7"/>
  <c r="D21" i="4"/>
  <c r="J177" i="7"/>
  <c r="E177" i="7"/>
  <c r="F194" i="7"/>
  <c r="J195" i="7"/>
  <c r="C3125" i="10"/>
  <c r="E48" i="9"/>
  <c r="F35" i="4"/>
  <c r="E178" i="7"/>
  <c r="J178" i="7"/>
  <c r="F178" i="7" s="1"/>
  <c r="H19" i="11"/>
  <c r="F19" i="11" s="1"/>
  <c r="J94" i="5"/>
  <c r="J15" i="5"/>
  <c r="J174" i="5"/>
  <c r="E293" i="7"/>
  <c r="J293" i="7"/>
  <c r="C1568" i="10"/>
  <c r="E30" i="9"/>
  <c r="D35" i="4"/>
  <c r="E163" i="7"/>
  <c r="J163" i="7"/>
  <c r="F163" i="7" s="1"/>
  <c r="F196" i="5"/>
  <c r="K196" i="5"/>
  <c r="G196" i="5" s="1"/>
  <c r="H10" i="8"/>
  <c r="F10" i="8" s="1"/>
  <c r="I181" i="7"/>
  <c r="I312" i="7"/>
  <c r="I166" i="7"/>
  <c r="I298" i="7"/>
  <c r="E92" i="7"/>
  <c r="J92" i="7"/>
  <c r="F7" i="4"/>
  <c r="M140" i="5"/>
  <c r="F140" i="5"/>
  <c r="C844" i="10"/>
  <c r="E19" i="9"/>
  <c r="K116" i="5"/>
  <c r="G116" i="5" s="1"/>
  <c r="F116" i="5"/>
  <c r="E29" i="4"/>
  <c r="I118" i="5"/>
  <c r="E27" i="4" s="1"/>
  <c r="D7" i="4"/>
  <c r="M63" i="5"/>
  <c r="F63" i="5"/>
  <c r="K190" i="5"/>
  <c r="G190" i="5" s="1"/>
  <c r="F190" i="5"/>
  <c r="F37" i="5"/>
  <c r="K37" i="5"/>
  <c r="G37" i="5" s="1"/>
  <c r="E15" i="4"/>
  <c r="I39" i="5"/>
  <c r="E13" i="4" s="1"/>
  <c r="E226" i="7"/>
  <c r="J226" i="7"/>
  <c r="M221" i="5"/>
  <c r="F221" i="5"/>
  <c r="K95" i="5"/>
  <c r="K108" i="5"/>
  <c r="F108" i="5"/>
  <c r="G178" i="5"/>
  <c r="E250" i="7"/>
  <c r="J250" i="7"/>
  <c r="F250" i="7" s="1"/>
  <c r="G19" i="5"/>
  <c r="K29" i="5"/>
  <c r="F29" i="5"/>
  <c r="I27" i="5"/>
  <c r="G30" i="5"/>
  <c r="M222" i="5"/>
  <c r="G222" i="5" s="1"/>
  <c r="F222" i="5"/>
  <c r="E137" i="7"/>
  <c r="J137" i="7"/>
  <c r="G98" i="5"/>
  <c r="K175" i="5"/>
  <c r="K110" i="5"/>
  <c r="G110" i="5" s="1"/>
  <c r="F110" i="5"/>
  <c r="F31" i="5"/>
  <c r="K31" i="5"/>
  <c r="G31" i="5" s="1"/>
  <c r="J169" i="7"/>
  <c r="F169" i="7" s="1"/>
  <c r="E169" i="7"/>
  <c r="H22" i="11"/>
  <c r="F22" i="11" s="1"/>
  <c r="J99" i="5"/>
  <c r="J20" i="5"/>
  <c r="J179" i="5"/>
  <c r="H30" i="11"/>
  <c r="F30" i="11" s="1"/>
  <c r="J32" i="5"/>
  <c r="E184" i="7"/>
  <c r="J184" i="7"/>
  <c r="F184" i="7" s="1"/>
  <c r="F35" i="5"/>
  <c r="K35" i="5"/>
  <c r="M65" i="5"/>
  <c r="G65" i="5" s="1"/>
  <c r="F65" i="5"/>
  <c r="K16" i="5"/>
  <c r="E116" i="7"/>
  <c r="J116" i="7"/>
  <c r="M142" i="5"/>
  <c r="G142" i="5" s="1"/>
  <c r="F142" i="5"/>
  <c r="E247" i="7"/>
  <c r="J247" i="7"/>
  <c r="J162" i="7"/>
  <c r="E162" i="7"/>
  <c r="I186" i="5"/>
  <c r="G189" i="5"/>
  <c r="G36" i="6"/>
  <c r="F308" i="7"/>
  <c r="E36" i="6" s="1"/>
  <c r="H25" i="11"/>
  <c r="F25" i="11" s="1"/>
  <c r="J25" i="5"/>
  <c r="J184" i="5"/>
  <c r="J104" i="5"/>
  <c r="M64" i="5"/>
  <c r="G64" i="5" s="1"/>
  <c r="F64" i="5"/>
  <c r="G93" i="5"/>
  <c r="M141" i="5"/>
  <c r="G141" i="5" s="1"/>
  <c r="F141" i="5"/>
  <c r="C1223" i="10"/>
  <c r="E25" i="9"/>
  <c r="I106" i="5"/>
  <c r="G109" i="5"/>
  <c r="H43" i="11"/>
  <c r="F43" i="11" s="1"/>
  <c r="J111" i="5"/>
  <c r="J239" i="7"/>
  <c r="F239" i="7" s="1"/>
  <c r="E239" i="7"/>
  <c r="M223" i="5"/>
  <c r="G223" i="5" s="1"/>
  <c r="F223" i="5"/>
  <c r="E207" i="7"/>
  <c r="J207" i="7"/>
  <c r="H48" i="11"/>
  <c r="F48" i="11" s="1"/>
  <c r="J191" i="5"/>
  <c r="F1016" i="10"/>
  <c r="C1015" i="10"/>
  <c r="E236" i="7"/>
  <c r="J236" i="7"/>
  <c r="G194" i="5"/>
  <c r="G193" i="5" s="1"/>
  <c r="D40" i="4" s="1"/>
  <c r="K193" i="5"/>
  <c r="F40" i="4" s="1"/>
  <c r="E599" i="10"/>
  <c r="C566" i="10"/>
  <c r="G173" i="5"/>
  <c r="C2605" i="10"/>
  <c r="E43" i="9"/>
  <c r="J104" i="7"/>
  <c r="E104" i="7"/>
  <c r="G14" i="5"/>
  <c r="J128" i="7"/>
  <c r="E128" i="7"/>
  <c r="F114" i="5"/>
  <c r="K114" i="5"/>
  <c r="J198" i="7"/>
  <c r="E198" i="7"/>
  <c r="F188" i="5"/>
  <c r="K188" i="5"/>
  <c r="E39" i="4" l="1"/>
  <c r="I166" i="5"/>
  <c r="F92" i="7"/>
  <c r="F293" i="7"/>
  <c r="J294" i="7"/>
  <c r="F162" i="7"/>
  <c r="G63" i="5"/>
  <c r="G60" i="5" s="1"/>
  <c r="D17" i="4" s="1"/>
  <c r="M60" i="5"/>
  <c r="G17" i="4" s="1"/>
  <c r="E298" i="7"/>
  <c r="J298" i="7"/>
  <c r="F177" i="7"/>
  <c r="F247" i="7"/>
  <c r="J254" i="7"/>
  <c r="E166" i="7"/>
  <c r="J166" i="7"/>
  <c r="F166" i="7" s="1"/>
  <c r="K34" i="5"/>
  <c r="F12" i="4" s="1"/>
  <c r="G35" i="5"/>
  <c r="G34" i="5" s="1"/>
  <c r="D12" i="4" s="1"/>
  <c r="K113" i="5"/>
  <c r="F26" i="4" s="1"/>
  <c r="G114" i="5"/>
  <c r="G113" i="5" s="1"/>
  <c r="D26" i="4" s="1"/>
  <c r="F913" i="10"/>
  <c r="H20" i="9"/>
  <c r="C1016" i="10"/>
  <c r="F32" i="5"/>
  <c r="K32" i="5"/>
  <c r="G32" i="5" s="1"/>
  <c r="F137" i="7"/>
  <c r="J138" i="7"/>
  <c r="G108" i="5"/>
  <c r="E312" i="7"/>
  <c r="J312" i="7"/>
  <c r="F174" i="5"/>
  <c r="K174" i="5"/>
  <c r="G24" i="6"/>
  <c r="F195" i="7"/>
  <c r="E24" i="6" s="1"/>
  <c r="J181" i="7"/>
  <c r="F181" i="7" s="1"/>
  <c r="E181" i="7"/>
  <c r="F15" i="5"/>
  <c r="K15" i="5"/>
  <c r="F280" i="7"/>
  <c r="J285" i="7"/>
  <c r="F179" i="5"/>
  <c r="K179" i="5"/>
  <c r="F94" i="5"/>
  <c r="K94" i="5"/>
  <c r="F191" i="5"/>
  <c r="K191" i="5"/>
  <c r="G191" i="5" s="1"/>
  <c r="J210" i="7"/>
  <c r="F207" i="7"/>
  <c r="F20" i="5"/>
  <c r="K20" i="5"/>
  <c r="F116" i="7"/>
  <c r="F99" i="5"/>
  <c r="K99" i="5"/>
  <c r="G221" i="5"/>
  <c r="G218" i="5" s="1"/>
  <c r="D45" i="4" s="1"/>
  <c r="M218" i="5"/>
  <c r="G45" i="4" s="1"/>
  <c r="C599" i="10"/>
  <c r="E530" i="10"/>
  <c r="G13" i="9"/>
  <c r="F236" i="7"/>
  <c r="J243" i="7"/>
  <c r="F104" i="5"/>
  <c r="K104" i="5"/>
  <c r="H36" i="8"/>
  <c r="F36" i="8" s="1"/>
  <c r="J211" i="5"/>
  <c r="F128" i="7"/>
  <c r="J129" i="7"/>
  <c r="E11" i="4"/>
  <c r="I7" i="5"/>
  <c r="F226" i="7"/>
  <c r="F184" i="5"/>
  <c r="K184" i="5"/>
  <c r="F25" i="5"/>
  <c r="K25" i="5"/>
  <c r="G29" i="5"/>
  <c r="G27" i="5" s="1"/>
  <c r="D11" i="4" s="1"/>
  <c r="K27" i="5"/>
  <c r="F11" i="4" s="1"/>
  <c r="E25" i="4"/>
  <c r="I86" i="5"/>
  <c r="F104" i="7"/>
  <c r="F198" i="7"/>
  <c r="G188" i="5"/>
  <c r="G186" i="5" s="1"/>
  <c r="D39" i="4" s="1"/>
  <c r="K186" i="5"/>
  <c r="F39" i="4" s="1"/>
  <c r="K111" i="5"/>
  <c r="G111" i="5" s="1"/>
  <c r="F111" i="5"/>
  <c r="G140" i="5"/>
  <c r="G137" i="5" s="1"/>
  <c r="D31" i="4" s="1"/>
  <c r="M137" i="5"/>
  <c r="G31" i="4" s="1"/>
  <c r="I6" i="5" l="1"/>
  <c r="E6" i="4"/>
  <c r="F129" i="7"/>
  <c r="J130" i="7"/>
  <c r="C913" i="10"/>
  <c r="E20" i="9"/>
  <c r="G20" i="5"/>
  <c r="G18" i="5" s="1"/>
  <c r="D9" i="4" s="1"/>
  <c r="K18" i="5"/>
  <c r="F9" i="4" s="1"/>
  <c r="I20" i="11"/>
  <c r="F20" i="11" s="1"/>
  <c r="L16" i="5"/>
  <c r="L95" i="5"/>
  <c r="L175" i="5"/>
  <c r="E20" i="4"/>
  <c r="I85" i="5"/>
  <c r="E19" i="4" s="1"/>
  <c r="K211" i="5"/>
  <c r="G211" i="5" s="1"/>
  <c r="F211" i="5"/>
  <c r="J139" i="7"/>
  <c r="F138" i="7"/>
  <c r="J295" i="7"/>
  <c r="F294" i="7"/>
  <c r="H24" i="8"/>
  <c r="F24" i="8" s="1"/>
  <c r="J52" i="5"/>
  <c r="J130" i="5"/>
  <c r="J209" i="5"/>
  <c r="F298" i="7"/>
  <c r="J300" i="7"/>
  <c r="F243" i="7"/>
  <c r="J244" i="7"/>
  <c r="G174" i="5"/>
  <c r="K172" i="5"/>
  <c r="J286" i="7"/>
  <c r="F285" i="7"/>
  <c r="G15" i="5"/>
  <c r="K13" i="5"/>
  <c r="G104" i="5"/>
  <c r="G102" i="5" s="1"/>
  <c r="D24" i="4" s="1"/>
  <c r="K102" i="5"/>
  <c r="F24" i="4" s="1"/>
  <c r="G25" i="5"/>
  <c r="G23" i="5" s="1"/>
  <c r="D10" i="4" s="1"/>
  <c r="K23" i="5"/>
  <c r="F10" i="4" s="1"/>
  <c r="F312" i="7"/>
  <c r="J315" i="7"/>
  <c r="J211" i="7"/>
  <c r="F210" i="7"/>
  <c r="I106" i="7"/>
  <c r="I118" i="7"/>
  <c r="I215" i="7"/>
  <c r="I167" i="7"/>
  <c r="I94" i="7"/>
  <c r="I182" i="7"/>
  <c r="I230" i="7"/>
  <c r="H13" i="11"/>
  <c r="F13" i="11" s="1"/>
  <c r="I201" i="7"/>
  <c r="I273" i="7"/>
  <c r="G94" i="5"/>
  <c r="K92" i="5"/>
  <c r="F254" i="7"/>
  <c r="J255" i="7"/>
  <c r="G184" i="5"/>
  <c r="G182" i="5" s="1"/>
  <c r="D38" i="4" s="1"/>
  <c r="K182" i="5"/>
  <c r="F38" i="4" s="1"/>
  <c r="C530" i="10"/>
  <c r="E13" i="9"/>
  <c r="K106" i="5"/>
  <c r="F25" i="4" s="1"/>
  <c r="E34" i="4"/>
  <c r="I165" i="5"/>
  <c r="E33" i="4" s="1"/>
  <c r="G99" i="5"/>
  <c r="G97" i="5" s="1"/>
  <c r="D23" i="4" s="1"/>
  <c r="K97" i="5"/>
  <c r="F23" i="4" s="1"/>
  <c r="G179" i="5"/>
  <c r="G177" i="5" s="1"/>
  <c r="D37" i="4" s="1"/>
  <c r="K177" i="5"/>
  <c r="F37" i="4" s="1"/>
  <c r="G106" i="5"/>
  <c r="D25" i="4" s="1"/>
  <c r="G29" i="6" l="1"/>
  <c r="F244" i="7"/>
  <c r="E29" i="6" s="1"/>
  <c r="M175" i="5"/>
  <c r="F175" i="5"/>
  <c r="F36" i="4"/>
  <c r="K166" i="5"/>
  <c r="J215" i="7"/>
  <c r="E215" i="7"/>
  <c r="E118" i="7"/>
  <c r="J118" i="7"/>
  <c r="J106" i="7"/>
  <c r="E106" i="7"/>
  <c r="M95" i="5"/>
  <c r="F95" i="5"/>
  <c r="G19" i="6"/>
  <c r="F139" i="7"/>
  <c r="E19" i="6" s="1"/>
  <c r="J301" i="7"/>
  <c r="F300" i="7"/>
  <c r="M16" i="5"/>
  <c r="F16" i="5"/>
  <c r="G26" i="6"/>
  <c r="F211" i="7"/>
  <c r="E26" i="6" s="1"/>
  <c r="F315" i="7"/>
  <c r="J316" i="7"/>
  <c r="F209" i="5"/>
  <c r="K209" i="5"/>
  <c r="G209" i="5" s="1"/>
  <c r="K130" i="5"/>
  <c r="G130" i="5" s="1"/>
  <c r="F130" i="5"/>
  <c r="E94" i="7"/>
  <c r="J94" i="7"/>
  <c r="F22" i="4"/>
  <c r="K86" i="5"/>
  <c r="F52" i="5"/>
  <c r="K52" i="5"/>
  <c r="G52" i="5" s="1"/>
  <c r="J230" i="7"/>
  <c r="E230" i="7"/>
  <c r="E273" i="7"/>
  <c r="J273" i="7"/>
  <c r="G18" i="6"/>
  <c r="F130" i="7"/>
  <c r="E18" i="6" s="1"/>
  <c r="E201" i="7"/>
  <c r="J201" i="7"/>
  <c r="F295" i="7"/>
  <c r="E34" i="6" s="1"/>
  <c r="G34" i="6"/>
  <c r="E182" i="7"/>
  <c r="J182" i="7"/>
  <c r="G33" i="6"/>
  <c r="F286" i="7"/>
  <c r="E33" i="6" s="1"/>
  <c r="J167" i="7"/>
  <c r="E167" i="7"/>
  <c r="G30" i="6"/>
  <c r="F255" i="7"/>
  <c r="E30" i="6" s="1"/>
  <c r="F8" i="4"/>
  <c r="K7" i="5"/>
  <c r="I5" i="5"/>
  <c r="E5" i="4"/>
  <c r="M92" i="5" l="1"/>
  <c r="G95" i="5"/>
  <c r="G92" i="5" s="1"/>
  <c r="F94" i="7"/>
  <c r="J96" i="7"/>
  <c r="H34" i="8"/>
  <c r="F34" i="8" s="1"/>
  <c r="J201" i="5"/>
  <c r="F118" i="7"/>
  <c r="J120" i="7"/>
  <c r="H19" i="8"/>
  <c r="F19" i="8" s="1"/>
  <c r="J45" i="5"/>
  <c r="J202" i="5"/>
  <c r="F106" i="7"/>
  <c r="J108" i="7"/>
  <c r="G37" i="6"/>
  <c r="F316" i="7"/>
  <c r="E37" i="6" s="1"/>
  <c r="F182" i="7"/>
  <c r="J188" i="7"/>
  <c r="F215" i="7"/>
  <c r="J218" i="7"/>
  <c r="F34" i="4"/>
  <c r="H26" i="8"/>
  <c r="F26" i="8" s="1"/>
  <c r="J56" i="5"/>
  <c r="F201" i="7"/>
  <c r="J203" i="7"/>
  <c r="F273" i="7"/>
  <c r="J275" i="7"/>
  <c r="I254" i="5"/>
  <c r="E48" i="4" s="1"/>
  <c r="E4" i="4"/>
  <c r="H18" i="8"/>
  <c r="F18" i="8" s="1"/>
  <c r="J44" i="5"/>
  <c r="F167" i="7"/>
  <c r="J173" i="7"/>
  <c r="M13" i="5"/>
  <c r="G16" i="5"/>
  <c r="G13" i="5" s="1"/>
  <c r="M172" i="5"/>
  <c r="G175" i="5"/>
  <c r="G172" i="5" s="1"/>
  <c r="H30" i="8"/>
  <c r="F30" i="8" s="1"/>
  <c r="J122" i="5"/>
  <c r="F6" i="4"/>
  <c r="F230" i="7"/>
  <c r="J232" i="7"/>
  <c r="H33" i="8"/>
  <c r="F33" i="8" s="1"/>
  <c r="J134" i="5"/>
  <c r="G35" i="6"/>
  <c r="F301" i="7"/>
  <c r="E35" i="6" s="1"/>
  <c r="H29" i="8"/>
  <c r="F29" i="8" s="1"/>
  <c r="J121" i="5"/>
  <c r="F20" i="4"/>
  <c r="H35" i="8" l="1"/>
  <c r="F35" i="8" s="1"/>
  <c r="J210" i="5"/>
  <c r="H37" i="8"/>
  <c r="F37" i="8" s="1"/>
  <c r="J212" i="5"/>
  <c r="F108" i="7"/>
  <c r="J109" i="7"/>
  <c r="F44" i="5"/>
  <c r="K44" i="5"/>
  <c r="G44" i="5" s="1"/>
  <c r="F134" i="5"/>
  <c r="K134" i="5"/>
  <c r="G134" i="5" s="1"/>
  <c r="F275" i="7"/>
  <c r="J276" i="7"/>
  <c r="F202" i="5"/>
  <c r="K202" i="5"/>
  <c r="G202" i="5" s="1"/>
  <c r="F232" i="7"/>
  <c r="J233" i="7"/>
  <c r="F45" i="5"/>
  <c r="K45" i="5"/>
  <c r="G45" i="5" s="1"/>
  <c r="J204" i="7"/>
  <c r="F203" i="7"/>
  <c r="F121" i="5"/>
  <c r="K121" i="5"/>
  <c r="G121" i="5" s="1"/>
  <c r="F120" i="7"/>
  <c r="J121" i="7"/>
  <c r="F122" i="5"/>
  <c r="K122" i="5"/>
  <c r="G122" i="5" s="1"/>
  <c r="F56" i="5"/>
  <c r="K56" i="5"/>
  <c r="G56" i="5" s="1"/>
  <c r="D9" i="3"/>
  <c r="J54" i="4"/>
  <c r="J52" i="4"/>
  <c r="D49" i="4"/>
  <c r="D10" i="3" s="1"/>
  <c r="F201" i="5"/>
  <c r="K201" i="5"/>
  <c r="G201" i="5" s="1"/>
  <c r="G36" i="4"/>
  <c r="M166" i="5"/>
  <c r="J97" i="7"/>
  <c r="F96" i="7"/>
  <c r="D36" i="4"/>
  <c r="G166" i="5"/>
  <c r="D8" i="4"/>
  <c r="G7" i="5"/>
  <c r="J219" i="7"/>
  <c r="F218" i="7"/>
  <c r="G8" i="4"/>
  <c r="M7" i="5"/>
  <c r="D22" i="4"/>
  <c r="G86" i="5"/>
  <c r="F173" i="7"/>
  <c r="J174" i="7"/>
  <c r="J189" i="7"/>
  <c r="F188" i="7"/>
  <c r="G22" i="4"/>
  <c r="M86" i="5"/>
  <c r="D51" i="4" l="1"/>
  <c r="D14" i="3" s="1"/>
  <c r="D50" i="4"/>
  <c r="D13" i="3" s="1"/>
  <c r="G28" i="6"/>
  <c r="F233" i="7"/>
  <c r="E28" i="6" s="1"/>
  <c r="D11" i="3"/>
  <c r="G27" i="6"/>
  <c r="F219" i="7"/>
  <c r="E27" i="6" s="1"/>
  <c r="G32" i="6"/>
  <c r="F276" i="7"/>
  <c r="E32" i="6" s="1"/>
  <c r="M85" i="5"/>
  <c r="G19" i="4" s="1"/>
  <c r="G20" i="4"/>
  <c r="G17" i="6"/>
  <c r="F121" i="7"/>
  <c r="E17" i="6" s="1"/>
  <c r="D34" i="4"/>
  <c r="G23" i="6"/>
  <c r="F189" i="7"/>
  <c r="E23" i="6" s="1"/>
  <c r="G34" i="4"/>
  <c r="M165" i="5"/>
  <c r="G33" i="4" s="1"/>
  <c r="G16" i="6"/>
  <c r="F109" i="7"/>
  <c r="E16" i="6" s="1"/>
  <c r="D6" i="4"/>
  <c r="G15" i="6"/>
  <c r="F97" i="7"/>
  <c r="E15" i="6" s="1"/>
  <c r="F212" i="5"/>
  <c r="K212" i="5"/>
  <c r="G212" i="5" s="1"/>
  <c r="G22" i="6"/>
  <c r="F174" i="7"/>
  <c r="E22" i="6" s="1"/>
  <c r="G25" i="6"/>
  <c r="F204" i="7"/>
  <c r="E25" i="6" s="1"/>
  <c r="D20" i="4"/>
  <c r="F210" i="5"/>
  <c r="K210" i="5"/>
  <c r="G210" i="5" s="1"/>
  <c r="M6" i="5"/>
  <c r="G6" i="4"/>
  <c r="H25" i="8" l="1"/>
  <c r="F25" i="8" s="1"/>
  <c r="J55" i="5"/>
  <c r="J215" i="5"/>
  <c r="H17" i="8"/>
  <c r="F17" i="8" s="1"/>
  <c r="J43" i="5"/>
  <c r="H15" i="8"/>
  <c r="F15" i="8" s="1"/>
  <c r="J41" i="5"/>
  <c r="J200" i="5"/>
  <c r="H32" i="8"/>
  <c r="F32" i="8" s="1"/>
  <c r="J133" i="5"/>
  <c r="H22" i="8"/>
  <c r="F22" i="8" s="1"/>
  <c r="J50" i="5"/>
  <c r="J128" i="5"/>
  <c r="J207" i="5"/>
  <c r="H23" i="8"/>
  <c r="F23" i="8" s="1"/>
  <c r="J51" i="5"/>
  <c r="J208" i="5"/>
  <c r="J129" i="5"/>
  <c r="H27" i="8"/>
  <c r="F27" i="8" s="1"/>
  <c r="J58" i="5"/>
  <c r="M5" i="5"/>
  <c r="G5" i="4"/>
  <c r="H16" i="8"/>
  <c r="F16" i="8" s="1"/>
  <c r="J42" i="5"/>
  <c r="H28" i="8"/>
  <c r="F28" i="8" s="1"/>
  <c r="J120" i="5"/>
  <c r="F50" i="5" l="1"/>
  <c r="K50" i="5"/>
  <c r="F128" i="5"/>
  <c r="K128" i="5"/>
  <c r="F207" i="5"/>
  <c r="K207" i="5"/>
  <c r="K120" i="5"/>
  <c r="F120" i="5"/>
  <c r="F133" i="5"/>
  <c r="K133" i="5"/>
  <c r="F51" i="5"/>
  <c r="K51" i="5"/>
  <c r="G51" i="5" s="1"/>
  <c r="K42" i="5"/>
  <c r="G42" i="5" s="1"/>
  <c r="F42" i="5"/>
  <c r="F200" i="5"/>
  <c r="K200" i="5"/>
  <c r="K41" i="5"/>
  <c r="F41" i="5"/>
  <c r="F215" i="5"/>
  <c r="K215" i="5"/>
  <c r="K43" i="5"/>
  <c r="G43" i="5" s="1"/>
  <c r="F43" i="5"/>
  <c r="F58" i="5"/>
  <c r="K58" i="5"/>
  <c r="G58" i="5" s="1"/>
  <c r="F129" i="5"/>
  <c r="K129" i="5"/>
  <c r="G129" i="5" s="1"/>
  <c r="F55" i="5"/>
  <c r="K55" i="5"/>
  <c r="M254" i="5"/>
  <c r="G48" i="4" s="1"/>
  <c r="D12" i="3" s="1"/>
  <c r="G4" i="4"/>
  <c r="F208" i="5"/>
  <c r="K208" i="5"/>
  <c r="G208" i="5" s="1"/>
  <c r="K54" i="5" l="1"/>
  <c r="F16" i="4" s="1"/>
  <c r="G55" i="5"/>
  <c r="G54" i="5" s="1"/>
  <c r="D16" i="4" s="1"/>
  <c r="G128" i="5"/>
  <c r="G124" i="5" s="1"/>
  <c r="D29" i="4" s="1"/>
  <c r="K124" i="5"/>
  <c r="F29" i="4" s="1"/>
  <c r="G207" i="5"/>
  <c r="G204" i="5" s="1"/>
  <c r="D43" i="4" s="1"/>
  <c r="K204" i="5"/>
  <c r="F43" i="4" s="1"/>
  <c r="G50" i="5"/>
  <c r="G47" i="5" s="1"/>
  <c r="D15" i="4" s="1"/>
  <c r="K47" i="5"/>
  <c r="F15" i="4" s="1"/>
  <c r="K199" i="5"/>
  <c r="G200" i="5"/>
  <c r="G199" i="5" s="1"/>
  <c r="K132" i="5"/>
  <c r="F30" i="4" s="1"/>
  <c r="G133" i="5"/>
  <c r="G132" i="5" s="1"/>
  <c r="D30" i="4" s="1"/>
  <c r="G120" i="5"/>
  <c r="G119" i="5" s="1"/>
  <c r="K119" i="5"/>
  <c r="K214" i="5"/>
  <c r="F44" i="4" s="1"/>
  <c r="G215" i="5"/>
  <c r="G214" i="5" s="1"/>
  <c r="D44" i="4" s="1"/>
  <c r="K40" i="5"/>
  <c r="G41" i="5"/>
  <c r="G40" i="5" s="1"/>
  <c r="D28" i="4" l="1"/>
  <c r="G118" i="5"/>
  <c r="F28" i="4"/>
  <c r="K118" i="5"/>
  <c r="F42" i="4"/>
  <c r="K198" i="5"/>
  <c r="G39" i="5"/>
  <c r="D14" i="4"/>
  <c r="D42" i="4"/>
  <c r="G198" i="5"/>
  <c r="K39" i="5"/>
  <c r="F14" i="4"/>
  <c r="F13" i="4" l="1"/>
  <c r="K6" i="5"/>
  <c r="D41" i="4"/>
  <c r="G165" i="5"/>
  <c r="D33" i="4" s="1"/>
  <c r="D13" i="4"/>
  <c r="G6" i="5"/>
  <c r="F41" i="4"/>
  <c r="K165" i="5"/>
  <c r="F33" i="4" s="1"/>
  <c r="F27" i="4"/>
  <c r="K85" i="5"/>
  <c r="F19" i="4" s="1"/>
  <c r="D27" i="4"/>
  <c r="G85" i="5"/>
  <c r="D19" i="4" s="1"/>
  <c r="G5" i="5" l="1"/>
  <c r="D5" i="4"/>
  <c r="F5" i="4"/>
  <c r="K5" i="5"/>
  <c r="K254" i="5" l="1"/>
  <c r="F48" i="4" s="1"/>
  <c r="F4" i="4"/>
  <c r="G254" i="5"/>
  <c r="D48" i="4" s="1"/>
  <c r="D4" i="4"/>
  <c r="D57" i="4" l="1"/>
  <c r="D20" i="3" s="1"/>
  <c r="D58" i="4"/>
  <c r="D21" i="3" s="1"/>
  <c r="D5" i="3"/>
  <c r="J55" i="4"/>
  <c r="D56" i="4"/>
  <c r="D19" i="3" s="1"/>
  <c r="D22" i="3" l="1"/>
  <c r="D59" i="4"/>
  <c r="D8" i="3"/>
  <c r="D60" i="4" l="1"/>
  <c r="D23" i="3" s="1"/>
  <c r="D61" i="4" l="1"/>
  <c r="L61" i="4" l="1"/>
  <c r="J61" i="4"/>
  <c r="J62" i="4" l="1"/>
  <c r="E62" i="4" s="1"/>
  <c r="J63" i="4" l="1"/>
  <c r="J64" i="4"/>
  <c r="J65" i="4" s="1"/>
  <c r="J67" i="4" s="1"/>
  <c r="I62" i="4" s="1"/>
  <c r="L62" i="4" l="1"/>
  <c r="L63" i="4" s="1"/>
  <c r="L64" i="4" l="1"/>
  <c r="L65" i="4" s="1"/>
  <c r="L67" i="4" s="1"/>
  <c r="K62" i="4" s="1"/>
  <c r="D62" i="4" s="1"/>
  <c r="D24" i="3" l="1"/>
  <c r="D63" i="4"/>
  <c r="D25" i="3" l="1"/>
  <c r="D64" i="4"/>
  <c r="D26" i="3" s="1"/>
  <c r="D65" i="4" l="1"/>
  <c r="D27" i="3" l="1"/>
  <c r="D67" i="4"/>
  <c r="D29" i="3" s="1"/>
  <c r="E16" i="3" l="1"/>
  <c r="E6" i="3"/>
  <c r="E7" i="3"/>
  <c r="E15" i="3"/>
  <c r="E18" i="3"/>
  <c r="E28" i="3"/>
  <c r="E17" i="3"/>
  <c r="E10" i="3"/>
  <c r="E9" i="3"/>
  <c r="E14" i="3"/>
  <c r="E13" i="3"/>
  <c r="E11" i="3"/>
  <c r="E12" i="3"/>
  <c r="E19" i="3"/>
  <c r="E21" i="3"/>
  <c r="E20" i="3"/>
  <c r="E5" i="3"/>
  <c r="E8" i="3"/>
  <c r="E22" i="3"/>
  <c r="E23" i="3"/>
  <c r="E24" i="3"/>
  <c r="E26" i="3"/>
  <c r="E25" i="3"/>
  <c r="E27" i="3"/>
</calcChain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9"/>
            <color theme="1"/>
            <rFont val="굴림체"/>
            <family val="3"/>
            <charset val="129"/>
          </rPr>
          <t>해당 페이지 이동은 아래의 HyperLink(→) 셀을 클릭하세요!!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Y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J1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7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R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S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B8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0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1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2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Q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I62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62" authorId="0" shapeId="0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64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66" authorId="0" shapeId="0">
      <text>
        <r>
          <rPr>
            <sz val="9"/>
            <color theme="1"/>
            <rFont val="굴림체"/>
            <family val="3"/>
            <charset val="129"/>
          </rPr>
          <t>관급자재대(도급자설치) : 원자재대 금액을 입력하세요.</t>
        </r>
      </text>
    </comment>
    <comment ref="O66" authorId="0" shapeId="0">
      <text>
        <r>
          <rPr>
            <sz val="9"/>
            <color theme="1"/>
            <rFont val="굴림체"/>
            <family val="3"/>
            <charset val="129"/>
          </rPr>
          <t>조달수수료</t>
        </r>
      </text>
    </comment>
    <comment ref="D67" authorId="0" shapeId="0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AC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sharedStrings.xml><?xml version="1.0" encoding="utf-8"?>
<sst xmlns="http://schemas.openxmlformats.org/spreadsheetml/2006/main" count="10879" uniqueCount="2689">
  <si>
    <t>일위대가 목록표</t>
  </si>
  <si>
    <t>공사명 : 2024년 간선임도 신설사업(기번3/울진.울진.대흥.산65외2)</t>
  </si>
  <si>
    <t>호표</t>
  </si>
  <si>
    <t>명      칭</t>
  </si>
  <si>
    <t>규      격</t>
  </si>
  <si>
    <t>단위</t>
  </si>
  <si>
    <t>합  계</t>
  </si>
  <si>
    <t>노 무 비</t>
  </si>
  <si>
    <t>재 료 비</t>
  </si>
  <si>
    <t>경  비</t>
  </si>
  <si>
    <t>비  고</t>
  </si>
  <si>
    <t>제   1호표</t>
  </si>
  <si>
    <t>모르터바르기</t>
  </si>
  <si>
    <t>1:3</t>
  </si>
  <si>
    <t>m3</t>
  </si>
  <si>
    <t>대가    1</t>
  </si>
  <si>
    <t xml:space="preserve"> 제    2 호표</t>
  </si>
  <si>
    <t>제   2호표</t>
  </si>
  <si>
    <t>글자새김</t>
  </si>
  <si>
    <t>자당 6*6</t>
  </si>
  <si>
    <t>자</t>
  </si>
  <si>
    <t>대가    2</t>
  </si>
  <si>
    <t xml:space="preserve"> 제    3 호표</t>
  </si>
  <si>
    <t>제   3호표</t>
  </si>
  <si>
    <t>찰쌓기(켜쌓기)</t>
  </si>
  <si>
    <t>L3=55cm이하</t>
  </si>
  <si>
    <t>m2</t>
  </si>
  <si>
    <t>대가    3</t>
  </si>
  <si>
    <t xml:space="preserve"> 제    4 호표</t>
  </si>
  <si>
    <t>제   4호표</t>
  </si>
  <si>
    <t>찰붙임</t>
  </si>
  <si>
    <t>대가    4</t>
  </si>
  <si>
    <t xml:space="preserve"> 제    5 호표</t>
  </si>
  <si>
    <t>제   5호표</t>
  </si>
  <si>
    <t>L3=35cm이하</t>
  </si>
  <si>
    <t>대가    5</t>
  </si>
  <si>
    <t xml:space="preserve"> 제    6 호표</t>
  </si>
  <si>
    <t>제   6호표</t>
  </si>
  <si>
    <t>메쌓기(켜쌓기)</t>
  </si>
  <si>
    <t>대가    6</t>
  </si>
  <si>
    <t xml:space="preserve"> 제    7 호표</t>
  </si>
  <si>
    <t>제   7호표</t>
  </si>
  <si>
    <t>콘크리트비빔</t>
  </si>
  <si>
    <t>기계비빔40mm</t>
  </si>
  <si>
    <t>대가    7</t>
  </si>
  <si>
    <t xml:space="preserve"> 제    8 호표</t>
  </si>
  <si>
    <t>제   8호표</t>
  </si>
  <si>
    <t>메붙임</t>
  </si>
  <si>
    <t>대가    8</t>
  </si>
  <si>
    <t xml:space="preserve"> 제    9 호표</t>
  </si>
  <si>
    <t>제   9호표</t>
  </si>
  <si>
    <t>규준틀설치</t>
  </si>
  <si>
    <t>종단규준틀</t>
  </si>
  <si>
    <t>개소</t>
  </si>
  <si>
    <t>대가    9</t>
  </si>
  <si>
    <t xml:space="preserve"> 제   10 호표</t>
  </si>
  <si>
    <t>제  10호표</t>
  </si>
  <si>
    <t>횡단규준틀</t>
  </si>
  <si>
    <t>대가   10</t>
  </si>
  <si>
    <t xml:space="preserve"> 제   11 호표</t>
  </si>
  <si>
    <t>제  11호표</t>
  </si>
  <si>
    <t>제근</t>
  </si>
  <si>
    <t>밀림(90㎥/ha)</t>
  </si>
  <si>
    <t>대가   11</t>
  </si>
  <si>
    <t xml:space="preserve"> 제   12 호표</t>
  </si>
  <si>
    <t>제  12호표</t>
  </si>
  <si>
    <t>돌기슭막이(찰쌓기,기초무,구입)</t>
  </si>
  <si>
    <t>H=1.5  L3=45cm</t>
  </si>
  <si>
    <t>m</t>
  </si>
  <si>
    <t>대가   12</t>
  </si>
  <si>
    <t xml:space="preserve"> 제   13 호표</t>
  </si>
  <si>
    <t>제  13호표</t>
  </si>
  <si>
    <t>H=2.0  L3=45cm</t>
  </si>
  <si>
    <t>대가   13</t>
  </si>
  <si>
    <t xml:space="preserve"> 제   14 호표</t>
  </si>
  <si>
    <t>제  14호표</t>
  </si>
  <si>
    <t>H=2.5  L3=45cm</t>
  </si>
  <si>
    <t>대가   14</t>
  </si>
  <si>
    <t xml:space="preserve"> 제   15 호표</t>
  </si>
  <si>
    <t>제  15호표</t>
  </si>
  <si>
    <t>돌기슭막이(메쌓기,기초무,구입)</t>
  </si>
  <si>
    <t>대가   15</t>
  </si>
  <si>
    <t xml:space="preserve"> 제   16 호표</t>
  </si>
  <si>
    <t>제  16호표</t>
  </si>
  <si>
    <t>대가   16</t>
  </si>
  <si>
    <t xml:space="preserve"> 제   17 호표</t>
  </si>
  <si>
    <t>제  17호표</t>
  </si>
  <si>
    <t>파형강관부설</t>
  </si>
  <si>
    <t>D=800mm</t>
  </si>
  <si>
    <t>대가   17</t>
  </si>
  <si>
    <t xml:space="preserve"> 제   18 호표</t>
  </si>
  <si>
    <t>제  18호표</t>
  </si>
  <si>
    <t>D=1000mm</t>
  </si>
  <si>
    <t>대가   18</t>
  </si>
  <si>
    <t xml:space="preserve"> 제   19 호표</t>
  </si>
  <si>
    <t>제  19호표</t>
  </si>
  <si>
    <t>관보호공(Φ800m/m)</t>
  </si>
  <si>
    <t>동물이동통로 돌집수정ㄷ형</t>
  </si>
  <si>
    <t>대가   19</t>
  </si>
  <si>
    <t xml:space="preserve"> 제   20 호표</t>
  </si>
  <si>
    <t>제  20호표</t>
  </si>
  <si>
    <t>동물이동통로 돌집수정ㄴ형</t>
  </si>
  <si>
    <t>대가   20</t>
  </si>
  <si>
    <t xml:space="preserve"> 제   21 호표</t>
  </si>
  <si>
    <t>제  21호표</t>
  </si>
  <si>
    <t>수로형토사개거</t>
  </si>
  <si>
    <t>대가   21</t>
  </si>
  <si>
    <t xml:space="preserve"> 제   22 호표</t>
  </si>
  <si>
    <t>제  22호표</t>
  </si>
  <si>
    <t>돌붙임(채집)</t>
  </si>
  <si>
    <t>찰붙임 L3=45</t>
  </si>
  <si>
    <t>대가   22</t>
  </si>
  <si>
    <t xml:space="preserve"> 제   23 호표</t>
  </si>
  <si>
    <t>제  23호표</t>
  </si>
  <si>
    <t>메붙임 L3=45</t>
  </si>
  <si>
    <t>대가   23</t>
  </si>
  <si>
    <t xml:space="preserve"> 제   24 호표</t>
  </si>
  <si>
    <t>제  24호표</t>
  </si>
  <si>
    <t>임도준공표지석</t>
  </si>
  <si>
    <t>30x20x60</t>
  </si>
  <si>
    <t>대가   24</t>
  </si>
  <si>
    <t xml:space="preserve"> 제   25 호표</t>
  </si>
  <si>
    <t>제  25호표</t>
  </si>
  <si>
    <t>기슭막이(H=2.0m)구입</t>
  </si>
  <si>
    <t>깬돌, 찰쌓기 L3=45</t>
  </si>
  <si>
    <t>대가   25</t>
  </si>
  <si>
    <t xml:space="preserve"> 제   26 호표</t>
  </si>
  <si>
    <t>제  26호표</t>
  </si>
  <si>
    <t>기슭막이(H=1.5m)채집</t>
  </si>
  <si>
    <t>깬돌, 메쌓기 L3=45</t>
  </si>
  <si>
    <t>대가   26</t>
  </si>
  <si>
    <t xml:space="preserve"> 제   27 호표</t>
  </si>
  <si>
    <t>제  27호표</t>
  </si>
  <si>
    <t>기슭막이(H=2.0m)채집</t>
  </si>
  <si>
    <t>대가   27</t>
  </si>
  <si>
    <t xml:space="preserve"> 제   28 호표</t>
  </si>
  <si>
    <t>제  28호표</t>
  </si>
  <si>
    <t>D=1200mm</t>
  </si>
  <si>
    <t>대가   28</t>
  </si>
  <si>
    <t xml:space="preserve"> 제   29 호표</t>
  </si>
  <si>
    <t>제  29호표</t>
  </si>
  <si>
    <t>돌붙임(구입)</t>
  </si>
  <si>
    <t>L3=35 (찰붙임)</t>
  </si>
  <si>
    <t>대가   29</t>
  </si>
  <si>
    <t xml:space="preserve"> 제   30 호표</t>
  </si>
  <si>
    <t>제  30호표</t>
  </si>
  <si>
    <t>L3=35 (메붙임)</t>
  </si>
  <si>
    <t>대가   30</t>
  </si>
  <si>
    <t xml:space="preserve"> 제   31 호표</t>
  </si>
  <si>
    <t>제  31호표</t>
  </si>
  <si>
    <t>대가   31</t>
  </si>
  <si>
    <t xml:space="preserve"> 제   32 호표</t>
  </si>
  <si>
    <t>제  32호표</t>
  </si>
  <si>
    <t>콘크리트포장(t=0.2m)</t>
  </si>
  <si>
    <t>물넘이</t>
  </si>
  <si>
    <t>대가   32</t>
  </si>
  <si>
    <t xml:space="preserve"> 제   33 호표</t>
  </si>
  <si>
    <t>제  33호표</t>
  </si>
  <si>
    <t>포장거푸집</t>
  </si>
  <si>
    <t>T=20cm(양면)</t>
  </si>
  <si>
    <t>대가   33</t>
  </si>
  <si>
    <t xml:space="preserve"> 제   34 호표</t>
  </si>
  <si>
    <t>제  34호표</t>
  </si>
  <si>
    <t>물넘이 집수부</t>
  </si>
  <si>
    <t>대가   34</t>
  </si>
  <si>
    <t>일위대가 수량,금액 집계표</t>
  </si>
  <si>
    <t>STmate</t>
  </si>
  <si>
    <t>단가산출근거 목록표</t>
  </si>
  <si>
    <t>콘크리트믹서사용</t>
  </si>
  <si>
    <t>0.45 m3</t>
  </si>
  <si>
    <t>D00159</t>
  </si>
  <si>
    <t>뒷채움 150m/m 내외  / m3</t>
  </si>
  <si>
    <t>뒷채움</t>
  </si>
  <si>
    <t>150m/m 내외</t>
  </si>
  <si>
    <t>D00959</t>
  </si>
  <si>
    <t>막자갈채집 기계  / m3</t>
  </si>
  <si>
    <t>막자갈채집</t>
  </si>
  <si>
    <t>기계</t>
  </si>
  <si>
    <t>D01124</t>
  </si>
  <si>
    <t>고임돌채집 기계  / m3</t>
  </si>
  <si>
    <t>고임돌채집</t>
  </si>
  <si>
    <t>D01129</t>
  </si>
  <si>
    <t>야면석채집 L3=45cm내외  / m2</t>
  </si>
  <si>
    <t>야면석채집</t>
  </si>
  <si>
    <t>L3=45cm내외</t>
  </si>
  <si>
    <t>D01343</t>
  </si>
  <si>
    <t>구조물터파기(토사) 굴삭기0.7m3  / m3</t>
  </si>
  <si>
    <t>구조물터파기(토사)</t>
  </si>
  <si>
    <t>굴삭기0.7m3</t>
  </si>
  <si>
    <t>D02119</t>
  </si>
  <si>
    <t>야면석채집 L3=35cm내외  / m2</t>
  </si>
  <si>
    <t>L3=35cm내외</t>
  </si>
  <si>
    <t>D02139</t>
  </si>
  <si>
    <t>다지기 굴삭기0.7m3  / m3</t>
  </si>
  <si>
    <t>다지기</t>
  </si>
  <si>
    <t>D02195</t>
  </si>
  <si>
    <t>유로폼 설치 및 해체 간단  / m2</t>
  </si>
  <si>
    <t>유로폼 설치 및 해체</t>
  </si>
  <si>
    <t>간단</t>
  </si>
  <si>
    <t>D02200</t>
  </si>
  <si>
    <t>콘크리트비빔 채움재  / m3</t>
  </si>
  <si>
    <t>채움재</t>
  </si>
  <si>
    <t>D02246</t>
  </si>
  <si>
    <t>유로폼 설치 및 해체 보통  / m2</t>
  </si>
  <si>
    <t>보통</t>
  </si>
  <si>
    <t>D02248</t>
  </si>
  <si>
    <t>콘크리트포장(B-type) t=20cm  / m2</t>
  </si>
  <si>
    <t>콘크리트포장(B-type)</t>
  </si>
  <si>
    <t>t=20cm</t>
  </si>
  <si>
    <t>D02251</t>
  </si>
  <si>
    <t>철근가공 및 조립 Type-Ⅱ-2,현장가공조립  / ton</t>
  </si>
  <si>
    <t>철근가공 및 조립</t>
  </si>
  <si>
    <t>Type-Ⅱ-2,현장가공조립</t>
  </si>
  <si>
    <t>ton</t>
  </si>
  <si>
    <t>D02262</t>
  </si>
  <si>
    <t>레미콘타설 무근(장비사용타설)  / m3</t>
  </si>
  <si>
    <t>레미콘타설</t>
  </si>
  <si>
    <t>무근(장비사용타설)</t>
  </si>
  <si>
    <t>D02264</t>
  </si>
  <si>
    <t>절토(토사) 굴삭기0.7m3  / m3</t>
  </si>
  <si>
    <t>절토(토사)</t>
  </si>
  <si>
    <t>D02265</t>
  </si>
  <si>
    <t>절토(연암) 굴삭기0.7m3+대형브레카  / m3</t>
  </si>
  <si>
    <t>절토(연암)</t>
  </si>
  <si>
    <t>굴삭기0.7m3+대형브레카</t>
  </si>
  <si>
    <t>D02266</t>
  </si>
  <si>
    <t>암발파 TYPE-V  / m3</t>
  </si>
  <si>
    <t>암발파</t>
  </si>
  <si>
    <t>TYPE-V</t>
  </si>
  <si>
    <t>_x0007_'1) 터 파 기(백호우0.7 m3+대형브레이카)'</t>
  </si>
  <si>
    <t>D02267</t>
  </si>
  <si>
    <t>D02268</t>
  </si>
  <si>
    <t>구조물터파기(연암) 대형브레카+B/H0.7㎥  / m3</t>
  </si>
  <si>
    <t>구조물터파기(연암)</t>
  </si>
  <si>
    <t>대형브레카+B/H0.7㎥</t>
  </si>
  <si>
    <t>D02269</t>
  </si>
  <si>
    <t>구조물 되메우기 굴삭기0.7m3  / m3</t>
  </si>
  <si>
    <t>구조물 되메우기</t>
  </si>
  <si>
    <t>D02270</t>
  </si>
  <si>
    <t>측구파기(토사) 굴삭기0.4m3  / m3</t>
  </si>
  <si>
    <t>측구파기(토사)</t>
  </si>
  <si>
    <t>굴삭기0.4m3</t>
  </si>
  <si>
    <t>D02271</t>
  </si>
  <si>
    <t>측구파기(연암) 대형브레카+B/H0.7㎥  / m3</t>
  </si>
  <si>
    <t>측구파기(연암)</t>
  </si>
  <si>
    <t>D02272</t>
  </si>
  <si>
    <t>유용토운반 무대  / m3</t>
  </si>
  <si>
    <t>유용토운반</t>
  </si>
  <si>
    <t>무대</t>
  </si>
  <si>
    <t>D02273</t>
  </si>
  <si>
    <t>도자운반-토사 L=43.66m  / m3</t>
  </si>
  <si>
    <t>도자운반-토사</t>
  </si>
  <si>
    <t>L=43.66m</t>
  </si>
  <si>
    <t>D02274</t>
  </si>
  <si>
    <t>도자운반-암 L=39.07m  / m3</t>
  </si>
  <si>
    <t>도자운반-암</t>
  </si>
  <si>
    <t>L=39.07m</t>
  </si>
  <si>
    <t>D02275</t>
  </si>
  <si>
    <t>덤프운반-토사 L=293.78m  / m3</t>
  </si>
  <si>
    <t>덤프운반-토사</t>
  </si>
  <si>
    <t>L=293.78m</t>
  </si>
  <si>
    <t>D02276</t>
  </si>
  <si>
    <t>덤프운반-암 L=318.60m  / m3</t>
  </si>
  <si>
    <t>덤프운반-암</t>
  </si>
  <si>
    <t>L=318.60m</t>
  </si>
  <si>
    <t>D02277</t>
  </si>
  <si>
    <t>사토처리   / m3</t>
  </si>
  <si>
    <t>사토처리</t>
  </si>
  <si>
    <t>D02278</t>
  </si>
  <si>
    <t>성토사면다짐 굴삭기0.7m3  / m2</t>
  </si>
  <si>
    <t>성토사면다짐</t>
  </si>
  <si>
    <t>D02279</t>
  </si>
  <si>
    <t>노면정리 굴삭기 0.7m3  / m2</t>
  </si>
  <si>
    <t>노면정리</t>
  </si>
  <si>
    <t>굴삭기 0.7m3</t>
  </si>
  <si>
    <t>D02280</t>
  </si>
  <si>
    <t>중기운반(울진군 울진읍 대흥리) L=19.00km  / 대</t>
  </si>
  <si>
    <t>중기운반(울진군 울진읍 대흥리)</t>
  </si>
  <si>
    <t>L=19.00km</t>
  </si>
  <si>
    <t>대</t>
  </si>
  <si>
    <t>D02281</t>
  </si>
  <si>
    <t>기계운반(울진군 울진읍 대흥리) L=19.00km  / 대</t>
  </si>
  <si>
    <t>기계운반(울진군 울진읍 대흥리)</t>
  </si>
  <si>
    <t>D02282</t>
  </si>
  <si>
    <t>모래운반(울진군 울진읍 대흥리) L=16.40km  / m3</t>
  </si>
  <si>
    <t>모래운반(울진군 울진읍 대흥리)</t>
  </si>
  <si>
    <t>L=16.40km</t>
  </si>
  <si>
    <t>D02283</t>
  </si>
  <si>
    <t>자갈운반(울진군 울진읍 대흥리) L=16.40km  / m3</t>
  </si>
  <si>
    <t>자갈운반(울진군 울진읍 대흥리)</t>
  </si>
  <si>
    <t>D02284</t>
  </si>
  <si>
    <t>파쇄석운반(울진군 울진읍 대흥리) L=80.00km  / ton</t>
  </si>
  <si>
    <t>제  35호표</t>
  </si>
  <si>
    <t>파쇄석운반(울진군 울진읍 대흥리)</t>
  </si>
  <si>
    <t>L=80.00km</t>
  </si>
  <si>
    <t>D02285</t>
  </si>
  <si>
    <t>시멘트운반(울진군 울진읍 대흥리) L=19.00km  / 대</t>
  </si>
  <si>
    <t>제  36호표</t>
  </si>
  <si>
    <t>시멘트운반(울진군 울진읍 대흥리)</t>
  </si>
  <si>
    <t>D02286</t>
  </si>
  <si>
    <t>도자운반-토사 L=38.30m  / m3</t>
  </si>
  <si>
    <t>제  37호표</t>
  </si>
  <si>
    <t>L=38.30m</t>
  </si>
  <si>
    <t>D02287</t>
  </si>
  <si>
    <t>도자운반-암 L=40.90m  / m3</t>
  </si>
  <si>
    <t>제  38호표</t>
  </si>
  <si>
    <t>L=40.90m</t>
  </si>
  <si>
    <t>D02288</t>
  </si>
  <si>
    <t>덤프운반-토사 L=385.00m  / m3</t>
  </si>
  <si>
    <t>제  39호표</t>
  </si>
  <si>
    <t>L=385.00m</t>
  </si>
  <si>
    <t>D02289</t>
  </si>
  <si>
    <t>덤프운반-암 L=353.00m  / m3</t>
  </si>
  <si>
    <t>제  40호표</t>
  </si>
  <si>
    <t>L=353.00m</t>
  </si>
  <si>
    <t>D02290</t>
  </si>
  <si>
    <t>사토처리 대흥2공구 L=0.118km  / m3</t>
  </si>
  <si>
    <t>제  41호표</t>
  </si>
  <si>
    <t>대흥2공구 L=0.118km</t>
  </si>
  <si>
    <t>D02291</t>
  </si>
  <si>
    <t>도자운반-토사 L=40.94m  / m3</t>
  </si>
  <si>
    <t>제  42호표</t>
  </si>
  <si>
    <t>L=40.94m</t>
  </si>
  <si>
    <t>D02292</t>
  </si>
  <si>
    <t>도자운반-암 L=39.13m  / m3</t>
  </si>
  <si>
    <t>제  43호표</t>
  </si>
  <si>
    <t>L=39.13m</t>
  </si>
  <si>
    <t>D02293</t>
  </si>
  <si>
    <t>덤프운반-토사 L=64.00m  / m3</t>
  </si>
  <si>
    <t>제  44호표</t>
  </si>
  <si>
    <t>L=64.00m</t>
  </si>
  <si>
    <t>D02294</t>
  </si>
  <si>
    <t>덤프운반-암 L=64.00m  / m3</t>
  </si>
  <si>
    <t>제  45호표</t>
  </si>
  <si>
    <t>_x0007_'가) 사토처리 (굴삭기 0.7m3) 적용 '</t>
  </si>
  <si>
    <t>D02295</t>
  </si>
  <si>
    <t>제  46호표</t>
  </si>
  <si>
    <t>D02296</t>
  </si>
  <si>
    <t>철근운반(울진군 울진읍 대흥리) L=19.00km  / 톤</t>
  </si>
  <si>
    <t>제  47호표</t>
  </si>
  <si>
    <t>철근운반(울진군 울진읍 대흥리)</t>
  </si>
  <si>
    <t>톤</t>
  </si>
  <si>
    <t xml:space="preserve">  47</t>
  </si>
  <si>
    <t>단가산출근거 수량,금액 집계표</t>
  </si>
  <si>
    <t>중기 목록표</t>
  </si>
  <si>
    <t>불도우저19ton</t>
  </si>
  <si>
    <t>(토사)</t>
  </si>
  <si>
    <t>시간</t>
  </si>
  <si>
    <t>중기    1</t>
  </si>
  <si>
    <t>X00003</t>
  </si>
  <si>
    <t>굴삭기(0.2m3)</t>
  </si>
  <si>
    <t>중기    2</t>
  </si>
  <si>
    <t>X00004</t>
  </si>
  <si>
    <t>굴삭기(0.4m3)</t>
  </si>
  <si>
    <t>중기    3</t>
  </si>
  <si>
    <t>X00005</t>
  </si>
  <si>
    <t>굴삭기(0.7m3)</t>
  </si>
  <si>
    <t>중기    4</t>
  </si>
  <si>
    <t>X00006</t>
  </si>
  <si>
    <t>굴삭기(1.0m3)</t>
  </si>
  <si>
    <t>중기    5</t>
  </si>
  <si>
    <t>X00009</t>
  </si>
  <si>
    <t>0.7㎥,(암석)</t>
  </si>
  <si>
    <t>중기    6</t>
  </si>
  <si>
    <t>X00014</t>
  </si>
  <si>
    <t>굴삭기+브레카(0.7m3)</t>
  </si>
  <si>
    <t>중기    7</t>
  </si>
  <si>
    <t>X00028</t>
  </si>
  <si>
    <t>덤프트럭15ton(토사)</t>
  </si>
  <si>
    <t>중기    8</t>
  </si>
  <si>
    <t>X00030</t>
  </si>
  <si>
    <t>덤프트럭10.5ton(암)</t>
  </si>
  <si>
    <t>할증율:1.25</t>
  </si>
  <si>
    <t>중기    9</t>
  </si>
  <si>
    <t>X00031</t>
  </si>
  <si>
    <t>덤프트럭15ton(암)</t>
  </si>
  <si>
    <t>중기   10</t>
  </si>
  <si>
    <t>X00032</t>
  </si>
  <si>
    <t>덤프자동덮개</t>
  </si>
  <si>
    <t>15톤</t>
  </si>
  <si>
    <t>중기   11</t>
  </si>
  <si>
    <t>X00044</t>
  </si>
  <si>
    <t>트럭탑재형크레인</t>
  </si>
  <si>
    <t>5톤</t>
  </si>
  <si>
    <t>중기   12</t>
  </si>
  <si>
    <t>X00046</t>
  </si>
  <si>
    <t>트럭 트랙터 및 평판트레일러</t>
  </si>
  <si>
    <t>20Ton</t>
  </si>
  <si>
    <t>중기   13</t>
  </si>
  <si>
    <t>X00048</t>
  </si>
  <si>
    <t>콘크리트믹서0.45m3</t>
  </si>
  <si>
    <t>중기   14</t>
  </si>
  <si>
    <t>X00055</t>
  </si>
  <si>
    <t>크로울러드릴</t>
  </si>
  <si>
    <t>탑승유압식</t>
  </si>
  <si>
    <t>중기   15</t>
  </si>
  <si>
    <t>X00074</t>
  </si>
  <si>
    <t>덤프트럭2.5ton(토사)</t>
  </si>
  <si>
    <t>중기   16</t>
  </si>
  <si>
    <t>X00084</t>
  </si>
  <si>
    <t>(암)</t>
  </si>
  <si>
    <t>중기   17</t>
  </si>
  <si>
    <t>X00086</t>
  </si>
  <si>
    <t>24톤</t>
  </si>
  <si>
    <t>중기   18</t>
  </si>
  <si>
    <t>X00087</t>
  </si>
  <si>
    <t>덤프트럭24ton(토사)</t>
  </si>
  <si>
    <t>중기   19</t>
  </si>
  <si>
    <t>X00089</t>
  </si>
  <si>
    <t>굴삭기+부착용 집게(0.6m3)</t>
  </si>
  <si>
    <t>중기   20</t>
  </si>
  <si>
    <t>X00092</t>
  </si>
  <si>
    <t>덤프트럭4.5ton(암)</t>
  </si>
  <si>
    <t>중기   21</t>
  </si>
  <si>
    <t>X00099</t>
  </si>
  <si>
    <t>굴삭기+진동콤팩터</t>
  </si>
  <si>
    <t>0.7m3</t>
  </si>
  <si>
    <t>중기   22</t>
  </si>
  <si>
    <t>X00101</t>
  </si>
  <si>
    <t>할증율:1.20</t>
  </si>
  <si>
    <t>중기   23</t>
  </si>
  <si>
    <t>X00102</t>
  </si>
  <si>
    <t>덤프트럭</t>
  </si>
  <si>
    <t>10.5톤</t>
  </si>
  <si>
    <t>중기   24</t>
  </si>
  <si>
    <t>X00105</t>
  </si>
  <si>
    <t>굴삭기(타이어)</t>
  </si>
  <si>
    <t>0.6㎥,(부착용집게,0.7~0.8㎥)</t>
  </si>
  <si>
    <t>중기   25</t>
  </si>
  <si>
    <t>재료비 수량,금액 집계표</t>
  </si>
  <si>
    <t>재료비 목록표</t>
  </si>
  <si>
    <t>단   가</t>
  </si>
  <si>
    <t xml:space="preserve">   1</t>
  </si>
  <si>
    <t>휘발유</t>
  </si>
  <si>
    <t>L</t>
  </si>
  <si>
    <t>자재    1</t>
  </si>
  <si>
    <t>_x0007_`COD|M00001_x0005_`QTY1|1_x0005_`BQC|2024.02_x0005_`EQC|_x0005_`JDC|_x0005_`WQC|_x0005_`EDT|_x0005_`</t>
  </si>
  <si>
    <t xml:space="preserve">   2</t>
  </si>
  <si>
    <t>경유</t>
  </si>
  <si>
    <t>저유황(0.05%)</t>
  </si>
  <si>
    <t>자재    2</t>
  </si>
  <si>
    <t>_x0007_`COD|M00003_x0005_`QTY1|1_x0005_`BQC|2024.02_x0005_`EQC|_x0005_`JDC|_x0005_`WQC|_x0005_`EDT|_x0005_`</t>
  </si>
  <si>
    <t xml:space="preserve">   3</t>
  </si>
  <si>
    <t>각재</t>
  </si>
  <si>
    <t>외송</t>
  </si>
  <si>
    <t>M3</t>
  </si>
  <si>
    <t>31</t>
  </si>
  <si>
    <t>_x0007_`COD|M00004_x0005_`QTY1|1_x0005_`BQC|2024.01_x0005_`EQC|_x0005_`JDC|_x0005_`WQC|_x0005_`EDT|_x0005_`</t>
  </si>
  <si>
    <t xml:space="preserve">   4</t>
  </si>
  <si>
    <t>못</t>
  </si>
  <si>
    <t>N 50</t>
  </si>
  <si>
    <t>KG</t>
  </si>
  <si>
    <t>97</t>
  </si>
  <si>
    <t>_x0007_`COD|M00005_x0005_`QTY1|1_x0005_`BQC|2024.01_x0005_`EQC|_x0005_`JDC|_x0005_`WQC|_x0005_`EDT|_x0005_`</t>
  </si>
  <si>
    <t xml:space="preserve">   5</t>
  </si>
  <si>
    <t>판재</t>
  </si>
  <si>
    <t>754</t>
  </si>
  <si>
    <t>_x0007_`COD|M00007_x0005_`QTY1|1_x0005_`BQC|2024.01_x0005_`EQC|_x0005_`JDC|_x0005_`WQC|_x0005_`EDT|_x0005_`</t>
  </si>
  <si>
    <t xml:space="preserve">   6</t>
  </si>
  <si>
    <t>전기뇌관</t>
  </si>
  <si>
    <t>(3.5m)</t>
  </si>
  <si>
    <t>개</t>
  </si>
  <si>
    <t>457</t>
  </si>
  <si>
    <t>_x0007_`COD|M00018_x0005_`QTY1|1_x0005_`BQC|2024.01_x0005_`EQC|_x0005_`JDC|_x0005_`WQC|_x0005_`EDT|_x0005_`</t>
  </si>
  <si>
    <t xml:space="preserve">   7</t>
  </si>
  <si>
    <t>폭약</t>
  </si>
  <si>
    <t>(28m/m(메가바이트))</t>
  </si>
  <si>
    <t>444</t>
  </si>
  <si>
    <t>_x0007_`COD|M00034_x0005_`QTY1|1_x0005_`BQC|2024.01_x0005_`EQC|_x0005_`JDC|_x0005_`WQC|_x0005_`EDT|_x0005_`</t>
  </si>
  <si>
    <t xml:space="preserve">   8</t>
  </si>
  <si>
    <t>화강석</t>
  </si>
  <si>
    <t>거창석</t>
  </si>
  <si>
    <t>734</t>
  </si>
  <si>
    <t>_x0007_`COD|M00075_x0005_`QTY1|1_x0005_`BQC|2024.01_x0005_`EQC|_x0005_`JDC|_x0005_`WQC|_x0005_`EDT|_x0005_`</t>
  </si>
  <si>
    <t xml:space="preserve">   9</t>
  </si>
  <si>
    <t>P.V.C PIPE</t>
  </si>
  <si>
    <t>VG2(50m/m)</t>
  </si>
  <si>
    <t>M</t>
  </si>
  <si>
    <t>B01211_1</t>
  </si>
  <si>
    <t>_x0007_`COD|M00082_x0005_`QTY1|1_x0005_`BQC|2024.01_x0005_`EQC|_x0005_`JDC|_x0005_`WQC|_x0005_`EDT|_x0005_`</t>
  </si>
  <si>
    <t xml:space="preserve">  10</t>
  </si>
  <si>
    <t>잡재료비</t>
  </si>
  <si>
    <t>재료비의 %</t>
  </si>
  <si>
    <t>%</t>
  </si>
  <si>
    <t>대가  10호표</t>
  </si>
  <si>
    <t>_x0007_`COD|M00090_x0005_`QTY1|1_x0005_`UNT|M%_x0005_`BQC|_x0005_`EQC|_x0005_`JDC|_x0005_`WQC|_x0005_`EDT|_x0005_`</t>
  </si>
  <si>
    <t xml:space="preserve">  11</t>
  </si>
  <si>
    <t>잡품</t>
  </si>
  <si>
    <t>주연료의 %</t>
  </si>
  <si>
    <t>_x0007_`COD|B01210_x0005_`QTY1|1_x0005_`EXI|0_x0005_`IPR|0_x0005_`BLA|F_x0005_`</t>
  </si>
  <si>
    <t>_x0007_`COD|M00093_x0005_`QTY1|1_x0005_`UNT|M%_x0005_`BQC|_x0005_`EQC|_x0005_`JDC|_x0005_`WQC|_x0005_`EDT|_x0005_`</t>
  </si>
  <si>
    <t xml:space="preserve">  12</t>
  </si>
  <si>
    <t>조달수수료</t>
  </si>
  <si>
    <t>재료비*0.54%</t>
  </si>
  <si>
    <t>B01210_1</t>
  </si>
  <si>
    <t>_x0007_`COD|M00095_x0005_`QTY1|1_x0005_`UNT|M%_x0005_`BQC|_x0005_`EQC|_x0005_`JDC|_x0005_`WQC|_x0005_`EDT|_x0005_`</t>
  </si>
  <si>
    <t xml:space="preserve">  13</t>
  </si>
  <si>
    <t>잡유</t>
  </si>
  <si>
    <t>대가   9호표</t>
  </si>
  <si>
    <t>_x0007_`COD|M00099_x0005_`QTY1|1_x0005_`UNT|M%_x0005_`BQC|_x0005_`EQC|_x0005_`JDC|_x0005_`WQC|_x0005_`EDT|_x0005_`</t>
  </si>
  <si>
    <t xml:space="preserve">  14</t>
  </si>
  <si>
    <t>시멘트</t>
  </si>
  <si>
    <t>별도계상</t>
  </si>
  <si>
    <t>107</t>
  </si>
  <si>
    <t>_x0007_`COD|M00101_x0005_`QTY1|1_x0005_`BQC|_x0005_`EQC|_x0005_`JDC|_x0005_`WQC|_x0005_`EDT|_x0005_`</t>
  </si>
  <si>
    <t xml:space="preserve">  15</t>
  </si>
  <si>
    <t>모 래</t>
  </si>
  <si>
    <t>88</t>
  </si>
  <si>
    <t>_x0007_`COD|M00103_x0005_`QTY1|1_x0005_`BQC|_x0005_`EQC|_x0005_`JDC|_x0005_`WQC|_x0005_`EDT|_x0005_`</t>
  </si>
  <si>
    <t xml:space="preserve">  16</t>
  </si>
  <si>
    <t>패널(유로폼)</t>
  </si>
  <si>
    <t>600*1200mm</t>
  </si>
  <si>
    <t>매</t>
  </si>
  <si>
    <t>_x0007_`COD|B01209_x0005_`QTY1|1_x0005_`EXI|0_x0005_`IPR|0_x0005_`BLA|F_x0005_`</t>
  </si>
  <si>
    <t>_x0007_`COD|M00112_x0005_`QTY1|1_x0005_`BQC|2024.01_x0005_`EQC|_x0005_`JDC|_x0005_`WQC|_x0005_`EDT|_x0005_`</t>
  </si>
  <si>
    <t xml:space="preserve">  17</t>
  </si>
  <si>
    <t>내부코너패널(유로폼)</t>
  </si>
  <si>
    <t>(100+200)*1200mm</t>
  </si>
  <si>
    <t>E2_1</t>
  </si>
  <si>
    <t>_x0007_`COD|M00113_x0005_`QTY1|1_x0005_`BQC|2024.01_x0005_`EQC|_x0005_`JDC|_x0005_`WQC|_x0005_`EDT|_x0005_`</t>
  </si>
  <si>
    <t xml:space="preserve">  18</t>
  </si>
  <si>
    <t>파형강관(1000M/M)</t>
  </si>
  <si>
    <t>B01209_1</t>
  </si>
  <si>
    <t>_x0007_`COD|M00219_x0005_`QTY1|1_x0005_`BQC|_x0005_`EQC|_x0005_`JDC|_x0005_`WQC|_x0005_`EDT|_x0005_`</t>
  </si>
  <si>
    <t xml:space="preserve">  19</t>
  </si>
  <si>
    <t>파형강관(800mm)</t>
  </si>
  <si>
    <t>1076</t>
  </si>
  <si>
    <t>_x0007_`COD|M00222_x0005_`QTY1|1_x0005_`BQC|_x0005_`EQC|_x0005_`JDC|_x0005_`WQC|_x0005_`EDT|_x0005_`</t>
  </si>
  <si>
    <t xml:space="preserve">  20</t>
  </si>
  <si>
    <t>치즐</t>
  </si>
  <si>
    <t>준비공</t>
  </si>
  <si>
    <t>_x0007_`COD|M00292_x0005_`QTY1|1_x0005_`BQC|2023.01_x0005_`EQC|_x0005_`JDC|_x0005_`WQC|_x0005_`EDT|_x0005_`</t>
  </si>
  <si>
    <t xml:space="preserve">  21</t>
  </si>
  <si>
    <t>1.1</t>
  </si>
  <si>
    <t>_x0007_`COD|M00580_x0005_`QTY1|1_x0005_`UNT|M%_x0005_`BQC|_x0005_`EQC|_x0005_`JDC|_x0005_`WQC|_x0005_`EDT|_x0005_`</t>
  </si>
  <si>
    <t xml:space="preserve">  22</t>
  </si>
  <si>
    <t>파쇄암</t>
  </si>
  <si>
    <t>㎡</t>
  </si>
  <si>
    <t>E3_1</t>
  </si>
  <si>
    <t>_x0007_`COD|M00792_x0005_`QTY1|1_x0005_`BQC|_x0005_`EQC|_x0005_`JDC|_x0005_`WQC|_x0005_`EDT|_x0005_`</t>
  </si>
  <si>
    <t xml:space="preserve">  23</t>
  </si>
  <si>
    <t>파형강관</t>
  </si>
  <si>
    <t>Φ800m/m, 2.7t</t>
  </si>
  <si>
    <t>CMT_1</t>
  </si>
  <si>
    <t>_x0007_`COD|M00798_x0005_`QTY1|1_x0005_`BQC|2024.01_x0005_`EQC|거양_x0005_`JDC|_x0005_`WQC|_x0005_`EDT|_x0005_`</t>
  </si>
  <si>
    <t xml:space="preserve">  24</t>
  </si>
  <si>
    <t>공구손료</t>
  </si>
  <si>
    <t>인건비의 %</t>
  </si>
  <si>
    <t>토공사</t>
  </si>
  <si>
    <t>_x0007_`COD|M00920_x0005_`QTY1|1_x0005_`UNT|L%_x0005_`BQC|_x0005_`EQC|_x0005_`JDC|_x0005_`WQC|_x0005_`EDT|_x0005_`</t>
  </si>
  <si>
    <t xml:space="preserve">  25</t>
  </si>
  <si>
    <t>Φ1000m/m, 2.7t</t>
  </si>
  <si>
    <t>인터넷</t>
  </si>
  <si>
    <t>_x0007_`COD|M00934_x0005_`QTY1|1_x0005_`BQC|2024.01_x0005_`EQC|거양_x0005_`JDC|_x0005_`WQC|_x0005_`EDT|_x0005_`</t>
  </si>
  <si>
    <t xml:space="preserve">  26</t>
  </si>
  <si>
    <t>면목</t>
  </si>
  <si>
    <t>A25</t>
  </si>
  <si>
    <t>1.</t>
  </si>
  <si>
    <t>_x0007_`COD|M00938_x0005_`QTY1|1_x0005_`BQC|_x0005_`EQC|_x0005_`JDC|_x0005_`WQC|_x0005_`EDT|_x0005_`</t>
  </si>
  <si>
    <t xml:space="preserve">  27</t>
  </si>
  <si>
    <t>(100x200)x1200mm</t>
  </si>
  <si>
    <t>E4_1</t>
  </si>
  <si>
    <t>_x0007_`COD|M00939_x0005_`QTY1|1_x0005_`BQC|24년 1월_x0005_`EQC|_x0005_`JDC|_x0005_`WQC|_x0005_`EDT|_x0005_`</t>
  </si>
  <si>
    <t xml:space="preserve">  28</t>
  </si>
  <si>
    <t>자 갈</t>
  </si>
  <si>
    <t>27</t>
  </si>
  <si>
    <t>_x0007_`COD|M00941_x0005_`QTY1|1_x0005_`BQC|_x0005_`EQC|_x0005_`JDC|_x0005_`WQC|_x0005_`EDT|_x0005_`</t>
  </si>
  <si>
    <t xml:space="preserve">  29</t>
  </si>
  <si>
    <t>결속선(철선)</t>
  </si>
  <si>
    <t>#20 , 0.9M/M</t>
  </si>
  <si>
    <t>관급자재대</t>
  </si>
  <si>
    <t>_x0007_`COD|M00943_x0005_`QTY1|1_x0005_`BQC|24.01_x0005_`EQC|_x0005_`JDC|_x0005_`WQC|_x0005_`EDT|_x0005_`</t>
  </si>
  <si>
    <t xml:space="preserve">  30</t>
  </si>
  <si>
    <t>파형강관이음관</t>
  </si>
  <si>
    <t>Φ800m/m</t>
  </si>
  <si>
    <t>L=1.20km</t>
  </si>
  <si>
    <t>_x0007_`COD|M00945_x0005_`QTY1|1_x0005_`BQC|2024.01_x0005_`EQC|거양_x0005_`JDC|_x0005_`WQC|_x0005_`EDT|_x0005_`</t>
  </si>
  <si>
    <t xml:space="preserve">  31</t>
  </si>
  <si>
    <t>Φ1000m/m</t>
  </si>
  <si>
    <t>1공구</t>
  </si>
  <si>
    <t>_x0007_`COD|M00946_x0005_`QTY1|1_x0005_`BQC|2024.01_x0005_`EQC|거양_x0005_`JDC|_x0005_`WQC|_x0005_`EDT|_x0005_`</t>
  </si>
  <si>
    <t xml:space="preserve">  32</t>
  </si>
  <si>
    <t>저유황</t>
  </si>
  <si>
    <t>자재   32</t>
  </si>
  <si>
    <t>_x0007_`COD|M00947_x0005_`QTY1|1_x0005_`BQC|24년_x0005_`EQC|_x0005_`JDC|1510150520282163_x0005_`WQC|_x0005_`EDT|2024.01.02_x0005_`</t>
  </si>
  <si>
    <t xml:space="preserve">  33</t>
  </si>
  <si>
    <t>깬돌(L3=45cm)</t>
  </si>
  <si>
    <t xml:space="preserve"> □</t>
  </si>
  <si>
    <t>_x0007_`COD|M00948_x0005_`QTY1|1_x0005_`BQC|_x0005_`EQC|_x0005_`JDC|_x0005_`WQC|_x0005_`EDT|_x0005_`</t>
  </si>
  <si>
    <t xml:space="preserve">  34</t>
  </si>
  <si>
    <t>파형강관(68X13,1RS)</t>
  </si>
  <si>
    <t>E5_1</t>
  </si>
  <si>
    <t>_x0007_`COD|M00949_x0005_`QTY1|1_x0005_`BQC|_x0005_`EQC|_x0005_`JDC|_x0005_`WQC|_x0005_`EDT|_x0005_`</t>
  </si>
  <si>
    <t xml:space="preserve">  35</t>
  </si>
  <si>
    <t>공구손료 및 잡재료</t>
  </si>
  <si>
    <t>노무비의 %</t>
  </si>
  <si>
    <t>_x0007_`COD|_x0005_`QTY1|1_x0005_`EXI|1_x0005_`ITT|0_x0005_`PSKP|1_x0005_`</t>
  </si>
  <si>
    <t>_x0007_`COD|M00950_x0005_`QTY1|1_x0005_`UNT|L%_x0005_`BQC|_x0005_`EQC|_x0005_`JDC|_x0005_`WQC|_x0005_`EDT|_x0005_`</t>
  </si>
  <si>
    <t xml:space="preserve">  36</t>
  </si>
  <si>
    <t>깬돌(L3=35cm)</t>
  </si>
  <si>
    <t>울진.울진.대흥.산65외2</t>
  </si>
  <si>
    <t>_x0007_`COD|M00951_x0005_`QTY1|1_x0005_`BQC|_x0005_`EQC|_x0005_`JDC|_x0005_`WQC|_x0005_`EDT|_x0005_`</t>
  </si>
  <si>
    <t xml:space="preserve">  37</t>
  </si>
  <si>
    <t>레미콘(울진)</t>
  </si>
  <si>
    <t>25-18-80</t>
  </si>
  <si>
    <t>거양</t>
  </si>
  <si>
    <t>_x0007_`COD|M00952_x0005_`QTY1|1_x0005_`BQC|240308_x0005_`EQC|_x0005_`JDC|_x0005_`WQC|_x0005_`EDT|_x0005_`</t>
  </si>
  <si>
    <t xml:space="preserve">  38</t>
  </si>
  <si>
    <t>Φ1200m/m, 3.2t</t>
  </si>
  <si>
    <t>2024년 간선임도 신설사업(기번3)</t>
  </si>
  <si>
    <t>_x0007_`COD|M00953_x0005_`QTY1|1_x0005_`BQC|_x0005_`EQC|조달_x0005_`JDC|_x0005_`WQC|_x0005_`EDT|_x0005_`</t>
  </si>
  <si>
    <t xml:space="preserve">  39</t>
  </si>
  <si>
    <t>Φ1200m/m</t>
  </si>
  <si>
    <t>□</t>
  </si>
  <si>
    <t>_x0007_`COD|M00954_x0005_`QTY1|1_x0005_`BQC|2024.01_x0005_`EQC|거양_x0005_`JDC|_x0005_`WQC|_x0005_`EDT|_x0005_`</t>
  </si>
  <si>
    <t xml:space="preserve">  40</t>
  </si>
  <si>
    <t>국가지점번호판</t>
  </si>
  <si>
    <t>임도(말뚝형)</t>
  </si>
  <si>
    <t>E10_1</t>
  </si>
  <si>
    <t>_x0007_`COD|M00955_x0005_`QTY1|1_x0005_`BQC|2024.01_x0005_`EQC|_x0005_`JDC|_x0005_`WQC|_x0005_`EDT|_x0005_`</t>
  </si>
  <si>
    <t xml:space="preserve">  41</t>
  </si>
  <si>
    <t>모래</t>
  </si>
  <si>
    <t>울진</t>
  </si>
  <si>
    <t>_x0007_`JTYP|0_x0005_`ACTL|F_x0005_`</t>
  </si>
  <si>
    <t>_x0007_`COD|M00956_x0005_`QTY1|1_x0005_`BQC|2024.01_x0005_`EQC|_x0005_`JDC|_x0005_`WQC|_x0005_`EDT|_x0005_`</t>
  </si>
  <si>
    <t xml:space="preserve">  42</t>
  </si>
  <si>
    <t>자 갈(40m/m)</t>
  </si>
  <si>
    <t>금    액</t>
  </si>
  <si>
    <t>_x0007_`COD|M00957_x0005_`QTY1|1_x0005_`BQC|2024.01_x0005_`EQC|_x0005_`JDC|_x0005_`WQC|_x0005_`EDT|_x0005_`</t>
  </si>
  <si>
    <t xml:space="preserve">  43</t>
  </si>
  <si>
    <t>상차가(영덕 축산)</t>
  </si>
  <si>
    <t>_x0007_`COD|M00958_x0005_`QTY1|1_x0005_`BQC|2024.01_x0005_`EQC|_x0005_`JDC|_x0005_`WQC|_x0005_`EDT|_x0005_`</t>
  </si>
  <si>
    <t xml:space="preserve">  44</t>
  </si>
  <si>
    <t>시 멘 트</t>
  </si>
  <si>
    <t>40Kg/포</t>
  </si>
  <si>
    <t>수   량</t>
  </si>
  <si>
    <t>_x0007_`COD|M00959_x0005_`QTY1|1_x0005_`BQC|2024.01_x0005_`EQC|_x0005_`JDC|_x0005_`WQC|_x0005_`EDT|_x0005_`</t>
  </si>
  <si>
    <t xml:space="preserve">  45</t>
  </si>
  <si>
    <t>와이어메쉬</t>
  </si>
  <si>
    <t>#6-100mm×100mm</t>
  </si>
  <si>
    <t>공   종</t>
  </si>
  <si>
    <t>_x0007_`COD|M00960_x0005_`QTY1|1_x0005_`BQC|2024.01_x0005_`EQC|거양_x0005_`JDC|_x0005_`WQC|_x0005_`EDT|_x0005_`</t>
  </si>
  <si>
    <t xml:space="preserve">  46</t>
  </si>
  <si>
    <t>이형철근,SD400</t>
  </si>
  <si>
    <t>HD16m/m</t>
  </si>
  <si>
    <t>TON</t>
  </si>
  <si>
    <t>착 공 내 역 서</t>
  </si>
  <si>
    <t>_x0007_`COD|M00961_x0005_`QTY1|1_x0005_`BQC|_x0005_`EQC|_x0005_`JDC|_x0005_`WQC|_x0005_`EDT|_x0005_`</t>
  </si>
  <si>
    <t>노무비 목록표</t>
  </si>
  <si>
    <t>건축목공</t>
  </si>
  <si>
    <t>인</t>
  </si>
  <si>
    <t>노무    1</t>
  </si>
  <si>
    <t>_x0007_`COD|L00001_x0005_`QTY1|1_x0005_`BQC|2024.01_x0005_`EQC|_x0005_`JDC|_x0005_`WQC|_x0005_`EDT|_x0005_`</t>
  </si>
  <si>
    <t>형틀목공</t>
  </si>
  <si>
    <t>노무    2</t>
  </si>
  <si>
    <t>_x0007_`COD|L00002_x0005_`QTY1|1_x0005_`BQC|2024.01_x0005_`EQC|_x0005_`JDC|_x0005_`WQC|_x0005_`EDT|_x0005_`</t>
  </si>
  <si>
    <t>석공</t>
  </si>
  <si>
    <t>노무    3</t>
  </si>
  <si>
    <t>_x0007_`COD|L00005_x0005_`QTY1|1_x0005_`BQC|2024.01_x0005_`EQC|_x0005_`JDC|_x0005_`WQC|_x0005_`EDT|_x0005_`</t>
  </si>
  <si>
    <t>콘크리트공</t>
  </si>
  <si>
    <t>노무    4</t>
  </si>
  <si>
    <t>_x0007_`COD|L00007_x0005_`QTY1|1_x0005_`BQC|2024.01_x0005_`EQC|_x0005_`JDC|_x0005_`WQC|_x0005_`EDT|_x0005_`</t>
  </si>
  <si>
    <t>화약취급공</t>
  </si>
  <si>
    <t>노무    5</t>
  </si>
  <si>
    <t>_x0007_`COD|L00010_x0005_`QTY1|1_x0005_`BQC|2024.01_x0005_`EQC|_x0005_`JDC|_x0005_`WQC|_x0005_`EDT|_x0005_`</t>
  </si>
  <si>
    <t>보통인부</t>
  </si>
  <si>
    <t>노무    6</t>
  </si>
  <si>
    <t>_x0007_`COD|L00017_x0005_`QTY1|1_x0005_`BQC|2024.01_x0005_`EQC|_x0005_`JDC|_x0005_`WQC|_x0005_`EDT|_x0005_`</t>
  </si>
  <si>
    <t>건설기계운전사</t>
  </si>
  <si>
    <t>노무    7</t>
  </si>
  <si>
    <t>_x0007_`COD|L00018_x0005_`QTY1|1_x0005_`BQC|2024.01_x0005_`EQC|_x0005_`JDC|_x0005_`WQC|_x0005_`EDT|_x0005_`</t>
  </si>
  <si>
    <t>화물차운전사</t>
  </si>
  <si>
    <t>노무    8</t>
  </si>
  <si>
    <t>_x0007_`COD|L00020_x0005_`QTY1|1_x0005_`BQC|2024.01_x0005_`EQC|_x0005_`JDC|_x0005_`WQC|_x0005_`EDT|_x0005_`</t>
  </si>
  <si>
    <t>일반기계운전사</t>
  </si>
  <si>
    <t>노무    9</t>
  </si>
  <si>
    <t>_x0007_`COD|L00021_x0005_`QTY1|1_x0005_`BQC|2024.01_x0005_`EQC|_x0005_`JDC|_x0005_`WQC|_x0005_`EDT|_x0005_`</t>
  </si>
  <si>
    <t>배관공(수도)</t>
  </si>
  <si>
    <t>노무   10</t>
  </si>
  <si>
    <t>_x0007_`COD|L00032_x0005_`QTY1|1_x0005_`BQC|2024.01_x0005_`EQC|_x0005_`JDC|_x0005_`WQC|_x0005_`EDT|_x0005_`</t>
  </si>
  <si>
    <t>철근공</t>
  </si>
  <si>
    <t>노무   11</t>
  </si>
  <si>
    <t>_x0007_`COD|L00033_x0005_`QTY1|1_x0005_`BQC|01000000007_x0005_`EQC|01000001008_x0005_`JDC|L001010101000008_x0005_`WQC|_x0005_`EDT|2024.상_x0005_`</t>
  </si>
  <si>
    <t>포장공</t>
  </si>
  <si>
    <t>노무   12</t>
  </si>
  <si>
    <t>_x0007_`COD|L00034_x0005_`QTY1|1_x0005_`BQC|01000000038_x0005_`EQC|01000001019_x0005_`JDC|L001010101000019_x0005_`WQC|_x0005_`EDT|2024.상_x0005_`</t>
  </si>
  <si>
    <t>경비 목록표</t>
  </si>
  <si>
    <t>불도우져19TON</t>
  </si>
  <si>
    <t>천원</t>
  </si>
  <si>
    <t>경비    1</t>
  </si>
  <si>
    <t>_x0007_`COD|S00001_x0005_`QTY1|1_x0005_`BQC|_x0005_`EQC|_x0005_`JDC|_x0005_`WQC|_x0005_`EDT|_x0005_`</t>
  </si>
  <si>
    <t>무한궤도</t>
  </si>
  <si>
    <t>경비    2</t>
  </si>
  <si>
    <t>_x0007_`COD|S00003_x0005_`QTY1|1_x0005_`BQC|_x0005_`EQC|_x0005_`JDC|_x0005_`WQC|_x0005_`EDT|_x0005_`</t>
  </si>
  <si>
    <t>경비    3</t>
  </si>
  <si>
    <t>_x0007_`COD|S00004_x0005_`QTY1|1_x0005_`BQC|_x0005_`EQC|_x0005_`JDC|_x0005_`WQC|_x0005_`EDT|_x0005_`</t>
  </si>
  <si>
    <t>경비    4</t>
  </si>
  <si>
    <t>_x0007_`COD|S00005_x0005_`QTY1|1_x0005_`BQC|_x0005_`EQC|_x0005_`JDC|_x0005_`WQC|_x0005_`EDT|_x0005_`</t>
  </si>
  <si>
    <t>경비    5</t>
  </si>
  <si>
    <t>_x0007_`COD|S00006_x0005_`QTY1|1_x0005_`BQC|_x0005_`EQC|_x0005_`JDC|_x0005_`WQC|_x0005_`EDT|_x0005_`</t>
  </si>
  <si>
    <t>대형브레이카(0.7m3)</t>
  </si>
  <si>
    <t>경비    6</t>
  </si>
  <si>
    <t>_x0007_`COD|S00008_x0005_`QTY1|1_x0005_`BQC|_x0005_`EQC|_x0005_`JDC|_x0005_`WQC|_x0005_`EDT|_x0005_`</t>
  </si>
  <si>
    <t>덤프트럭4.5톤</t>
  </si>
  <si>
    <t>경비    7</t>
  </si>
  <si>
    <t>_x0007_`COD|S00017_x0005_`QTY1|1_x0005_`BQC|_x0005_`EQC|_x0005_`JDC|_x0005_`WQC|_x0005_`EDT|_x0005_`</t>
  </si>
  <si>
    <t>덤프트럭10.5톤</t>
  </si>
  <si>
    <t>경비    8</t>
  </si>
  <si>
    <t>_x0007_`COD|S00020_x0005_`QTY1|1_x0005_`BQC|_x0005_`EQC|_x0005_`JDC|_x0005_`WQC|_x0005_`EDT|_x0005_`</t>
  </si>
  <si>
    <t>덤프트럭15.0톤</t>
  </si>
  <si>
    <t>경비    9</t>
  </si>
  <si>
    <t>_x0007_`COD|S00021_x0005_`QTY1|1_x0005_`BQC|_x0005_`EQC|_x0005_`JDC|_x0005_`WQC|_x0005_`EDT|_x0005_`</t>
  </si>
  <si>
    <t>경비   10</t>
  </si>
  <si>
    <t>_x0007_`COD|S00022_x0005_`QTY1|1_x0005_`BQC|_x0005_`EQC|_x0005_`JDC|_x0005_`WQC|_x0005_`EDT|_x0005_`</t>
  </si>
  <si>
    <t>유압식진동콤팩터</t>
  </si>
  <si>
    <t>0.7m3 굴삭기용</t>
  </si>
  <si>
    <t>경비   11</t>
  </si>
  <si>
    <t>_x0007_`COD|S00023_x0005_`QTY1|1_x0005_`BQC|_x0005_`EQC|_x0005_`JDC|_x0005_`WQC|_x0005_`EDT|_x0005_`</t>
  </si>
  <si>
    <t>경비   12</t>
  </si>
  <si>
    <t>_x0007_`COD|S00036_x0005_`QTY1|1_x0005_`BQC|_x0005_`EQC|_x0005_`JDC|_x0005_`WQC|_x0005_`EDT|_x0005_`</t>
  </si>
  <si>
    <t>경비   13</t>
  </si>
  <si>
    <t>_x0007_`COD|S00038_x0005_`QTY1|1_x0005_`BQC|_x0005_`EQC|_x0005_`JDC|_x0005_`WQC|_x0005_`EDT|_x0005_`</t>
  </si>
  <si>
    <t>크로울러드릴(탑승유압식)</t>
  </si>
  <si>
    <t>110kw</t>
  </si>
  <si>
    <t>경비   14</t>
  </si>
  <si>
    <t>_x0007_`COD|S00043_x0005_`QTY1|1_x0005_`BQC|_x0005_`EQC|_x0005_`JDC|_x0005_`WQC|_x0005_`EDT|_x0005_`</t>
  </si>
  <si>
    <t>경비   15</t>
  </si>
  <si>
    <t>_x0007_`COD|S00058_x0005_`QTY1|1_x0005_`BQC|_x0005_`EQC|_x0005_`JDC|_x0005_`WQC|_x0005_`EDT|_x0005_`</t>
  </si>
  <si>
    <t>구역화물자동차</t>
  </si>
  <si>
    <t>5톤(20km 이내)</t>
  </si>
  <si>
    <t>회</t>
  </si>
  <si>
    <t>경비   16</t>
  </si>
  <si>
    <t>_x0007_`COD|S00073_x0005_`QTY1|1_x0005_`BQC|_x0005_`EQC|_x0005_`JDC|_x0005_`WQC|_x0005_`EDT|_x0005_`</t>
  </si>
  <si>
    <t>부착용집게</t>
  </si>
  <si>
    <t>경비   17</t>
  </si>
  <si>
    <t>_x0007_`COD|S00138_x0005_`QTY1|1_x0005_`BQC|_x0005_`EQC|_x0005_`JDC|_x0005_`WQC|_x0005_`EDT|_x0005_`</t>
  </si>
  <si>
    <t>덤프트럭2.5톤</t>
  </si>
  <si>
    <t>경비   18</t>
  </si>
  <si>
    <t>_x0007_`COD|S00145_x0005_`QTY1|1_x0005_`BQC|_x0005_`EQC|_x0005_`JDC|_x0005_`WQC|_x0005_`EDT|_x0005_`</t>
  </si>
  <si>
    <t>굴삭기(0.6m3)</t>
  </si>
  <si>
    <t>타이어</t>
  </si>
  <si>
    <t>경비   19</t>
  </si>
  <si>
    <t>_x0007_`COD|S00146_x0005_`QTY1|1_x0005_`BQC|_x0005_`EQC|_x0005_`JDC|_x0005_`WQC|_x0005_`EDT|_x0005_`</t>
  </si>
  <si>
    <t>덤프트럭24.0톤</t>
  </si>
  <si>
    <t>경비   20</t>
  </si>
  <si>
    <t>_x0007_`COD|S00167_x0005_`QTY1|1_x0005_`BQC|_x0005_`EQC|_x0005_`JDC|_x0005_`WQC|_x0005_`EDT|_x0005_`</t>
  </si>
  <si>
    <t>경비   21</t>
  </si>
  <si>
    <t>_x0007_`COD|S00168_x0005_`QTY1|1_x0005_`BQC|_x0005_`EQC|_x0005_`JDC|_x0005_`WQC|_x0005_`EDT|_x0005_`</t>
  </si>
  <si>
    <t>부착용 집게</t>
  </si>
  <si>
    <t>0.6~0.8㎥</t>
  </si>
  <si>
    <t>경비   22</t>
  </si>
  <si>
    <t>_x0007_`COD|S00169_x0005_`QTY1|1_x0005_`BQC|_x0005_`EQC|02720600700_x0005_`JDC|0000720600700000_x0005_`WQC|_x0005_`EDT|2024_x0005_`</t>
  </si>
  <si>
    <t>0.6㎥</t>
  </si>
  <si>
    <t>경비   23</t>
  </si>
  <si>
    <t>_x0007_`COD|S00170_x0005_`QTY1|1_x0005_`BQC|_x0005_`EQC|02021100600_x0005_`JDC|0000021100600000_x0005_`WQC|_x0005_`EDT|2024_x0005_`</t>
  </si>
  <si>
    <t>1. 환  율</t>
  </si>
  <si>
    <t>100,000$ 미만</t>
  </si>
  <si>
    <t>100,000$ 이상</t>
  </si>
  <si>
    <t>유로화(€)</t>
  </si>
  <si>
    <t>엔화(100￥)</t>
  </si>
  <si>
    <t>2. 인 건 비</t>
  </si>
  <si>
    <t>*  1/8*16/12*25/20  =</t>
  </si>
  <si>
    <t>3. 단가 및 재료비</t>
  </si>
  <si>
    <t>NO</t>
  </si>
  <si>
    <t>단 가 명</t>
  </si>
  <si>
    <t>규    격</t>
  </si>
  <si>
    <t>가  격</t>
  </si>
  <si>
    <t>1</t>
  </si>
  <si>
    <t>2</t>
  </si>
  <si>
    <t>3</t>
  </si>
  <si>
    <t>4</t>
  </si>
  <si>
    <t>5</t>
  </si>
  <si>
    <t>6</t>
  </si>
  <si>
    <t>자재단가 대비표</t>
  </si>
  <si>
    <t>조달가격</t>
  </si>
  <si>
    <t>페이지</t>
  </si>
  <si>
    <t>물가정보</t>
  </si>
  <si>
    <t>물가자료</t>
  </si>
  <si>
    <t>적산정보</t>
  </si>
  <si>
    <t>견적단가</t>
  </si>
  <si>
    <t>적용 단가</t>
  </si>
  <si>
    <t>이전단가</t>
  </si>
  <si>
    <t>최소단가</t>
  </si>
  <si>
    <t>위치</t>
  </si>
  <si>
    <t>물가지명</t>
  </si>
  <si>
    <t>별명</t>
  </si>
  <si>
    <t>조달</t>
  </si>
  <si>
    <t>물정</t>
  </si>
  <si>
    <t>물자</t>
  </si>
  <si>
    <t>적산</t>
  </si>
  <si>
    <t>견적</t>
  </si>
  <si>
    <t>85</t>
  </si>
  <si>
    <t>98</t>
  </si>
  <si>
    <t>68</t>
  </si>
  <si>
    <t>_x0007_`COD|B01211_x0005_`QTY1|1_x0005_`EXI|0_x0005_`IPR|0_x0005_`BLA|F_x0005_`</t>
  </si>
  <si>
    <t>대가  11호표</t>
  </si>
  <si>
    <t>_x0007_`COD|_x0005_`QTY1|1_x0005_`EXI|1_x0005_`ITT|0_x0005_`</t>
  </si>
  <si>
    <t>2.</t>
  </si>
  <si>
    <t>총 괄 설 계 내 역 서</t>
  </si>
  <si>
    <t>1.2</t>
  </si>
  <si>
    <t>절토</t>
  </si>
  <si>
    <t>D02264_1</t>
  </si>
  <si>
    <t>_x0007_`COD|D02264_x0005_`QTY1|1_x0005_`EXI|0_x0005_`IPR|0_x0005_`BLA|F_x0005_`</t>
  </si>
  <si>
    <t>산근  15호표</t>
  </si>
  <si>
    <t>D02265_1</t>
  </si>
  <si>
    <t>_x0007_`COD|D02265_x0005_`QTY1|1_x0005_`EXI|0_x0005_`IPR|0_x0005_`BLA|F_x0005_`</t>
  </si>
  <si>
    <t>산근  16호표</t>
  </si>
  <si>
    <t>D02266_1</t>
  </si>
  <si>
    <t>_x0007_`COD|D02266_x0005_`QTY1|1_x0005_`EXI|0_x0005_`IPR|0_x0005_`BLA|F_x0005_`</t>
  </si>
  <si>
    <t>산근  17호표</t>
  </si>
  <si>
    <t>1.3</t>
  </si>
  <si>
    <t>구조물터파기 및 되메우기</t>
  </si>
  <si>
    <t>D02267_1</t>
  </si>
  <si>
    <t>_x0007_`COD|D02267_x0005_`QTY1|1_x0005_`EXI|0_x0005_`IPR|0_x0005_`BLA|F_x0005_`</t>
  </si>
  <si>
    <t>산근  18호표</t>
  </si>
  <si>
    <t>D02268_1</t>
  </si>
  <si>
    <t>_x0007_`COD|D02268_x0005_`QTY1|1_x0005_`EXI|0_x0005_`IPR|0_x0005_`BLA|F_x0005_`</t>
  </si>
  <si>
    <t>산근  19호표</t>
  </si>
  <si>
    <t>D02269_1</t>
  </si>
  <si>
    <t>_x0007_`COD|D02269_x0005_`QTY1|1_x0005_`EXI|0_x0005_`IPR|0_x0005_`BLA|F_x0005_`</t>
  </si>
  <si>
    <t>산근  20호표</t>
  </si>
  <si>
    <t>1.4</t>
  </si>
  <si>
    <t>측구파기</t>
  </si>
  <si>
    <t>D02270_1</t>
  </si>
  <si>
    <t>_x0007_`COD|D02270_x0005_`QTY1|1_x0005_`EXI|0_x0005_`IPR|0_x0005_`BLA|F_x0005_`</t>
  </si>
  <si>
    <t>산근  21호표</t>
  </si>
  <si>
    <t>D02271_1</t>
  </si>
  <si>
    <t>_x0007_`COD|D02271_x0005_`QTY1|1_x0005_`EXI|0_x0005_`IPR|0_x0005_`BLA|F_x0005_`</t>
  </si>
  <si>
    <t>산근  22호표</t>
  </si>
  <si>
    <t>1.5</t>
  </si>
  <si>
    <t>유용성토</t>
  </si>
  <si>
    <t>D02272_1</t>
  </si>
  <si>
    <t>_x0007_`COD|D02272_x0005_`QTY1|1_x0005_`EXI|0_x0005_`IPR|0_x0005_`BLA|F_x0005_`</t>
  </si>
  <si>
    <t>산근  23호표</t>
  </si>
  <si>
    <t>D02273_1</t>
  </si>
  <si>
    <t>_x0007_`COD|D02273_x0005_`QTY1|1_x0005_`EXI|0_x0005_`IPR|0_x0005_`BLA|F_x0005_`</t>
  </si>
  <si>
    <t>산근  24호표</t>
  </si>
  <si>
    <t>D02274_1</t>
  </si>
  <si>
    <t>_x0007_`COD|D02274_x0005_`QTY1|1_x0005_`EXI|0_x0005_`IPR|0_x0005_`BLA|F_x0005_`</t>
  </si>
  <si>
    <t>산근  25호표</t>
  </si>
  <si>
    <t>D02275_1</t>
  </si>
  <si>
    <t>_x0007_`COD|D02275_x0005_`QTY1|1_x0005_`EXI|0_x0005_`IPR|0_x0005_`BLA|F_x0005_`</t>
  </si>
  <si>
    <t>산근  26호표</t>
  </si>
  <si>
    <t>D02276_1</t>
  </si>
  <si>
    <t>_x0007_`COD|D02276_x0005_`QTY1|1_x0005_`EXI|0_x0005_`IPR|0_x0005_`BLA|F_x0005_`</t>
  </si>
  <si>
    <t>산근  27호표</t>
  </si>
  <si>
    <t>1.6</t>
  </si>
  <si>
    <t>사토 및 다짐공</t>
  </si>
  <si>
    <t>D02277_1</t>
  </si>
  <si>
    <t>_x0007_`COD|D02277_x0005_`QTY1|1_x0005_`EXI|0_x0005_`IPR|0_x0005_`BLA|F_x0005_`</t>
  </si>
  <si>
    <t>산근  28호표</t>
  </si>
  <si>
    <t>D02278_1</t>
  </si>
  <si>
    <t>_x0007_`COD|D02278_x0005_`QTY1|1_x0005_`EXI|0_x0005_`IPR|0_x0005_`BLA|F_x0005_`</t>
  </si>
  <si>
    <t>산근  29호표</t>
  </si>
  <si>
    <t>D02279_1</t>
  </si>
  <si>
    <t>_x0007_`COD|D02279_x0005_`QTY1|1_x0005_`EXI|0_x0005_`IPR|0_x0005_`BLA|F_x0005_`</t>
  </si>
  <si>
    <t>산근  30호표</t>
  </si>
  <si>
    <t>구조물공</t>
  </si>
  <si>
    <t>운반공</t>
  </si>
  <si>
    <t>3.</t>
  </si>
  <si>
    <t>2.1</t>
  </si>
  <si>
    <t>돌기슭막이공</t>
  </si>
  <si>
    <t>B01212_1</t>
  </si>
  <si>
    <t>_x0007_`COD|B01212_x0005_`QTY1|1_x0005_`EXI|0_x0005_`IPR|0_x0005_`BLA|F_x0005_`</t>
  </si>
  <si>
    <t>대가  12호표</t>
  </si>
  <si>
    <t>B01213_1</t>
  </si>
  <si>
    <t>_x0007_`COD|B01213_x0005_`QTY1|1_x0005_`EXI|0_x0005_`IPR|0_x0005_`BLA|F_x0005_`</t>
  </si>
  <si>
    <t>대가  13호표</t>
  </si>
  <si>
    <t>B01214_1</t>
  </si>
  <si>
    <t>_x0007_`COD|B01214_x0005_`QTY1|1_x0005_`EXI|0_x0005_`IPR|0_x0005_`BLA|F_x0005_`</t>
  </si>
  <si>
    <t>대가  14호표</t>
  </si>
  <si>
    <t>B01215_1</t>
  </si>
  <si>
    <t>_x0007_`COD|B01215_x0005_`QTY1|1_x0005_`EXI|0_x0005_`IPR|0_x0005_`BLA|F_x0005_`</t>
  </si>
  <si>
    <t>대가  15호표</t>
  </si>
  <si>
    <t>B01216_1</t>
  </si>
  <si>
    <t>_x0007_`COD|B01216_x0005_`QTY1|1_x0005_`EXI|0_x0005_`IPR|0_x0005_`BLA|F_x0005_`</t>
  </si>
  <si>
    <t>대가  16호표</t>
  </si>
  <si>
    <t>2.2</t>
  </si>
  <si>
    <t>배수공</t>
  </si>
  <si>
    <t>B01217_1</t>
  </si>
  <si>
    <t>_x0007_`COD|B01217_x0005_`QTY1|1_x0005_`EXI|0_x0005_`IPR|0_x0005_`BLA|F_x0005_`</t>
  </si>
  <si>
    <t>대가  17호표</t>
  </si>
  <si>
    <t>B01218_1</t>
  </si>
  <si>
    <t>_x0007_`COD|B01218_x0005_`QTY1|1_x0005_`EXI|0_x0005_`IPR|0_x0005_`BLA|F_x0005_`</t>
  </si>
  <si>
    <t>대가  18호표</t>
  </si>
  <si>
    <t>B01219_1</t>
  </si>
  <si>
    <t>_x0007_`COD|B01219_x0005_`QTY1|1_x0005_`EXI|0_x0005_`IPR|0_x0005_`BLA|F_x0005_`</t>
  </si>
  <si>
    <t>대가  19호표</t>
  </si>
  <si>
    <t>B01220_1</t>
  </si>
  <si>
    <t>_x0007_`COD|B01220_x0005_`QTY1|1_x0005_`EXI|0_x0005_`IPR|0_x0005_`BLA|F_x0005_`</t>
  </si>
  <si>
    <t>대가  20호표</t>
  </si>
  <si>
    <t>B01221_1</t>
  </si>
  <si>
    <t>_x0007_`COD|B01221_x0005_`QTY1|1_x0005_`EXI|0_x0005_`IPR|0_x0005_`BLA|F_x0005_`</t>
  </si>
  <si>
    <t>대가  21호표</t>
  </si>
  <si>
    <t>2.3</t>
  </si>
  <si>
    <t>기타구조물</t>
  </si>
  <si>
    <t>B01222_1</t>
  </si>
  <si>
    <t>_x0007_`COD|B01222_x0005_`QTY1|1_x0005_`EXI|0_x0005_`IPR|0_x0005_`BLA|F_x0005_`</t>
  </si>
  <si>
    <t>대가  22호표</t>
  </si>
  <si>
    <t>B01223_1</t>
  </si>
  <si>
    <t>_x0007_`COD|B01223_x0005_`QTY1|1_x0005_`EXI|0_x0005_`IPR|0_x0005_`BLA|F_x0005_`</t>
  </si>
  <si>
    <t>대가  23호표</t>
  </si>
  <si>
    <t>M00955_1</t>
  </si>
  <si>
    <t>_x0007_`COD|M00955_x0005_`QTY1|1_x0005_`EXI|0_x0005_`IPR|0_x0005_`KWN|0_x0005_`BLA|F_x0005_`</t>
  </si>
  <si>
    <t>자재   40</t>
  </si>
  <si>
    <t>B01224_1</t>
  </si>
  <si>
    <t>_x0007_`COD|B01224_x0005_`QTY1|1_x0005_`EXI|0_x0005_`IPR|0_x0005_`BLA|F_x0005_`</t>
  </si>
  <si>
    <t>대가  24호표</t>
  </si>
  <si>
    <t>D02280_1</t>
  </si>
  <si>
    <t>_x0007_`COD|D02280_x0005_`QTY1|1_x0005_`EXI|0_x0005_`IPR|0_x0005_`BLA|F_x0005_`</t>
  </si>
  <si>
    <t>산근  31호표</t>
  </si>
  <si>
    <t>D02281_1</t>
  </si>
  <si>
    <t>_x0007_`COD|D02281_x0005_`QTY1|1_x0005_`EXI|0_x0005_`IPR|0_x0005_`BLA|F_x0005_`</t>
  </si>
  <si>
    <t>산근  32호표</t>
  </si>
  <si>
    <t>D02282_1</t>
  </si>
  <si>
    <t>_x0007_`COD|D02282_x0005_`QTY1|1_x0005_`EXI|0_x0005_`IPR|0_x0005_`BLA|F_x0005_`</t>
  </si>
  <si>
    <t>산근  33호표</t>
  </si>
  <si>
    <t>D02283_1</t>
  </si>
  <si>
    <t>_x0007_`COD|D02283_x0005_`QTY1|1_x0005_`EXI|0_x0005_`IPR|0_x0005_`BLA|F_x0005_`</t>
  </si>
  <si>
    <t>산근  34호표</t>
  </si>
  <si>
    <t>D02284_1</t>
  </si>
  <si>
    <t>_x0007_`COD|D02284_x0005_`QTY1|1_x0005_`EXI|0_x0005_`IPR|0_x0005_`BLA|F_x0005_`</t>
  </si>
  <si>
    <t>산근  35호표</t>
  </si>
  <si>
    <t>D02285_1</t>
  </si>
  <si>
    <t>_x0007_`COD|D02285_x0005_`QTY1|1_x0005_`EXI|0_x0005_`IPR|0_x0005_`BLA|F_x0005_`</t>
  </si>
  <si>
    <t>산근  36호표</t>
  </si>
  <si>
    <t>4.</t>
  </si>
  <si>
    <t>자재대</t>
  </si>
  <si>
    <t>M00956_1</t>
  </si>
  <si>
    <t>_x0007_`COD|M00956_x0005_`QTY1|1_x0005_`EXI|0_x0005_`IPR|0_x0005_`KWN|0_x0005_`BLA|F_x0005_`</t>
  </si>
  <si>
    <t>자재   41</t>
  </si>
  <si>
    <t>M00957_1</t>
  </si>
  <si>
    <t>_x0007_`COD|M00957_x0005_`QTY1|1_x0005_`EXI|0_x0005_`IPR|0_x0005_`KWN|0_x0005_`BLA|F_x0005_`</t>
  </si>
  <si>
    <t>자재   42</t>
  </si>
  <si>
    <t>M00958_1</t>
  </si>
  <si>
    <t>_x0007_`COD|M00958_x0005_`QTY1|1_x0005_`EXI|0_x0005_`IPR|0_x0005_`KWN|0_x0005_`BLA|F_x0005_`</t>
  </si>
  <si>
    <t>자재   43</t>
  </si>
  <si>
    <t>M00959_1</t>
  </si>
  <si>
    <t>_x0007_`COD|M00959_x0005_`QTY1|1_x0005_`EXI|0_x0005_`IPR|0_x0005_`KWN|0_x0005_`BLA|F_x0005_`</t>
  </si>
  <si>
    <t>자재   44</t>
  </si>
  <si>
    <t>2공구</t>
  </si>
  <si>
    <t>3공구</t>
  </si>
  <si>
    <t>L=1.10km</t>
  </si>
  <si>
    <t>M00952_1</t>
  </si>
  <si>
    <t>(제외금액)</t>
  </si>
  <si>
    <t>D02286_1</t>
  </si>
  <si>
    <t>_x0007_`COD|D02286_x0005_`QTY1|1_x0005_`EXI|0_x0005_`IPR|0_x0005_`BLA|F_x0005_`</t>
  </si>
  <si>
    <t>산근  37호표</t>
  </si>
  <si>
    <t>D02287_1</t>
  </si>
  <si>
    <t>_x0007_`COD|D02287_x0005_`QTY1|1_x0005_`EXI|0_x0005_`IPR|0_x0005_`BLA|F_x0005_`</t>
  </si>
  <si>
    <t>산근  38호표</t>
  </si>
  <si>
    <t>D02288_1</t>
  </si>
  <si>
    <t>_x0007_`COD|D02288_x0005_`QTY1|1_x0005_`EXI|0_x0005_`IPR|0_x0005_`BLA|F_x0005_`</t>
  </si>
  <si>
    <t>산근  39호표</t>
  </si>
  <si>
    <t>D02289_1</t>
  </si>
  <si>
    <t>_x0007_`COD|D02289_x0005_`QTY1|1_x0005_`EXI|0_x0005_`IPR|0_x0005_`BLA|F_x0005_`</t>
  </si>
  <si>
    <t>산근  40호표</t>
  </si>
  <si>
    <t>D02290_1</t>
  </si>
  <si>
    <t>_x0007_`COD|D02290_x0005_`QTY1|1_x0005_`EXI|0_x0005_`IPR|0_x0005_`BLA|F_x0005_`</t>
  </si>
  <si>
    <t>산근  41호표</t>
  </si>
  <si>
    <t>B01225_1</t>
  </si>
  <si>
    <t>_x0007_`COD|B01225_x0005_`QTY1|1_x0005_`EXI|0_x0005_`IPR|0_x0005_`BLA|F_x0005_`</t>
  </si>
  <si>
    <t>대가  25호표</t>
  </si>
  <si>
    <t>B01226_1</t>
  </si>
  <si>
    <t>_x0007_`COD|B01226_x0005_`QTY1|1_x0005_`EXI|0_x0005_`IPR|0_x0005_`BLA|F_x0005_`</t>
  </si>
  <si>
    <t>대가  26호표</t>
  </si>
  <si>
    <t>B01227_1</t>
  </si>
  <si>
    <t>_x0007_`COD|B01227_x0005_`QTY1|1_x0005_`EXI|0_x0005_`IPR|0_x0005_`BLA|F_x0005_`</t>
  </si>
  <si>
    <t>대가  27호표</t>
  </si>
  <si>
    <t>B01228_1</t>
  </si>
  <si>
    <t>_x0007_`COD|B01228_x0005_`QTY1|1_x0005_`EXI|0_x0005_`IPR|0_x0005_`BLA|F_x0005_`</t>
  </si>
  <si>
    <t>대가  28호표</t>
  </si>
  <si>
    <t>B01229_1</t>
  </si>
  <si>
    <t>_x0007_`COD|B01229_x0005_`QTY1|1_x0005_`EXI|0_x0005_`IPR|0_x0005_`BLA|F_x0005_`</t>
  </si>
  <si>
    <t>대가  29호표</t>
  </si>
  <si>
    <t>B01230_1</t>
  </si>
  <si>
    <t>_x0007_`COD|B01230_x0005_`QTY1|1_x0005_`EXI|0_x0005_`IPR|0_x0005_`BLA|F_x0005_`</t>
  </si>
  <si>
    <t>대가  30호표</t>
  </si>
  <si>
    <t>_x0007_`COD|D02296_x0005_`QTY1|1_x0005_`EXI|0_x0005_`IPR|0_x0005_`BLA|F_x0005_`</t>
  </si>
  <si>
    <t>D02296_1</t>
  </si>
  <si>
    <t>D02291_1</t>
  </si>
  <si>
    <t>_x0007_`COD|D02291_x0005_`QTY1|1_x0005_`EXI|0_x0005_`IPR|0_x0005_`BLA|F_x0005_`</t>
  </si>
  <si>
    <t>산근  42호표</t>
  </si>
  <si>
    <t>D02292_1</t>
  </si>
  <si>
    <t>_x0007_`COD|D02292_x0005_`QTY1|1_x0005_`EXI|0_x0005_`IPR|0_x0005_`BLA|F_x0005_`</t>
  </si>
  <si>
    <t>산근  43호표</t>
  </si>
  <si>
    <t>D02293_1</t>
  </si>
  <si>
    <t>_x0007_`COD|D02293_x0005_`QTY1|1_x0005_`EXI|0_x0005_`IPR|0_x0005_`BLA|F_x0005_`</t>
  </si>
  <si>
    <t>산근  44호표</t>
  </si>
  <si>
    <t>D02294_1</t>
  </si>
  <si>
    <t>_x0007_`COD|D02294_x0005_`QTY1|1_x0005_`EXI|0_x0005_`IPR|0_x0005_`BLA|F_x0005_`</t>
  </si>
  <si>
    <t>산근  45호표</t>
  </si>
  <si>
    <t>D02295_1</t>
  </si>
  <si>
    <t>_x0007_`COD|D02295_x0005_`QTY1|1_x0005_`EXI|0_x0005_`IPR|0_x0005_`BLA|F_x0005_`</t>
  </si>
  <si>
    <t>산근  46호표</t>
  </si>
  <si>
    <t>B01231_1</t>
  </si>
  <si>
    <t>_x0007_`COD|B01231_x0005_`QTY1|1_x0005_`EXI|0_x0005_`IPR|0_x0005_`BLA|F_x0005_`</t>
  </si>
  <si>
    <t>대가  31호표</t>
  </si>
  <si>
    <t>B01232_1</t>
  </si>
  <si>
    <t>_x0007_`COD|B01232_x0005_`QTY1|1_x0005_`EXI|0_x0005_`IPR|0_x0005_`BLA|F_x0005_`</t>
  </si>
  <si>
    <t>대가  32호표</t>
  </si>
  <si>
    <t>B01233_1</t>
  </si>
  <si>
    <t>_x0007_`COD|B01233_x0005_`QTY1|1_x0005_`EXI|0_x0005_`IPR|0_x0005_`BLA|F_x0005_`</t>
  </si>
  <si>
    <t>대가  33호표</t>
  </si>
  <si>
    <t>B01234_1</t>
  </si>
  <si>
    <t>_x0007_`COD|B01234_x0005_`QTY1|1_x0005_`EXI|0_x0005_`IPR|0_x0005_`BLA|F_x0005_`</t>
  </si>
  <si>
    <t>대가  34호표</t>
  </si>
  <si>
    <t>산근  47호표</t>
  </si>
  <si>
    <t>M00960_1</t>
  </si>
  <si>
    <t>_x0007_`COD|M00960_x0005_`QTY1|1_x0005_`EXI|0_x0005_`IPR|0_x0005_`KWN|0_x0005_`BLA|F_x0005_`</t>
  </si>
  <si>
    <t>자재   45</t>
  </si>
  <si>
    <t>M00961_1</t>
  </si>
  <si>
    <t>_x0007_`COD|M00961_x0005_`QTY1|1_x0005_`EXI|0_x0005_`IPR|0_x0005_`KWN|0_x0005_`BLA|F_x0005_`</t>
  </si>
  <si>
    <t>자재   46</t>
  </si>
  <si>
    <t>_x0007_`COD|M00952_x0005_`QTY1|1_x0005_`EXI|0_x0005_`IPR|0_x0005_`KWN|0_x0005_`BLA|F_x0005_`</t>
  </si>
  <si>
    <t>자재   37</t>
  </si>
  <si>
    <t>M00798_1</t>
  </si>
  <si>
    <t>_x0007_`COD|M00798_x0005_`QTY1|1_x0005_`EXI|0_x0005_`IPR|0_x0005_`KWN|0_x0005_`BLA|F_x0005_`</t>
  </si>
  <si>
    <t>자재   23</t>
  </si>
  <si>
    <t>M00934_1</t>
  </si>
  <si>
    <t>_x0007_`COD|M00934_x0005_`QTY1|1_x0005_`EXI|0_x0005_`IPR|0_x0005_`KWN|0_x0005_`BLA|F_x0005_`</t>
  </si>
  <si>
    <t>자재   25</t>
  </si>
  <si>
    <t>M00953_1</t>
  </si>
  <si>
    <t>_x0007_`COD|M00953_x0005_`QTY1|1_x0005_`EXI|0_x0005_`IPR|0_x0005_`KWN|0_x0005_`BLA|F_x0005_`</t>
  </si>
  <si>
    <t>자재   38</t>
  </si>
  <si>
    <t>M00945_1</t>
  </si>
  <si>
    <t>_x0007_`COD|M00945_x0005_`QTY1|1_x0005_`EXI|0_x0005_`IPR|0_x0005_`KWN|0_x0005_`BLA|F_x0005_`</t>
  </si>
  <si>
    <t>자재   30</t>
  </si>
  <si>
    <t>M00946_1</t>
  </si>
  <si>
    <t>_x0007_`COD|M00946_x0005_`QTY1|1_x0005_`EXI|0_x0005_`IPR|0_x0005_`KWN|0_x0005_`BLA|F_x0005_`</t>
  </si>
  <si>
    <t>자재   31</t>
  </si>
  <si>
    <t>M00954_1</t>
  </si>
  <si>
    <t>_x0007_`COD|M00954_x0005_`QTY1|1_x0005_`EXI|0_x0005_`IPR|0_x0005_`KWN|0_x0005_`BLA|F_x0005_`</t>
  </si>
  <si>
    <t>자재   39</t>
  </si>
  <si>
    <t>M00095_1</t>
  </si>
  <si>
    <t>_x0007_`COD|M00095_x0005_`QTY1|1_x0005_`EXI|0_x0005_`IPR|0_x0005_`KWN|0_x0005_`BLA|F_x0005_`</t>
  </si>
  <si>
    <t>자재   12</t>
  </si>
  <si>
    <t>C4_1</t>
  </si>
  <si>
    <t xml:space="preserve">    가.</t>
  </si>
  <si>
    <t>순공사비계</t>
  </si>
  <si>
    <t xml:space="preserve"> 1. 간접노무비</t>
  </si>
  <si>
    <t>_x0007_`DTP|201_x0005_`QTY1|1_x0005_`BDC|_x0005_`SRE|LA_x0005_`</t>
  </si>
  <si>
    <t xml:space="preserve"> 2. 산재보험료</t>
  </si>
  <si>
    <t>_x0007_`DTP|301_x0005_`QTY1|1_x0005_`BDC|_x0005_`SRE|SA_x0005_`</t>
  </si>
  <si>
    <t xml:space="preserve"> 3. 고용보험료</t>
  </si>
  <si>
    <t>_x0007_`DTP|302_x0005_`QTY1|1_x0005_`BDC|_x0005_`SRE|SA_x0005_`</t>
  </si>
  <si>
    <t xml:space="preserve"> 4. 건강보험료</t>
  </si>
  <si>
    <t>_x0007_`DTP|303_x0005_`QTY1|1_x0005_`BDC|_x0005_`SRE|SA_x0005_`DRT|T_x0005_`</t>
  </si>
  <si>
    <t xml:space="preserve"> 5. 노인장기요양보험료</t>
  </si>
  <si>
    <t>_x0007_`DTP|310_x0005_`QTY1|1_x0005_`BDC|_x0005_`SRE|SA_x0005_`DRT|T_x0005_`</t>
  </si>
  <si>
    <t xml:space="preserve"> 6. 연금보험료</t>
  </si>
  <si>
    <t>_x0007_`DTP|304_x0005_`QTY1|1_x0005_`BDC|_x0005_`SRE|SA_x0005_`DRT|T_x0005_`</t>
  </si>
  <si>
    <t xml:space="preserve"> 7. 산업안전보건관리비</t>
  </si>
  <si>
    <t>_x0007_`DTP|306_x0005_`QTY1|1_x0005_`BDC|_x0005_`SRE|SA_x0005_`DRT|T_x0005_`ANK|1_x0005_`</t>
  </si>
  <si>
    <t>공 사 원 가 계 산 서</t>
  </si>
  <si>
    <t xml:space="preserve"> 8. 기타경비</t>
  </si>
  <si>
    <t>_x0007_`DTP|321_x0005_`QTY1|1_x0005_`BDC|_x0005_`SRE|SA_x0005_`</t>
  </si>
  <si>
    <t xml:space="preserve"> 9. 환경보전비</t>
  </si>
  <si>
    <t>_x0007_`DTP|309_x0005_`QTY1|1_x0005_`BDC|_x0005_`SRE|SA_x0005_`</t>
  </si>
  <si>
    <t>10. 건설기계대여금지급보증 금액</t>
  </si>
  <si>
    <t>_x0007_`DTP|311_x0005_`QTY1|1_x0005_`BDC|_x0005_`SRE|SA_x0005_`</t>
  </si>
  <si>
    <t xml:space="preserve">    나.</t>
  </si>
  <si>
    <t xml:space="preserve">    소   계</t>
  </si>
  <si>
    <t>_x0007_`DTP|400_x0005_`QTY1|1_x0005_`BDC|_x0005_`SRE|TA-F_x0005_`</t>
  </si>
  <si>
    <t>11. 일반관리비</t>
  </si>
  <si>
    <t>_x0007_`DTP|401_x0005_`QTY1|1_x0005_`BDC|_x0005_`SRE|TA_x0005_`</t>
  </si>
  <si>
    <t xml:space="preserve">    다.</t>
  </si>
  <si>
    <t>_x0007_`DTP|410_x0005_`QTY1|1_x0005_`BDC|_x0005_`SRE|TA-F_x0005_`</t>
  </si>
  <si>
    <t>12. 이   윤</t>
  </si>
  <si>
    <t>_x0007_`DTP|402_x0005_`QTY1|1_x0005_`BDC|_x0005_`SRE|TA_x0005_`</t>
  </si>
  <si>
    <t xml:space="preserve">    라.</t>
  </si>
  <si>
    <t xml:space="preserve">    공급가액</t>
  </si>
  <si>
    <t>_x0007_`DTP|500_x0005_`QTY1|1_x0005_`BDC|_x0005_`SRE|TA-F_x0005_`</t>
  </si>
  <si>
    <t>13. 부가가치세</t>
  </si>
  <si>
    <t>_x0007_`DTP|502_x0005_`QTY1|1_x0005_`BDC|_x0005_`SRE|TA_x0005_`</t>
  </si>
  <si>
    <t xml:space="preserve">    마.</t>
  </si>
  <si>
    <t xml:space="preserve">    도급공사비</t>
  </si>
  <si>
    <t>_x0007_`DTP|600_x0005_`QTY1|1_x0005_`BDC|_x0005_`SRE|TA-F_x0005_`</t>
  </si>
  <si>
    <t>14. 관급자재대</t>
  </si>
  <si>
    <t>_x0007_`DTP|653_x0005_`QTY1|1_x0005_`BDC|_x0005_`SRE|TA-3_x0005_`</t>
  </si>
  <si>
    <t xml:space="preserve">    바.</t>
  </si>
  <si>
    <t xml:space="preserve">    총공사비</t>
  </si>
  <si>
    <t>_x0007_`DTP|700_x0005_`QTY1|1_x0005_`BDC|_x0005_`SRE|TA-F_x0005_`</t>
  </si>
  <si>
    <t xml:space="preserve">    비    목</t>
  </si>
  <si>
    <t xml:space="preserve">구    분    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</si>
  <si>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</si>
  <si>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</si>
  <si>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</si>
  <si>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</si>
  <si>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</si>
  <si>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</si>
  <si>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</si>
  <si>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</si>
  <si>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</si>
  <si>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</si>
  <si>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</si>
  <si>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</si>
  <si>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</si>
  <si>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</si>
  <si>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</si>
  <si>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</si>
  <si>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</si>
  <si>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</si>
  <si>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</si>
  <si>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</si>
  <si>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</si>
  <si>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</si>
  <si>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</si>
  <si>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관   급   자   재   대</t>
  </si>
  <si>
    <t>총     공     사     비</t>
  </si>
  <si>
    <t>순 공 사 원 가</t>
  </si>
  <si>
    <t>경    비</t>
  </si>
  <si>
    <t>일 위 대 가 표</t>
  </si>
  <si>
    <t xml:space="preserve"> 제    1 호표</t>
  </si>
  <si>
    <t>B00049</t>
  </si>
  <si>
    <t>건설표준품셈</t>
  </si>
  <si>
    <t>6-1-4(모르타르)</t>
  </si>
  <si>
    <t>_x0007_`COD|_x0005_`EXI|1_x0005_`</t>
  </si>
  <si>
    <t>_1</t>
  </si>
  <si>
    <t xml:space="preserve">       </t>
  </si>
  <si>
    <t>_x0007_`COD|M00101_x0005_`EXI|0_x0005_`DVD|F_x0005_`BMK| _x0005_`IPR|0_x0005_`KWN|0_x0005_`BLA|F_x0005_`</t>
  </si>
  <si>
    <t>M00101_1</t>
  </si>
  <si>
    <t xml:space="preserve">별산자재   14 </t>
  </si>
  <si>
    <t>_x0007_`COD|M00103_x0005_`EXI|0_x0005_`DVD|F_x0005_`BMK| _x0005_`IPR|0_x0005_`KWN|0_x0005_`BLA|F_x0005_`</t>
  </si>
  <si>
    <t>M00103_1</t>
  </si>
  <si>
    <t xml:space="preserve">별산자재   15 </t>
  </si>
  <si>
    <t>_x0007_`COD|L00017_x0005_`EXI|0_x0005_`DVD|F_x0005_`BMK| _x0005_`IPR|0_x0005_`BLA|F_x0005_`</t>
  </si>
  <si>
    <t>L00017_1</t>
  </si>
  <si>
    <t xml:space="preserve">노무    6 </t>
  </si>
  <si>
    <t>T7_1</t>
  </si>
  <si>
    <t>B00135</t>
  </si>
  <si>
    <t>_x0007_`COD|L00005_x0005_`EXI|0_x0005_`DVD|F_x0005_`BMK| _x0005_`IPR|0_x0005_`BLA|F_x0005_`</t>
  </si>
  <si>
    <t>L00005_1</t>
  </si>
  <si>
    <t xml:space="preserve">노무    3 </t>
  </si>
  <si>
    <t>B00353</t>
  </si>
  <si>
    <t>7-1-2(찰쌓기)</t>
  </si>
  <si>
    <t>_x0007_`COD|X00089_x0005_`EXI|0_x0005_`DVD|F_x0005_`BMK| _x0005_`IPR|0_x0005_`BLA|F_x0005_`</t>
  </si>
  <si>
    <t>X00089_1</t>
  </si>
  <si>
    <t xml:space="preserve">중기   20 </t>
  </si>
  <si>
    <t>B00839</t>
  </si>
  <si>
    <t>건설표준품셈7-2-2</t>
  </si>
  <si>
    <t>B00866</t>
  </si>
  <si>
    <t>7-2-2(찰붙임)</t>
  </si>
  <si>
    <t>B00884</t>
  </si>
  <si>
    <t>7-1-1(메쌓기)</t>
  </si>
  <si>
    <t>B01190</t>
  </si>
  <si>
    <t>6-1-2(현장비빔 타설)</t>
  </si>
  <si>
    <t>_x0007_`COD|M00941_x0005_`EXI|0_x0005_`DVD|F_x0005_`BMK| _x0005_`IPR|0_x0005_`KWN|0_x0005_`BLA|F_x0005_`</t>
  </si>
  <si>
    <t>M00941_1</t>
  </si>
  <si>
    <t xml:space="preserve">별산자재   28 </t>
  </si>
  <si>
    <t>_x0007_`COD|L00007_x0005_`EXI|0_x0005_`DVD|F_x0005_`BMK| _x0005_`IPR|0_x0005_`BLA|F_x0005_`</t>
  </si>
  <si>
    <t>L00007_1</t>
  </si>
  <si>
    <t xml:space="preserve">노무    4 </t>
  </si>
  <si>
    <t>_x0007_`COD|D00075_x0005_`EXI|0_x0005_`DVD|F_x0005_`BMK| _x0005_`IPR|0_x0005_`BLA|F_x0005_`</t>
  </si>
  <si>
    <t>D00075_1</t>
  </si>
  <si>
    <t>산근   1호표</t>
  </si>
  <si>
    <t>B01198</t>
  </si>
  <si>
    <t>7-2-1</t>
  </si>
  <si>
    <t>B01209</t>
  </si>
  <si>
    <t>_x0007_`COD|M00004_x0005_`EXI|0_x0005_`DVD|F_x0005_`BMK| _x0005_`IPR|0_x0005_`KWN|0_x0005_`BLA|F_x0005_`</t>
  </si>
  <si>
    <t>M00004_1</t>
  </si>
  <si>
    <t xml:space="preserve">자재    3 </t>
  </si>
  <si>
    <t>_x0007_`COD|M00007_x0005_`EXI|0_x0005_`DVD|F_x0005_`BMK| _x0005_`IPR|0_x0005_`KWN|0_x0005_`BLA|F_x0005_`</t>
  </si>
  <si>
    <t>M00007_1</t>
  </si>
  <si>
    <t xml:space="preserve">자재    5 </t>
  </si>
  <si>
    <t>_x0007_`COD|M00005_x0005_`EXI|0_x0005_`DVD|F_x0005_`BMK| _x0005_`IPR|0_x0005_`KWN|0_x0005_`BLA|F_x0005_`</t>
  </si>
  <si>
    <t>M00005_1</t>
  </si>
  <si>
    <t xml:space="preserve">자재    4 </t>
  </si>
  <si>
    <t>_x0007_`COD|L00001_x0005_`EXI|0_x0005_`DVD|F_x0005_`BMK| _x0005_`IPR|0_x0005_`BLA|F_x0005_`</t>
  </si>
  <si>
    <t>L00001_1</t>
  </si>
  <si>
    <t xml:space="preserve">노무    1 </t>
  </si>
  <si>
    <t>계</t>
  </si>
  <si>
    <t>T0_1</t>
  </si>
  <si>
    <t>계약단가</t>
  </si>
  <si>
    <t>B01210</t>
  </si>
  <si>
    <t>B01211</t>
  </si>
  <si>
    <t>임도표준품셈</t>
  </si>
  <si>
    <t>2-3.제근</t>
  </si>
  <si>
    <t>_x0007_`COD|X00005_x0005_`EXI|0_x0005_`DVD|F_x0005_`BMK| _x0005_`IPR|0_x0005_`BLA|F_x0005_`</t>
  </si>
  <si>
    <t>X00005_1</t>
  </si>
  <si>
    <t xml:space="preserve">중기    4 </t>
  </si>
  <si>
    <t>B01212</t>
  </si>
  <si>
    <t>_x0007_`COD|M00792_x0005_`EXI|0_x0005_`DVD|F_x0005_`BMK| _x0005_`IPR|0_x0005_`KWN|0_x0005_`BLA|F_x0005_`</t>
  </si>
  <si>
    <t>M00792_1</t>
  </si>
  <si>
    <t xml:space="preserve">별산자재   22 </t>
  </si>
  <si>
    <t>_x0007_`COD|B00353_x0005_`EXI|0_x0005_`DVD|F_x0005_`BMK| _x0005_`IPR|0_x0005_`BLA|F_x0005_`</t>
  </si>
  <si>
    <t>B00353_1</t>
  </si>
  <si>
    <t>대가   3호표</t>
  </si>
  <si>
    <t>_x0007_`COD|D01124_x0005_`EXI|0_x0005_`DVD|F_x0005_`BMK| _x0005_`IPR|0_x0005_`BLA|F_x0005_`</t>
  </si>
  <si>
    <t>D01124_1</t>
  </si>
  <si>
    <t>산근   4호표</t>
  </si>
  <si>
    <t>_x0007_`COD|D00159_x0005_`EXI|0_x0005_`DVD|F_x0005_`BMK| _x0005_`IPR|0_x0005_`BLA|F_x0005_`</t>
  </si>
  <si>
    <t>D00159_1</t>
  </si>
  <si>
    <t>산근   2호표</t>
  </si>
  <si>
    <t>_x0007_`COD|D00959_x0005_`EXI|0_x0005_`DVD|F_x0005_`BMK| _x0005_`IPR|0_x0005_`BLA|F_x0005_`</t>
  </si>
  <si>
    <t>D00959_1</t>
  </si>
  <si>
    <t>산근   3호표</t>
  </si>
  <si>
    <t>_x0007_`COD|M00082_x0005_`EXI|0_x0005_`DVD|F_x0005_`BMK| _x0005_`IPR|0_x0005_`KWN|0_x0005_`BLA|F_x0005_`</t>
  </si>
  <si>
    <t>M00082_1</t>
  </si>
  <si>
    <t xml:space="preserve">자재    9 </t>
  </si>
  <si>
    <t>_x0007_`COD|D02200_x0005_`EXI|0_x0005_`DVD|F_x0005_`BMK| _x0005_`IPR|0_x0005_`BLA|F_x0005_`</t>
  </si>
  <si>
    <t>D02200_1</t>
  </si>
  <si>
    <t>산근  10호표</t>
  </si>
  <si>
    <t>_x0007_`COD|B00049_x0005_`EXI|0_x0005_`DVD|F_x0005_`BMK| _x0005_`IPR|0_x0005_`BLA|F_x0005_`</t>
  </si>
  <si>
    <t>B00049_1</t>
  </si>
  <si>
    <t>대가   1호표</t>
  </si>
  <si>
    <t>B01213</t>
  </si>
  <si>
    <t>B01214</t>
  </si>
  <si>
    <t>B01215</t>
  </si>
  <si>
    <t>_x0007_`COD|B00884_x0005_`EXI|0_x0005_`DVD|F_x0005_`BMK| _x0005_`IPR|0_x0005_`BLA|F_x0005_`</t>
  </si>
  <si>
    <t>B00884_1</t>
  </si>
  <si>
    <t>대가   6호표</t>
  </si>
  <si>
    <t>B01216</t>
  </si>
  <si>
    <t>B01217</t>
  </si>
  <si>
    <t>6-7-2</t>
  </si>
  <si>
    <t>_x0007_`COD|M00222_x0005_`EXI|0_x0005_`DVD|F_x0005_`BMK| _x0005_`IPR|0_x0005_`KWN|0_x0005_`BLA|F_x0005_`</t>
  </si>
  <si>
    <t>M00222_1</t>
  </si>
  <si>
    <t xml:space="preserve">별산자재   19 </t>
  </si>
  <si>
    <t>_x0007_`COD|L00032_x0005_`EXI|0_x0005_`DVD|F_x0005_`BMK| _x0005_`IPR|0_x0005_`BLA|F_x0005_`</t>
  </si>
  <si>
    <t>L00032_1</t>
  </si>
  <si>
    <t xml:space="preserve">노무   10 </t>
  </si>
  <si>
    <t>_x0007_`COD|M00920_x0005_`EXI|0_x0005_`DVD|F_x0005_`BMK| _x0005_`IPR|0_x0005_`KWN|0_x0005_`BLA|F_x0005_`</t>
  </si>
  <si>
    <t>M00920_1</t>
  </si>
  <si>
    <t xml:space="preserve">자재   24 </t>
  </si>
  <si>
    <t>_x0007_`COD|X00044_x0005_`EXI|0_x0005_`DVD|F_x0005_`BMK| _x0005_`IPR|0_x0005_`BLA|F_x0005_`</t>
  </si>
  <si>
    <t>X00044_1</t>
  </si>
  <si>
    <t xml:space="preserve">중기   12 </t>
  </si>
  <si>
    <t>B01218</t>
  </si>
  <si>
    <t>_x0007_`COD|M00219_x0005_`EXI|0_x0005_`DVD|F_x0005_`BMK| _x0005_`IPR|0_x0005_`KWN|0_x0005_`BLA|F_x0005_`</t>
  </si>
  <si>
    <t>M00219_1</t>
  </si>
  <si>
    <t xml:space="preserve">별산자재   18 </t>
  </si>
  <si>
    <t>B01219</t>
  </si>
  <si>
    <t>_x0007_`COD|D01129_x0005_`EXI|0_x0005_`DVD|F_x0005_`BMK| _x0005_`IPR|0_x0005_`BLA|F_x0005_`</t>
  </si>
  <si>
    <t>D01129_1</t>
  </si>
  <si>
    <t>산근   5호표</t>
  </si>
  <si>
    <t>_x0007_`COD|D02119_x0005_`EXI|0_x0005_`DVD|F_x0005_`BMK| _x0005_`IPR|0_x0005_`BLA|F_x0005_`</t>
  </si>
  <si>
    <t>D02119_1</t>
  </si>
  <si>
    <t>산근   7호표</t>
  </si>
  <si>
    <t>_x0007_`COD|B00866_x0005_`EXI|0_x0005_`DVD|F_x0005_`BMK| _x0005_`IPR|0_x0005_`BLA|F_x0005_`</t>
  </si>
  <si>
    <t>B00866_1</t>
  </si>
  <si>
    <t>대가   5호표</t>
  </si>
  <si>
    <t>_x0007_`COD|B01190_x0005_`EXI|0_x0005_`DVD|F_x0005_`BMK| _x0005_`IPR|0_x0005_`BLA|F_x0005_`</t>
  </si>
  <si>
    <t>B01190_1</t>
  </si>
  <si>
    <t>대가   7호표</t>
  </si>
  <si>
    <t>B01220</t>
  </si>
  <si>
    <t>B01221</t>
  </si>
  <si>
    <t>_x0007_`COD|D01343_x0005_`EXI|0_x0005_`DVD|F_x0005_`BMK| _x0005_`IPR|0_x0005_`BLA|F_x0005_`</t>
  </si>
  <si>
    <t>D01343_1</t>
  </si>
  <si>
    <t>산근   6호표</t>
  </si>
  <si>
    <t>_x0007_`COD|D02139_x0005_`EXI|0_x0005_`DVD|F_x0005_`BMK| _x0005_`IPR|0_x0005_`BLA|F_x0005_`</t>
  </si>
  <si>
    <t>D02139_1</t>
  </si>
  <si>
    <t>산근   8호표</t>
  </si>
  <si>
    <t>B01222</t>
  </si>
  <si>
    <t>_x0007_`COD|B00839_x0005_`EXI|0_x0005_`DVD|F_x0005_`BMK| _x0005_`IPR|0_x0005_`BLA|F_x0005_`</t>
  </si>
  <si>
    <t>B00839_1</t>
  </si>
  <si>
    <t>대가   4호표</t>
  </si>
  <si>
    <t>B01223</t>
  </si>
  <si>
    <t>_x0007_`COD|B01198_x0005_`EXI|0_x0005_`DVD|F_x0005_`BMK| _x0005_`IPR|0_x0005_`BLA|F_x0005_`</t>
  </si>
  <si>
    <t>B01198_1</t>
  </si>
  <si>
    <t>대가   8호표</t>
  </si>
  <si>
    <t>B01224</t>
  </si>
  <si>
    <t>_x0007_`COD|M00075_x0005_`EXI|0_x0005_`DVD|F_x0005_`BMK| _x0005_`IPR|0_x0005_`KWN|0_x0005_`BLA|F_x0005_`</t>
  </si>
  <si>
    <t>M00075_1</t>
  </si>
  <si>
    <t xml:space="preserve">자재    8 </t>
  </si>
  <si>
    <t>_x0007_`COD|D02195_x0005_`EXI|0_x0005_`DVD|F_x0005_`BMK| _x0005_`IPR|0_x0005_`BLA|F_x0005_`</t>
  </si>
  <si>
    <t>D02195_1</t>
  </si>
  <si>
    <t>산근   9호표</t>
  </si>
  <si>
    <t>_x0007_`COD|B00135_x0005_`EXI|0_x0005_`DVD|F_x0005_`BMK| _x0005_`IPR|0_x0005_`BLA|F_x0005_`</t>
  </si>
  <si>
    <t>B00135_1</t>
  </si>
  <si>
    <t>대가   2호표</t>
  </si>
  <si>
    <t>B01225</t>
  </si>
  <si>
    <t>_x0007_`COD|M00948_x0005_`EXI|0_x0005_`DVD|F_x0005_`BMK| _x0005_`IPR|0_x0005_`KWN|0_x0005_`BLA|F_x0005_`</t>
  </si>
  <si>
    <t>M00948_1</t>
  </si>
  <si>
    <t xml:space="preserve">별산자재   33 </t>
  </si>
  <si>
    <t>_x0007_`COD|D02262_x0005_`EXI|0_x0005_`DVD|F_x0005_`BMK| _x0005_`IPR|0_x0005_`BLA|F_x0005_`</t>
  </si>
  <si>
    <t>D02262_1</t>
  </si>
  <si>
    <t>산근  14호표</t>
  </si>
  <si>
    <t>B01226</t>
  </si>
  <si>
    <t>B01227</t>
  </si>
  <si>
    <t>B01228</t>
  </si>
  <si>
    <t>_x0007_`COD|M00949_x0005_`EXI|0_x0005_`DVD|F_x0005_`BMK| _x0005_`IPR|0_x0005_`KWN|0_x0005_`BLA|F_x0005_`</t>
  </si>
  <si>
    <t>M00949_1</t>
  </si>
  <si>
    <t xml:space="preserve">별산자재   34 </t>
  </si>
  <si>
    <t>_x0007_`COD|M00950_x0005_`EXI|0_x0005_`DVD|F_x0005_`BMK| _x0005_`IPR|0_x0005_`KWN|0_x0005_`BLA|F_x0005_`</t>
  </si>
  <si>
    <t>M00950_1</t>
  </si>
  <si>
    <t xml:space="preserve">자재   35 </t>
  </si>
  <si>
    <t>_x0007_`COD|X00044_x0005_`EXI|2_x0005_`DVD|F_x0005_`BMK| _x0005_`IPR|0_x0005_`BLA|F_x0005_`</t>
  </si>
  <si>
    <t>B01229</t>
  </si>
  <si>
    <t>7-2-2찰붙임</t>
  </si>
  <si>
    <t>_x0007_`COD|M00951_x0005_`EXI|0_x0005_`DVD|F_x0005_`BMK| _x0005_`IPR|0_x0005_`KWN|0_x0005_`BLA|F_x0005_`</t>
  </si>
  <si>
    <t>M00951_1</t>
  </si>
  <si>
    <t xml:space="preserve">별산자재   36 </t>
  </si>
  <si>
    <t>_x0007_`COD|X00105_x0005_`EXI|0_x0005_`DVD|F_x0005_`BMK| _x0005_`IPR|0_x0005_`BLA|F_x0005_`</t>
  </si>
  <si>
    <t>X00105_1</t>
  </si>
  <si>
    <t xml:space="preserve">중기   25 </t>
  </si>
  <si>
    <t>B01230</t>
  </si>
  <si>
    <t>7-2-1메붙임</t>
  </si>
  <si>
    <t>B01231</t>
  </si>
  <si>
    <t>B01232</t>
  </si>
  <si>
    <t>_x0007_`COD|D02248_x0005_`EXI|0_x0005_`DVD|F_x0005_`BMK| _x0005_`IPR|0_x0005_`BLA|F_x0005_`</t>
  </si>
  <si>
    <t>D02248_1</t>
  </si>
  <si>
    <t>산근  12호표</t>
  </si>
  <si>
    <t>B01233</t>
  </si>
  <si>
    <t>6-3-3(유로폼)</t>
  </si>
  <si>
    <t>_x0007_`COD|M00938_x0005_`EXI|0_x0005_`DVD|F_x0005_`BMK| _x0005_`IPR|0_x0005_`KWN|0_x0005_`BLA|F_x0005_`</t>
  </si>
  <si>
    <t>M00938_1</t>
  </si>
  <si>
    <t xml:space="preserve">자재   26 </t>
  </si>
  <si>
    <t>B01234</t>
  </si>
  <si>
    <t>_x0007_`COD|D02251_x0005_`EXI|0_x0005_`DVD|F_x0005_`BMK| _x0005_`IPR|1_x0005_`BLA|F_x0005_`</t>
  </si>
  <si>
    <t>1_01</t>
  </si>
  <si>
    <t>D02251_1</t>
  </si>
  <si>
    <t>산근  13호표</t>
  </si>
  <si>
    <t>_x0007_`COD|D02246_x0005_`EXI|0_x0005_`DVD|F_x0005_`BMK| _x0005_`IPR|0_x0005_`BLA|F_x0005_`</t>
  </si>
  <si>
    <t>D02246_1</t>
  </si>
  <si>
    <t>산근  11호표</t>
  </si>
  <si>
    <t>단 가 산 출 근 거</t>
  </si>
  <si>
    <t>공  종</t>
  </si>
  <si>
    <t>산   출   근   거</t>
  </si>
  <si>
    <t>산  출  내  역</t>
  </si>
  <si>
    <t>QTY</t>
  </si>
  <si>
    <t>T</t>
  </si>
  <si>
    <t>S</t>
  </si>
  <si>
    <t>콘크리트믹서사용 0.45 m3  / m3</t>
  </si>
  <si>
    <t>D00075</t>
  </si>
  <si>
    <t>_x0007_</t>
  </si>
  <si>
    <t>_x0007_ '콘크리트믹서사용 0.45 m3  / m3'</t>
  </si>
  <si>
    <t xml:space="preserve">  콘크리트믹서사용 0.45 m3  / m3 </t>
  </si>
  <si>
    <t xml:space="preserve">_x0007_ </t>
  </si>
  <si>
    <t>_x0007_ '건설표준품셈 6-1-2 콘크리트믹서의 작업량 계산 적용'</t>
  </si>
  <si>
    <t xml:space="preserve">  건설표준품셈 6-1-2 콘크리트믹서의 작업량 계산 적용 </t>
  </si>
  <si>
    <t>_x0007_ q'(콘크리트믹서의 용량(m3))' = 0.45, E'(작업효율)' = 0.8</t>
  </si>
  <si>
    <t xml:space="preserve"> q (콘크리트믹서의 용량(m3))  = 0.45, E (작업효율)  = 0.8</t>
  </si>
  <si>
    <t>_x0007_'4 : 4분. 재료투입 혼합배출등 작업시간(분)'</t>
  </si>
  <si>
    <t xml:space="preserve"> 4 : 4분. 재료투입 혼합배출등 작업시간(분) </t>
  </si>
  <si>
    <t>_x0007_ Q'(콘크리트믹서의 시간당 생산량(m3/hr))' = 60 * q * E / 4 ='m3/Hr'</t>
  </si>
  <si>
    <t xml:space="preserve"> Q (콘크리트믹서의 시간당 생산량(m3/hr))  = 60 * q * E / 4 = 5.40 m3/Hr </t>
  </si>
  <si>
    <t>_x0007_'노 무 비  :'  &amp;X00048L&amp; / Q  =</t>
  </si>
  <si>
    <t>중기   14L</t>
  </si>
  <si>
    <t>X00048_1</t>
  </si>
  <si>
    <t>_x0007_'재 료 비  :'  &amp;X00048M&amp; / Q  =</t>
  </si>
  <si>
    <t>중기   14M</t>
  </si>
  <si>
    <t>_x0007_'경    비  :'  &amp;X00048S&amp; / Q  =</t>
  </si>
  <si>
    <t>중기   14S</t>
  </si>
  <si>
    <t>_x0007_(=)</t>
  </si>
  <si>
    <t>소계</t>
  </si>
  <si>
    <t>T1_1</t>
  </si>
  <si>
    <t>총        계</t>
  </si>
  <si>
    <t>_x0007_'뒷채움 150m/m 내외  / m3'</t>
  </si>
  <si>
    <t xml:space="preserve"> 뒷채움 150m/m 내외  / m3 </t>
  </si>
  <si>
    <t>_x0007_'건설표준품셈 3-4-2 기초다짐 및 뒷채움 적용'</t>
  </si>
  <si>
    <t xml:space="preserve"> 건설표준품셈 3-4-2 기초다짐 및 뒷채움 적용 </t>
  </si>
  <si>
    <t>_x0007_'1)막자갈 : 별도계상 '</t>
  </si>
  <si>
    <t xml:space="preserve"> 1)막자갈 : 별도계상  </t>
  </si>
  <si>
    <t>_x0007_'2)뒷채움'</t>
  </si>
  <si>
    <t xml:space="preserve"> 2)뒷채움 </t>
  </si>
  <si>
    <t>_x0007_'①인력'</t>
  </si>
  <si>
    <t xml:space="preserve"> ①인력 </t>
  </si>
  <si>
    <t>_x0007_ '보통인부:'0.018 * &amp;L00017&amp;  =</t>
  </si>
  <si>
    <t>_x0007_'②굴삭기(0.2m3)'</t>
  </si>
  <si>
    <t xml:space="preserve"> ②굴삭기(0.2m3) </t>
  </si>
  <si>
    <t>_x0007_'노무비:'&amp;X00003L&amp; * 0.07 =</t>
  </si>
  <si>
    <t>중기    2L</t>
  </si>
  <si>
    <t>X00003_1</t>
  </si>
  <si>
    <t>_x0007_'재료비:'&amp;X00003M&amp; * 0.07 =</t>
  </si>
  <si>
    <t>중기    2M</t>
  </si>
  <si>
    <t>_x0007_'경  비:'&amp;X00003S&amp; * 0.07 =</t>
  </si>
  <si>
    <t>중기    2S</t>
  </si>
  <si>
    <t>_x0007_(==)</t>
  </si>
  <si>
    <t>T2_1</t>
  </si>
  <si>
    <t>_x0007_ '막자갈채집 0.7m3  / m3'</t>
  </si>
  <si>
    <t xml:space="preserve">  막자갈채집 0.7m3  / m3 </t>
  </si>
  <si>
    <t>_x0007_ '건설표준품셈 11-3 굴삭기 적용'</t>
  </si>
  <si>
    <t xml:space="preserve">  건설표준품셈 11-3 굴삭기 적용 </t>
  </si>
  <si>
    <t>_x0007_ '작업조건 : 계곡에 산재한 막자갈을 채집'</t>
  </si>
  <si>
    <t xml:space="preserve">  작업조건 : 계곡에 산재한 막자갈을 채집 </t>
  </si>
  <si>
    <t>_x0007_ '운반거리 : 20m(1회 10m 2단)'</t>
  </si>
  <si>
    <t xml:space="preserve">  운반거리 : 20m(1회 10m 2단) </t>
  </si>
  <si>
    <t>_x0007_ '적용기계 : 굴삭기(무한궤도 0.7m3 급)'</t>
  </si>
  <si>
    <t xml:space="preserve">  적용기계 : 굴삭기(무한궤도 0.7m3 급) </t>
  </si>
  <si>
    <t>_x0007_'(1) 채집  '</t>
  </si>
  <si>
    <t xml:space="preserve"> (1) 채집   </t>
  </si>
  <si>
    <t>_x0007_'①기계: 굴삭기 0.7m3'</t>
  </si>
  <si>
    <t xml:space="preserve"> ①기계: 굴삭기 0.7m3 </t>
  </si>
  <si>
    <t>_x0007_ q'(버킷용량)' = 0.7 , f'(체적환산계수)' = 1/1.125 =</t>
  </si>
  <si>
    <t xml:space="preserve"> q (버킷용량)  = 0.7 , f (체적환산계수)  = 1/1.125 = 0.89</t>
  </si>
  <si>
    <t>_x0007_ K'(버킷계수)' = 0.55</t>
  </si>
  <si>
    <t xml:space="preserve"> K (버킷계수)  = 0.55</t>
  </si>
  <si>
    <t>_x0007_ Cm'(사이클시간)' = 20'sec (135˚)'</t>
  </si>
  <si>
    <t xml:space="preserve"> Cm (사이클시간)  = 20 sec (135˚) </t>
  </si>
  <si>
    <t>_x0007_ E'(작업효율)' = 0.35</t>
  </si>
  <si>
    <t xml:space="preserve"> E (작업효율)  = 0.35</t>
  </si>
  <si>
    <t>_x0007_ Q'(시간당작업량)' = 3600*q*K*f*E/Cm ='m3/hr'</t>
  </si>
  <si>
    <t xml:space="preserve"> Q (시간당작업량)  = 3600*q*K*f*E/Cm = 21.59 m3/hr </t>
  </si>
  <si>
    <t>_x0007_'노 무 비  :'&amp;X00009L&amp; / Q * 2 =</t>
  </si>
  <si>
    <t>중기    6L</t>
  </si>
  <si>
    <t>X00009_1</t>
  </si>
  <si>
    <t>_x0007_'재 료 비  :'&amp;X00009M&amp; / Q * 2 =</t>
  </si>
  <si>
    <t>중기    6M</t>
  </si>
  <si>
    <t>_x0007_'경    비  :'&amp;X00009S&amp; / Q * 2 =</t>
  </si>
  <si>
    <t>중기    6S</t>
  </si>
  <si>
    <t>_x0007_'2) 운 반 (덤프2.5톤)'</t>
  </si>
  <si>
    <t xml:space="preserve"> 2) 운 반 (덤프2.5톤) </t>
  </si>
  <si>
    <t>_x0007_L'(운반거리)' = 0.1 'Km'</t>
  </si>
  <si>
    <t xml:space="preserve">L (운반거리)  = 0.1  Km </t>
  </si>
  <si>
    <t>_x0007_E'(작업효율)' = 0.9 , f'(체적환산계수)' = 1</t>
  </si>
  <si>
    <t>E (작업효율)  = 0.9 , f (체적환산계수)  = 1</t>
  </si>
  <si>
    <t>_x0007_q1'(버킷용량)' = (2.5/1.7) * 1.0 =</t>
  </si>
  <si>
    <t>q1 (버킷용량)  = (2.5/1.7) * 1.0 = 1.47</t>
  </si>
  <si>
    <t>_x0007_'n (덤프트럭1대의 토량을 적재하는데 소요되는적재기계의 사이클횟수)'</t>
  </si>
  <si>
    <t xml:space="preserve"> n (덤프트럭1대의 토량을 적재하는데 소요되는적재기계의 사이클횟수) </t>
  </si>
  <si>
    <t>_x0007_n =q1 / (0.70 * k) = '회'</t>
  </si>
  <si>
    <t xml:space="preserve">n =q1 / (0.70 * k) = 3.82  회 </t>
  </si>
  <si>
    <t>_x0007_t1'(적재시간)' =15 * n / (60 * 0.45) ='분'</t>
  </si>
  <si>
    <t xml:space="preserve">t1 (적재시간)  =15 * n / (60 * 0.45) = 2.12 분 </t>
  </si>
  <si>
    <t>_x0007_t2'(왕복시간)' =(L/10+L/15)* 60 ='분'</t>
  </si>
  <si>
    <t xml:space="preserve">t2 (왕복시간)  =(L/10+L/15)* 60 = 1.00 분 </t>
  </si>
  <si>
    <t>_x0007_t3'(적하시간)' = 0.8'분'</t>
  </si>
  <si>
    <t xml:space="preserve">t3 (적하시간)  = 0.8 분 </t>
  </si>
  <si>
    <t>_x0007_t4'(적재작업이 시작될때까지의시간)' = 0.7'분'</t>
  </si>
  <si>
    <t xml:space="preserve">t4 (적재작업이 시작될때까지의시간)  = 0.7 분 </t>
  </si>
  <si>
    <t>_x0007_Cm'(1회 사이클 시간(분))' = t1 + t2 + t3 + t4 ='분'</t>
  </si>
  <si>
    <t xml:space="preserve">Cm (1회 사이클 시간(분))  = t1 + t2 + t3 + t4 = 4.62 분 </t>
  </si>
  <si>
    <t>_x0007_Q1'(시간당작업량)' = 60 * q1 * f * E / Cm ='m3/hr'</t>
  </si>
  <si>
    <t xml:space="preserve">Q1 (시간당작업량)  = 60 * q1 * f * E / Cm = 17.18 m3/hr </t>
  </si>
  <si>
    <t>_x0007_'노 무 비  :'  &amp;X00074L&amp; / Q1 =</t>
  </si>
  <si>
    <t>중기   16L</t>
  </si>
  <si>
    <t>X00074_1</t>
  </si>
  <si>
    <t>_x0007_'재 료 비  :'  &amp;X00074M&amp; / Q1 =</t>
  </si>
  <si>
    <t>중기   16M</t>
  </si>
  <si>
    <t>_x0007_'경    비  :'  &amp;X00074S&amp; / Q1 =</t>
  </si>
  <si>
    <t>중기   16S</t>
  </si>
  <si>
    <t>_x0007_ '고임돌채집 0.2m3  / m3'</t>
  </si>
  <si>
    <t xml:space="preserve">  고임돌채집 0.2m3  / m3 </t>
  </si>
  <si>
    <t>_x0007_ '작업조건 : 계곡에 산재한 고임돌을 채집'</t>
  </si>
  <si>
    <t xml:space="preserve">  작업조건 : 계곡에 산재한 고임돌을 채집 </t>
  </si>
  <si>
    <t>_x0007_'①기계: 굴삭기 0.2m3 '</t>
  </si>
  <si>
    <t xml:space="preserve"> ①기계: 굴삭기 0.2m3  </t>
  </si>
  <si>
    <t>_x0007_ q'(버킷용량(m3))' = 0.2 , f'(체적환산계수)' = 1/1.125</t>
  </si>
  <si>
    <t xml:space="preserve"> q (버킷용량(m3))  = 0.2 , f (체적환산계수)  = 1/1.125</t>
  </si>
  <si>
    <t>_x0007_ Cm'(사이클 시간(초))' = 20'sec (135˚)', E'(작업효율)' = 0.35</t>
  </si>
  <si>
    <t xml:space="preserve"> Cm (사이클 시간(초))  = 20 sec (135˚) , E (작업효율)  = 0.35</t>
  </si>
  <si>
    <t xml:space="preserve"> Q (시간당작업량)  = 3600*q*K*f*E/Cm = 6.16 m3/hr </t>
  </si>
  <si>
    <t>_x0007_'노 무 비  :'&amp;X00003L&amp; / Q * 2 =</t>
  </si>
  <si>
    <t>_x0007_'재 료 비  :'&amp;X00003M&amp; / Q * 2 =</t>
  </si>
  <si>
    <t>_x0007_'경    비  :'&amp;X00003S&amp; / Q * 2 =</t>
  </si>
  <si>
    <t>_x0007_' 야면석채집 (L3=45Cm내외)'</t>
  </si>
  <si>
    <t xml:space="preserve">  야면석채집 (L3=45Cm내외) </t>
  </si>
  <si>
    <t>_x0007_ '◇작업조건 : '</t>
  </si>
  <si>
    <t xml:space="preserve">  ◇작업조건 :  </t>
  </si>
  <si>
    <t>_x0007_ '계곡에 산재하여 매몰되어 있는 곳에서'</t>
  </si>
  <si>
    <t xml:space="preserve">  계곡에 산재하여 매몰되어 있는 곳에서 </t>
  </si>
  <si>
    <t>_x0007_ '굴삭기(0.7m3) 버켓용량(q)1회 2개 적용'</t>
  </si>
  <si>
    <t xml:space="preserve">  굴삭기(0.7m3) 버켓용량(q)1회 2개 적용 </t>
  </si>
  <si>
    <t>_x0007_'(1) 채집'</t>
  </si>
  <si>
    <t xml:space="preserve"> (1) 채집 </t>
  </si>
  <si>
    <t>_x0007_'① 굴삭기 0.7㎥'</t>
  </si>
  <si>
    <t xml:space="preserve"> ① 굴삭기 0.7㎥ </t>
  </si>
  <si>
    <t>_x0007_ q'(버킷용량)' = 2/11 ='m2' , f'(체적환산계수)' = 1  ,</t>
  </si>
  <si>
    <t xml:space="preserve"> q (버킷용량)  = 2/11 = 0.18 m2  , f (체적환산계수)  = 1  ,</t>
  </si>
  <si>
    <t>_x0007_ Cm'(1회ㅣ 사이클시간(초))' = 20'sec (135˚)', E'(작업효율)' = 0.45</t>
  </si>
  <si>
    <t xml:space="preserve"> Cm (1회ㅣ 사이클시간(초))  = 20 sec (135˚) , E (작업효율)  = 0.45</t>
  </si>
  <si>
    <t>_x0007_ Q'(시간당작업량)' = 3600*q*K*f*E/Cm ='m2/hr'</t>
  </si>
  <si>
    <t xml:space="preserve"> Q (시간당작업량)  = 3600*q*K*f*E/Cm = 8.02 m2/hr </t>
  </si>
  <si>
    <t>_x0007_'노 무 비  :'&amp;X00009L&amp; / Q =</t>
  </si>
  <si>
    <t>_x0007_'재 료 비  :'&amp;X00009M&amp; / Q =</t>
  </si>
  <si>
    <t>_x0007_'경    비  :'&amp;X00009S&amp; / Q =</t>
  </si>
  <si>
    <t>_x0007_'(2) 상차 '</t>
  </si>
  <si>
    <t xml:space="preserve"> (2) 상차  </t>
  </si>
  <si>
    <t>_x0007_ q'(버킷용량)' = 2/11 ='m2' , f'(체적환산계수)' = 1</t>
  </si>
  <si>
    <t xml:space="preserve"> q (버킷용량)  = 2/11 = 0.18 m2  , f (체적환산계수)  = 1</t>
  </si>
  <si>
    <t>_x0007_ K '(버킷계수)'= 0.7</t>
  </si>
  <si>
    <t xml:space="preserve"> K  (버킷계수) = 0.7</t>
  </si>
  <si>
    <t>_x0007_ Cm1'(1회ㅣ 사이클시간(초))' = 20'sec (135˚)'</t>
  </si>
  <si>
    <t xml:space="preserve"> Cm1 (1회ㅣ 사이클시간(초))  = 20 sec (135˚) </t>
  </si>
  <si>
    <t>_x0007_ E1'(작업효율)' = 0.45</t>
  </si>
  <si>
    <t xml:space="preserve"> E1 (작업효율)  = 0.45</t>
  </si>
  <si>
    <t>_x0007_ Q'(시간당작업량)' = 3600*q*K*f*E1/Cm1 ='m2/hr'</t>
  </si>
  <si>
    <t xml:space="preserve"> Q (시간당작업량)  = 3600*q*K*f*E1/Cm1 = 10.21 m2/hr </t>
  </si>
  <si>
    <t>_x0007_'노 무 비  :'&amp;X00009L&amp; / Q  =</t>
  </si>
  <si>
    <t>_x0007_'재 료 비  :'&amp;X00009M&amp; / Q  =</t>
  </si>
  <si>
    <t>_x0007_'경    비  :'&amp;X00009S&amp; / Q  =</t>
  </si>
  <si>
    <t>_x0007_'2-2 운 반 (덤프4.50톤)'</t>
  </si>
  <si>
    <t xml:space="preserve"> 2-2 운 반 (덤프4.50톤) </t>
  </si>
  <si>
    <t>_x0007_q1'(흐트러진상태의 덤프트럭 1회 적재량)'  = 4500 / 910  =</t>
  </si>
  <si>
    <t>q1 (흐트러진상태의 덤프트럭 1회 적재량)   = 4500 / 910  = 4.95</t>
  </si>
  <si>
    <t>_x0007_E'(작업효율)' = 0.9 , f'(체적환산계수)' = 1 , k'(버킷계수)' = 0.7</t>
  </si>
  <si>
    <t>E (작업효율)  = 0.9 , f (체적환산계수)  = 1 , k (버킷계수)  = 0.7</t>
  </si>
  <si>
    <t>_x0007_q2'(흐트러진상태의 덤프트럭 1회 적재량)'  = 2 / 12  = 'm2'</t>
  </si>
  <si>
    <t xml:space="preserve">q2 (흐트러진상태의 덤프트럭 1회 적재량)   = 2 / 12  = 0.17  m2 </t>
  </si>
  <si>
    <t>_x0007_n'(소요되는적재기계의 사이클횟수)' = q1 / (q2 * k) = '회'</t>
  </si>
  <si>
    <t xml:space="preserve">n (소요되는적재기계의 사이클횟수)  = q1 / (q2 * k) = 41.60  회 </t>
  </si>
  <si>
    <t>_x0007_t1'(적재시간)' = Cm1 * n / (60 * E1) ='분'</t>
  </si>
  <si>
    <t xml:space="preserve">t1 (적재시간)  = Cm1 * n / (60 * E1) = 30.81 분 </t>
  </si>
  <si>
    <t>_x0007_t2'(왕복시간)' =(L/10+L/15) * 60 ='분'</t>
  </si>
  <si>
    <t xml:space="preserve">t2 (왕복시간)  =(L/10+L/15) * 60 = 1.00 분 </t>
  </si>
  <si>
    <t>_x0007_t4'(적재장소 도착한 때로부터 적재작업이 시작될 때까지의 시간)' = 0.7'분'</t>
  </si>
  <si>
    <t xml:space="preserve">t4 (적재장소 도착한 때로부터 적재작업이 시작될 때까지의 시간)  = 0.7 분 </t>
  </si>
  <si>
    <t xml:space="preserve">Cm (1회 사이클 시간(분))  = t1 + t2 + t3 + t4 = 33.31 분 </t>
  </si>
  <si>
    <t>_x0007_Q'(시간당 작업량)' = 60 * q1 * f * E / Cm ='m2/hr'</t>
  </si>
  <si>
    <t xml:space="preserve">Q (시간당 작업량)  = 60 * q1 * f * E / Cm = 8.02 m2/hr </t>
  </si>
  <si>
    <t>_x0007_'노 무 비  :'  &amp;X00092L&amp; / Q  =</t>
  </si>
  <si>
    <t>중기   21L</t>
  </si>
  <si>
    <t>X00092_1</t>
  </si>
  <si>
    <t>_x0007_'재 료 비  :'  &amp;X00092M&amp; / Q  =</t>
  </si>
  <si>
    <t>중기   21M</t>
  </si>
  <si>
    <t>_x0007_'경    비  :'  &amp;X00092S&amp; / Q  =</t>
  </si>
  <si>
    <t>중기   21S</t>
  </si>
  <si>
    <t>_x0007_' 터파기  굴삭기0.7m3'</t>
  </si>
  <si>
    <t xml:space="preserve">  터파기  굴삭기0.7m3 </t>
  </si>
  <si>
    <t>_x0007_ '건설표준품셈 3-1-3(터파기),11-3(굴삭기) 적용'</t>
  </si>
  <si>
    <t xml:space="preserve">  건설표준품셈 3-1-3(터파기),11-3(굴삭기) 적용 </t>
  </si>
  <si>
    <t>_x0007_'1) 굴삭기0.7m3 적용'</t>
  </si>
  <si>
    <t xml:space="preserve"> 1) 굴삭기0.7m3 적용 </t>
  </si>
  <si>
    <t>_x0007_q'(버킷용량)' = 0.7 , f'(체적환산계수)' = 1/1.25 =</t>
  </si>
  <si>
    <t>q (버킷용량)  = 0.7 , f (체적환산계수)  = 1/1.25 = 0.80</t>
  </si>
  <si>
    <t>_x0007_K'(버킷계수)' = 0.9</t>
  </si>
  <si>
    <t>K (버킷계수)  = 0.9</t>
  </si>
  <si>
    <t>_x0007_Cm'(1회 사이클 시간(초)' = 20'sec (135˚)'</t>
  </si>
  <si>
    <t xml:space="preserve">Cm (1회 사이클 시간(초)  = 20 sec (135˚) </t>
  </si>
  <si>
    <t>_x0007_E'(작업효율)' = 0.7-0.05 =</t>
  </si>
  <si>
    <t>E (작업효율)  = 0.7-0.05 = 0.65</t>
  </si>
  <si>
    <t>_x0007_Q'(시간당작업량)' = 3600*q*K*f*E/Cm ='m3/hr'</t>
  </si>
  <si>
    <t xml:space="preserve">Q (시간당작업량)  = 3600*q*K*f*E/Cm = 58.97 m3/hr </t>
  </si>
  <si>
    <t>_x0007_'노 무 비  :'&amp;X00005L&amp; / Q  =</t>
  </si>
  <si>
    <t>중기    4L</t>
  </si>
  <si>
    <t>_x0007_'재 료 비  :'&amp;X00005M&amp; / Q  =</t>
  </si>
  <si>
    <t>중기    4M</t>
  </si>
  <si>
    <t>_x0007_'경    비  :'&amp;X00005S&amp; / Q  =</t>
  </si>
  <si>
    <t>중기    4S</t>
  </si>
  <si>
    <t>_x0007_' 야면석 채집 (L3=35Cm내외)'</t>
  </si>
  <si>
    <t xml:space="preserve">  야면석 채집 (L3=35Cm내외) </t>
  </si>
  <si>
    <t>_x0007_ '굴삭기(0.7m3) 버켓용량(q)1회 3개 적용'</t>
  </si>
  <si>
    <t xml:space="preserve">  굴삭기(0.7m3) 버켓용량(q)1회 3개 적용 </t>
  </si>
  <si>
    <t>_x0007_ q'(버킷용량)' = 3/16 ='m2' , f'(체적환산계수)' = 1  ,</t>
  </si>
  <si>
    <t xml:space="preserve"> q (버킷용량)  = 3/16 = 0.19 m2  , f (체적환산계수)  = 1  ,</t>
  </si>
  <si>
    <t xml:space="preserve"> Q (시간당작업량)  = 3600*q*K*f*E/Cm = 8.46 m2/hr </t>
  </si>
  <si>
    <t>_x0007_ q'(버킷용량)' = 3/16 ='m2' , f'(체적환산계수)' = 1</t>
  </si>
  <si>
    <t xml:space="preserve"> q (버킷용량)  = 3/16 = 0.19 m2  , f (체적환산계수)  = 1</t>
  </si>
  <si>
    <t xml:space="preserve"> Q (시간당작업량)  = 3600*q*K*f*E1/Cm1 = 10.77 m2/hr </t>
  </si>
  <si>
    <t>_x0007_q1'(흐트러진상태의 덤프트럭 1회 적재량)'  = 4500 / 710  =</t>
  </si>
  <si>
    <t>q1 (흐트러진상태의 덤프트럭 1회 적재량)   = 4500 / 710  = 6.34</t>
  </si>
  <si>
    <t xml:space="preserve">n (소요되는적재기계의 사이클횟수)  = q1 / (q2 * k) = 53.28  회 </t>
  </si>
  <si>
    <t xml:space="preserve">t1 (적재시간)  = Cm1 * n / (60 * E1) = 39.47 분 </t>
  </si>
  <si>
    <t xml:space="preserve">Cm (1회 사이클 시간(분))  = t1 + t2 + t3 + t4 = 41.97 분 </t>
  </si>
  <si>
    <t xml:space="preserve">Q (시간당 작업량)  = 60 * q1 * f * E / Cm = 8.16 m2/hr </t>
  </si>
  <si>
    <t>_x0007_'1)다짐기(굴삭기 0.7m3)'</t>
  </si>
  <si>
    <t xml:space="preserve"> 1)다짐기(굴삭기 0.7m3) </t>
  </si>
  <si>
    <t>_x0007_ q'(버킷용량)'= 0.7 , f'(체적환산계수)'= 1/1.25 , K'(버킷계수)'= 0.90</t>
  </si>
  <si>
    <t xml:space="preserve"> q (버킷용량) = 0.7 , f (체적환산계수) = 1/1.25 , K (버킷계수) = 0.90</t>
  </si>
  <si>
    <t>_x0007_ Cm'(1회 사이클 시간(초))'= 18'sec (90˚)', E '(작업효율)'= 0.75</t>
  </si>
  <si>
    <t xml:space="preserve"> Cm (1회 사이클 시간(초)) = 18 sec (90˚) , E  (작업효율) = 0.75</t>
  </si>
  <si>
    <t>_x0007_ Q'(시간당 작업량)' = 3600*q*K*f*E/Cm ='m3/hr'</t>
  </si>
  <si>
    <t xml:space="preserve"> Q (시간당 작업량)  = 3600*q*K*f*E/Cm = 75.60 m3/hr </t>
  </si>
  <si>
    <t>_x0007_'노 무 비  :'&amp;X00005L&amp; / Q   =</t>
  </si>
  <si>
    <t>_x0007_'재 료 비  :'&amp;X00005M&amp; / Q   =</t>
  </si>
  <si>
    <t>_x0007_'경    비  :'&amp;X00005S&amp; / Q   =</t>
  </si>
  <si>
    <t>_x0007_(===)</t>
  </si>
  <si>
    <t>합계</t>
  </si>
  <si>
    <t>T3_1</t>
  </si>
  <si>
    <t>_x0007_'건설표준품셈 6-3-3(유로폼 설치 및 해체) 적용'</t>
  </si>
  <si>
    <t xml:space="preserve"> 건설표준품셈 6-3-3(유로폼 설치 및 해체) 적용 </t>
  </si>
  <si>
    <t>_x0007_'설치유형 : 간단'</t>
  </si>
  <si>
    <t xml:space="preserve"> 설치유형 : 간단 </t>
  </si>
  <si>
    <t>_x0007_'1.자재비'</t>
  </si>
  <si>
    <t xml:space="preserve"> 1.자재비 </t>
  </si>
  <si>
    <t>_x0007_'패널(유로폼) :'&amp;M00112&amp; * 0.89 / 10 :=A01</t>
  </si>
  <si>
    <t>자재   16</t>
  </si>
  <si>
    <t>M00112_1</t>
  </si>
  <si>
    <t>_x0007_'내부코너패널(유로폼) :'&amp;M00113&amp; * 0.03 / 10 :=A01</t>
  </si>
  <si>
    <t>자재   17</t>
  </si>
  <si>
    <t>M00113_1</t>
  </si>
  <si>
    <t>_x0007_'부자재(웨지핀, 플랫타이, 강관파이프, 훅) :'&amp;PA01M:M&amp; * 24'%' =</t>
  </si>
  <si>
    <t>PR_1</t>
  </si>
  <si>
    <t>_x0007_'소모자재(박리재 등) :'&amp;PA01M:M&amp; * 5'%' =</t>
  </si>
  <si>
    <t>_x0007_'2.설치 및 해체'</t>
  </si>
  <si>
    <t xml:space="preserve"> 2.설치 및 해체 </t>
  </si>
  <si>
    <t>_x0007_'형틀목공 :'&amp;L00002&amp; * 4 / 40 :=A02</t>
  </si>
  <si>
    <t>L00002_1</t>
  </si>
  <si>
    <t>1_02</t>
  </si>
  <si>
    <t>_x0007_'보통인부 :'&amp;L00017&amp; * 1 / 40 :=A02</t>
  </si>
  <si>
    <t>_x0007_'공구손료 및 경장비 기계경비 :'&amp;PA02L:S&amp; * 3'%' =</t>
  </si>
  <si>
    <t>_x0007_ '건설표준품셈 제7장 돌공사 채움재 적용'</t>
  </si>
  <si>
    <t xml:space="preserve">  건설표준품셈 제7장 돌공사 채움재 적용 </t>
  </si>
  <si>
    <t>_x0007_ '건설표준품셈 7-1-2(찰쌓기) &lt;주3&gt;애 콘크리트 채움을 포함하므로'</t>
  </si>
  <si>
    <t xml:space="preserve">  건설표준품셈 7-1-2(찰쌓기) &lt;주3&gt;애 콘크리트 채움을 포함하므로 </t>
  </si>
  <si>
    <t>_x0007_ '건설표준품셈 6-1-2(현장비빔 및 타설)에서 타설품은 제외하고 비빔만 적용'</t>
  </si>
  <si>
    <t xml:space="preserve">  건설표준품셈 6-1-2(현장비빔 및 타설)에서 타설품은 제외하고 비빔만 적용 </t>
  </si>
  <si>
    <t>_x0007_ '건설표준품셈 6-1-2(현장비빔 및 타설) 기계비빔타설'</t>
  </si>
  <si>
    <t xml:space="preserve">  건설표준품셈 6-1-2(현장비빔 및 타설) 기계비빔타설 </t>
  </si>
  <si>
    <t>_x0007_ '콘크리트공 : 0.15인'</t>
  </si>
  <si>
    <t xml:space="preserve">  콘크리트공 : 0.15인 </t>
  </si>
  <si>
    <t>_x0007_ '보통인부 : 0.46인'</t>
  </si>
  <si>
    <t xml:space="preserve">  보통인부 : 0.46인 </t>
  </si>
  <si>
    <t>_x0007_ '건설표준품셈 6-1-1(레디믹스트콘크리트타설) 인력운반타설'</t>
  </si>
  <si>
    <t xml:space="preserve">  건설표준품셈 6-1-1(레디믹스트콘크리트타설) 인력운반타설 </t>
  </si>
  <si>
    <t>_x0007_ '콘크리트공 : 3.0÷23 = 0.13인'</t>
  </si>
  <si>
    <t xml:space="preserve">  콘크리트공 : 3.0÷23 = 0.13인 </t>
  </si>
  <si>
    <t>_x0007_ '보통인부 : 3.0÷23 = 0.13인'</t>
  </si>
  <si>
    <t xml:space="preserve">  보통인부 : 3.0÷23 = 0.13인 </t>
  </si>
  <si>
    <t>_x0007_ '1.노무비(비빔)'</t>
  </si>
  <si>
    <t xml:space="preserve">  1.노무비(비빔) </t>
  </si>
  <si>
    <t>_x0007_ '콘크리트공 :'&amp;L00007&amp; * (0.15 - 0.13) =</t>
  </si>
  <si>
    <t>_x0007_ '보통인부 :'&amp;L00017&amp; * (0.46 - 0.13) =</t>
  </si>
  <si>
    <t>_x0007_ (=)</t>
  </si>
  <si>
    <t>_x0007_ '2.기계경비'</t>
  </si>
  <si>
    <t xml:space="preserve">  2.기계경비 </t>
  </si>
  <si>
    <t>_x0007_ '콘크리트믹서사용 : '&amp;D00075&amp; * 1.0 =</t>
  </si>
  <si>
    <t>_x0007_ (==)</t>
  </si>
  <si>
    <t>_x0007_'설치유형 : 보통'</t>
  </si>
  <si>
    <t xml:space="preserve"> 설치유형 : 보통 </t>
  </si>
  <si>
    <t>_x0007_'내부코너패널(유로폼) :'&amp;M00939&amp; * 0.03 / 10 :=A01</t>
  </si>
  <si>
    <t>자재   27</t>
  </si>
  <si>
    <t>M00939_1</t>
  </si>
  <si>
    <t>_x0007_'부자재(웨지핀, 플랫타이, 강관파이프, 훅) :'&amp;PA01M:M&amp; * 52'%' =</t>
  </si>
  <si>
    <t>_x0007_'형틀목공 :'&amp;L00002&amp; * 4 / 35 :=A02</t>
  </si>
  <si>
    <t>_x0007_'보통인부 :'&amp;L00017&amp; * 1 / 35 :=A02</t>
  </si>
  <si>
    <t>_x0007_'건설표준품셈 1-6-2(콘크리트포장 표층인력포설) 적용'</t>
  </si>
  <si>
    <t xml:space="preserve"> 건설표준품셈 1-6-2(콘크리트포장 표층인력포설) 적용 </t>
  </si>
  <si>
    <t>_x0007_'설치유형 : B-type'</t>
  </si>
  <si>
    <t xml:space="preserve"> 설치유형 : B-type </t>
  </si>
  <si>
    <t>_x0007_'포장공 :'&amp;L00034&amp; * 4 / (50 / 0.20) :=A01</t>
  </si>
  <si>
    <t>L00034_1</t>
  </si>
  <si>
    <t>_x0007_'보통인부 :'&amp;L00017&amp; * 2 / (50 / 0.20) :=A01</t>
  </si>
  <si>
    <t>_x0007_'손료계산 :'&amp;PA01L:S&amp; * 3'%' =</t>
  </si>
  <si>
    <t>_x0007_'건설표준품셈 6-2(철근) 적용'</t>
  </si>
  <si>
    <t xml:space="preserve"> 건설표준품셈 6-2(철근) 적용 </t>
  </si>
  <si>
    <t>_x0007_'설치유형 : Type-Ⅱ-2'</t>
  </si>
  <si>
    <t xml:space="preserve"> 설치유형 : Type-Ⅱ-2 </t>
  </si>
  <si>
    <t>_x0007_'작업유형 : 현장가공 및 현장조립'</t>
  </si>
  <si>
    <t xml:space="preserve"> 작업유형 : 현장가공 및 현장조립 </t>
  </si>
  <si>
    <t>_x0007_'1.현장가공'</t>
  </si>
  <si>
    <t xml:space="preserve"> 1.현장가공 </t>
  </si>
  <si>
    <t>_x0007_'철근공 :'&amp;L00033&amp; * 3 / 4.0 :=A01</t>
  </si>
  <si>
    <t>L00033_1</t>
  </si>
  <si>
    <t>_x0007_'보통인부 :'&amp;L00017&amp; * 1 / 4.0 :=A01</t>
  </si>
  <si>
    <t>_x0007_'공구손료 및 경장비(철근가공기 등) :'&amp;PA01L:S&amp; * 9'%' =</t>
  </si>
  <si>
    <t>_x0007_'2.현장조립'</t>
  </si>
  <si>
    <t xml:space="preserve"> 2.현장조립 </t>
  </si>
  <si>
    <t>_x0007_'철근공 :'&amp;L00033&amp; * 2 / 1.0 :=A02</t>
  </si>
  <si>
    <t>_x0007_'보통인부 :'&amp;L00017&amp; * 1 / 1.0 :=A02</t>
  </si>
  <si>
    <t>_x0007_'공구손료 및 경장비 :'&amp;PA02L:S&amp; * 2'%' =</t>
  </si>
  <si>
    <t>_x0007_'3.소모재료'</t>
  </si>
  <si>
    <t xml:space="preserve"> 3.소모재료 </t>
  </si>
  <si>
    <t>_x0007_'결속선(철선) :'&amp;M00943&amp; * 8.0 =</t>
  </si>
  <si>
    <t>자재   29</t>
  </si>
  <si>
    <t>M00943_1</t>
  </si>
  <si>
    <t>_x0007_'※ 건설표준품셈(공통) : 6-1-1 무근(장비사용타설) 적용'</t>
  </si>
  <si>
    <t xml:space="preserve"> ※ 건설표준품셈(공통) : 6-1-1 무근(장비사용타설) 적용 </t>
  </si>
  <si>
    <t>_x0007_'□ 일 시공량 :' Q =  63'm3/일 '</t>
  </si>
  <si>
    <t xml:space="preserve"> □ 일 시공량 :  Q =  63 m3/일  </t>
  </si>
  <si>
    <t>_x0007_'1. 인부임'</t>
  </si>
  <si>
    <t xml:space="preserve"> 1. 인부임 </t>
  </si>
  <si>
    <t>_x0007_'○콘크리트공:'&amp;L00007L&amp; * 3.0'인'/ Q :=A01 '원/m3'</t>
  </si>
  <si>
    <t>노무    4L</t>
  </si>
  <si>
    <t>_x0007_'○보통인부 :'&amp;L00017L&amp; * 1.0'인' / Q :=A01 '원/m3'</t>
  </si>
  <si>
    <t>노무    6L</t>
  </si>
  <si>
    <t>_x0007_'2. 공구손료 및 경장비(콘크리트 진동기등)의 기계경비(노무비의 2%)'</t>
  </si>
  <si>
    <t xml:space="preserve"> 2. 공구손료 및 경장비(콘크리트 진동기등)의 기계경비(노무비의 2%) </t>
  </si>
  <si>
    <t>_x0007_ '공구손료 :' &amp;PA01:S&amp; * 2'%'=</t>
  </si>
  <si>
    <t>_x0007_'3. 굴삭기 (0.7m3)'</t>
  </si>
  <si>
    <t xml:space="preserve"> 3. 굴삭기 (0.7m3) </t>
  </si>
  <si>
    <t>_x0007_'□ 시간당 시공량 :' Q =  63'm3/일r'</t>
  </si>
  <si>
    <t xml:space="preserve"> □ 시간당 시공량 :  Q =  63 m3/일r </t>
  </si>
  <si>
    <t>_x0007_'노 무 비 : '&amp;X00005L&amp; * 8 / Q =</t>
  </si>
  <si>
    <t>_x0007_'재 료 비 : '&amp;X00005M&amp; * 8 / Q =</t>
  </si>
  <si>
    <t>_x0007_'경    비 : '&amp;X00005S&amp; * 8 / Q =</t>
  </si>
  <si>
    <t>_x0007_'토사절취  굴삭기 0.7m3'</t>
  </si>
  <si>
    <t xml:space="preserve"> 토사절취  굴삭기 0.7m3 </t>
  </si>
  <si>
    <t>_x0007_ '건설품셈  11-3 굴삭기적용'</t>
  </si>
  <si>
    <t xml:space="preserve">  건설품셈  11-3 굴삭기적용 </t>
  </si>
  <si>
    <t>_x0007_ q'(버킷용량(m3))' = 0.7 , f'(체적환산계수)' = 1/1.25 =</t>
  </si>
  <si>
    <t xml:space="preserve"> q (버킷용량(m3))  = 0.7 , f (체적환산계수)  = 1/1.25 = 0.80</t>
  </si>
  <si>
    <t>_x0007_ K'(버킷계수)' = 0.9</t>
  </si>
  <si>
    <t xml:space="preserve"> K (버킷계수)  = 0.9</t>
  </si>
  <si>
    <t>_x0007_ Cm'(사이클 시간(초))' = 20'sec (135˚)', E'(작업효율)' = 0.55</t>
  </si>
  <si>
    <t xml:space="preserve"> Cm (사이클 시간(초))  = 20 sec (135˚) , E (작업효율)  = 0.55</t>
  </si>
  <si>
    <t xml:space="preserve"> Q (시간당작업량)  = 3600*q*K*f*E/Cm = 49.90 m3/hr </t>
  </si>
  <si>
    <t>_x0007_'노 무 비  :'&amp;X00005L&amp; / Q =</t>
  </si>
  <si>
    <t>_x0007_'재 료 비  :'&amp;X00005M&amp; / Q =</t>
  </si>
  <si>
    <t>_x0007_'경    비  :'&amp;X00005S&amp; / Q =</t>
  </si>
  <si>
    <t>_x0007_'(1) 암 절 취(대형브레이카+굴삭기 0.7m3)'</t>
  </si>
  <si>
    <t xml:space="preserve"> (1) 암 절 취(대형브레이카+굴삭기 0.7m3) </t>
  </si>
  <si>
    <t>_x0007_ '건설표준품셈 11-3(굴삭기) , 11-18(대형 브레이카) 적용'</t>
  </si>
  <si>
    <t xml:space="preserve">  건설표준품셈 11-3(굴삭기) , 11-18(대형 브레이카) 적용 </t>
  </si>
  <si>
    <t>_x0007_'연암 '</t>
  </si>
  <si>
    <t xml:space="preserve"> 연암  </t>
  </si>
  <si>
    <t>_x0007_Q'(시간당작업량)'=5.0= '㎥/hr'</t>
  </si>
  <si>
    <t xml:space="preserve">Q (시간당작업량) =5.0= 5.00  ㎥/hr </t>
  </si>
  <si>
    <t>_x0007_'노 무 비  :'  &amp;X00014L&amp; / Q =</t>
  </si>
  <si>
    <t>중기    7L</t>
  </si>
  <si>
    <t>X00014_1</t>
  </si>
  <si>
    <t>_x0007_'재 료 비  :'  &amp;X00014M&amp; / Q =</t>
  </si>
  <si>
    <t>중기    7M</t>
  </si>
  <si>
    <t>_x0007_'경    비  :'  &amp;X00014S&amp; / Q =</t>
  </si>
  <si>
    <t>중기    7S</t>
  </si>
  <si>
    <t xml:space="preserve">_x0007_             </t>
  </si>
  <si>
    <t>_x0007_'(2) 치즐 손료 '</t>
  </si>
  <si>
    <t xml:space="preserve"> (2) 치즐 손료  </t>
  </si>
  <si>
    <t>_x0007_   0.006 * &amp;M00292&amp;/ Q='W/㎥'</t>
  </si>
  <si>
    <t>자재   20</t>
  </si>
  <si>
    <t>M00292_1</t>
  </si>
  <si>
    <t>_x0007_'(3) 집적 (굴삭기 0.7 ㎥) 50%적용  '</t>
  </si>
  <si>
    <t xml:space="preserve"> (3) 집적 (굴삭기 0.7 ㎥) 50%적용   </t>
  </si>
  <si>
    <t>_x0007_ q'(버킷용량)' = 0.7 , k'(버킷계수)' = 0.55 ,  E'(작업효율)' = 0.45</t>
  </si>
  <si>
    <t xml:space="preserve"> q (버킷용량)  = 0.7 , k (버킷계수)  = 0.55 ,  E (작업효율)  = 0.45</t>
  </si>
  <si>
    <t>_x0007_ f'(체적환산계수)' = 1 / 1.40  =</t>
  </si>
  <si>
    <t xml:space="preserve"> f (체적환산계수)  = 1 / 1.40  = 0.71</t>
  </si>
  <si>
    <t>_x0007_ Cm'(1회 사이클 시간(초))' = 20 '(135°)'</t>
  </si>
  <si>
    <t xml:space="preserve"> Cm (1회 사이클 시간(초))  = 20  (135°) </t>
  </si>
  <si>
    <t>_x0007_ Q1'(시간당 작업량)' = 3600*q*k*f*E/Cm ='㎥/hr'</t>
  </si>
  <si>
    <t xml:space="preserve"> Q1 (시간당 작업량)  = 3600*q*k*f*E/Cm = 22.14 ㎥/hr </t>
  </si>
  <si>
    <t>_x0007_'노 무 비  :'  &amp;X00009L&amp; / Q1  / 2  =</t>
  </si>
  <si>
    <t>_x0007_'재 료 비  :'  &amp;X00009M&amp; / Q1  / 2 =</t>
  </si>
  <si>
    <t>_x0007_'경    비  :'  &amp;X00009S&amp; / Q1  / 2 =</t>
  </si>
  <si>
    <t>_x0007_ '크로울러드릴'</t>
  </si>
  <si>
    <t xml:space="preserve">  크로울러드릴 </t>
  </si>
  <si>
    <t>_x0007_'1. 재료비'</t>
  </si>
  <si>
    <t xml:space="preserve"> 1. 재료비 </t>
  </si>
  <si>
    <t>_x0007_  '폭약' 0.31'Kg'* &amp;M00034M&amp; =</t>
  </si>
  <si>
    <t>자재    7M</t>
  </si>
  <si>
    <t>M00034_1</t>
  </si>
  <si>
    <t>_x0007_  '뇌 관(3.5m)' 0.04'개'  * &amp;M00018M&amp; =</t>
  </si>
  <si>
    <t>자재    6M</t>
  </si>
  <si>
    <t>M00018_1</t>
  </si>
  <si>
    <t>_x0007_  (=)</t>
  </si>
  <si>
    <t>_x0007_  '잡재료비(바라선,전색재료등)(재료비의 5%)'</t>
  </si>
  <si>
    <t xml:space="preserve">   잡재료비(바라선,전색재료등)(재료비의 5%) </t>
  </si>
  <si>
    <t>_x0007_    &amp;M00580M&amp; * 5'%' =</t>
  </si>
  <si>
    <t>자재   21M</t>
  </si>
  <si>
    <t>M00580_1</t>
  </si>
  <si>
    <t>_x0007_  (==)</t>
  </si>
  <si>
    <t>_x0007_'2. 노무비'</t>
  </si>
  <si>
    <t xml:space="preserve"> 2. 노무비 </t>
  </si>
  <si>
    <t>_x0007_  '화약취급공 :'  &amp;L00010L&amp; *  0.004 '인' =</t>
  </si>
  <si>
    <t>노무    5L</t>
  </si>
  <si>
    <t>L00010_1</t>
  </si>
  <si>
    <t xml:space="preserve">_x0007_  </t>
  </si>
  <si>
    <t>_x0007_  '보통인부 :'  &amp;L00017L&amp; *  0.006 '인' =</t>
  </si>
  <si>
    <t>_x0007_'3.크로울러드릴(탑승유압식)(110kw)'</t>
  </si>
  <si>
    <t xml:space="preserve"> 3.크로울러드릴(탑승유압식)(110kw) </t>
  </si>
  <si>
    <t>_x0007_ 'Q = 0.014 Hr/㎥'</t>
  </si>
  <si>
    <t xml:space="preserve">  Q = 0.014 Hr/㎥ </t>
  </si>
  <si>
    <t>_x0007_'노 무 비 :'&amp;X00055L&amp; * 0.014 :=A01</t>
  </si>
  <si>
    <t>중기   15L</t>
  </si>
  <si>
    <t>X00055_1</t>
  </si>
  <si>
    <t>_x0007_'재 료 비 :'&amp;X00055M&amp; * 0.014 :=A02</t>
  </si>
  <si>
    <t>중기   15M</t>
  </si>
  <si>
    <t>_x0007_'경    비 :'&amp;X00055S&amp; * 0.014 :=A03</t>
  </si>
  <si>
    <t>중기   15S</t>
  </si>
  <si>
    <t>1_03</t>
  </si>
  <si>
    <t>_x0007_'크로울러드릴의 소모자재(비트,로드,생크로드,슬리브)- 기계경비의 24%'</t>
  </si>
  <si>
    <t xml:space="preserve"> 크로울러드릴의 소모자재(비트,로드,생크로드,슬리브)- 기계경비의 24% </t>
  </si>
  <si>
    <t>_x0007_ &amp;PA010203:S&amp; * 24'%' =</t>
  </si>
  <si>
    <t>_x0007_'4. 굴삭기(1.0m3)'</t>
  </si>
  <si>
    <t xml:space="preserve"> 4. 굴삭기(1.0m3) </t>
  </si>
  <si>
    <t>_x0007_'Q = 0.008 Hr/㎥'</t>
  </si>
  <si>
    <t xml:space="preserve"> Q = 0.008 Hr/㎥ </t>
  </si>
  <si>
    <t>_x0007_'노 무 비  :'&amp;X00006L&amp;  * 0.008 =</t>
  </si>
  <si>
    <t>중기    5L</t>
  </si>
  <si>
    <t>X00006_1</t>
  </si>
  <si>
    <t>_x0007_'재 료 비  :'&amp;X00006M&amp;  * 0.008 =</t>
  </si>
  <si>
    <t>중기    5M</t>
  </si>
  <si>
    <t>_x0007_'경    비  :'&amp;X00006S&amp;  * 0.008 =</t>
  </si>
  <si>
    <t>중기    5S</t>
  </si>
  <si>
    <t>_x0007_'5. 집적: 굴삭기(1.0m3) 50% 적용'</t>
  </si>
  <si>
    <t xml:space="preserve"> 5. 집적: 굴삭기(1.0m3) 50% 적용 </t>
  </si>
  <si>
    <t>_x0007_ q'(버킷용량)' = 1.0 , k'(버킷계수)' = 0.55 ,  E'(작업효율)' = 0.45</t>
  </si>
  <si>
    <t xml:space="preserve"> q (버킷용량)  = 1.0 , k (버킷계수)  = 0.55 ,  E (작업효율)  = 0.45</t>
  </si>
  <si>
    <t>_x0007_ f'(체적환산계수)' = 1.15 / 1.85  =</t>
  </si>
  <si>
    <t xml:space="preserve"> f (체적환산계수)  = 1.15 / 1.85  = 0.62</t>
  </si>
  <si>
    <t xml:space="preserve"> Q1 (시간당 작업량)  = 3600*q*k*f*E/Cm = 27.62 ㎥/hr </t>
  </si>
  <si>
    <t>_x0007_'노 무 비  :'  &amp;X00101L&amp; / Q1  / 2  =</t>
  </si>
  <si>
    <t>중기   23L</t>
  </si>
  <si>
    <t>X00101_1</t>
  </si>
  <si>
    <t>_x0007_'재 료 비  :'  &amp;X00101M&amp; / Q1  / 2 =</t>
  </si>
  <si>
    <t>중기   23M</t>
  </si>
  <si>
    <t>_x0007_'경    비  :'  &amp;X00101S&amp; / Q1  / 2 =</t>
  </si>
  <si>
    <t>중기   23S</t>
  </si>
  <si>
    <t xml:space="preserve"> 1) 터 파 기(백호우0.7 m3+대형브레이카) </t>
  </si>
  <si>
    <t>_x0007_Q'(시간당작업량)' =  3.5 '㎥/hr'</t>
  </si>
  <si>
    <t xml:space="preserve">Q (시간당작업량)  =  3.5  ㎥/hr </t>
  </si>
  <si>
    <t>_x0007_'2) 치즐 손료 '</t>
  </si>
  <si>
    <t xml:space="preserve"> 2) 치즐 손료  </t>
  </si>
  <si>
    <t>_x0007_ S = 0.006</t>
  </si>
  <si>
    <t xml:space="preserve"> S = 0.006</t>
  </si>
  <si>
    <t>_x0007_     S * &amp;M00292&amp; / Q = 'W/㎥'</t>
  </si>
  <si>
    <t>_x0007_'(3) 집적 (굴삭기 0.7 ㎥)  '</t>
  </si>
  <si>
    <t xml:space="preserve"> (3) 집적 (굴삭기 0.7 ㎥)   </t>
  </si>
  <si>
    <t>_x0007_ q = 0.7 , k = 0.55 ,  E = 0.45</t>
  </si>
  <si>
    <t xml:space="preserve"> q = 0.7 , k = 0.55 ,  E = 0.45</t>
  </si>
  <si>
    <t>_x0007_ f = 1 / 1.40  =</t>
  </si>
  <si>
    <t xml:space="preserve"> f = 1 / 1.40  = 0.71</t>
  </si>
  <si>
    <t>_x0007_ Cm = 20 '(125°)'</t>
  </si>
  <si>
    <t xml:space="preserve"> Cm = 20  (125°) </t>
  </si>
  <si>
    <t>_x0007_ Q1 = 3600*q*k*f*E/Cm ='㎥/hr'</t>
  </si>
  <si>
    <t xml:space="preserve"> Q1 = 3600*q*k*f*E/Cm = 22.14 ㎥/hr </t>
  </si>
  <si>
    <t>_x0007_'노 무 비  :'  &amp;X00009L&amp; / Q1  =</t>
  </si>
  <si>
    <t>_x0007_'재 료 비  :'  &amp;X00009M&amp; / Q1  =</t>
  </si>
  <si>
    <t>_x0007_'경    비  :'  &amp;X00009S&amp; / Q1  =</t>
  </si>
  <si>
    <t>_x0007_'구조물 되메우기 굴삭기0.7m3'</t>
  </si>
  <si>
    <t xml:space="preserve"> 구조물 되메우기 굴삭기0.7m3 </t>
  </si>
  <si>
    <t>_x0007_'건설표준품셈 3-1-3(터파기) &lt;주&gt;⑥ 11-3(굴삭기) 적용'</t>
  </si>
  <si>
    <t xml:space="preserve"> 건설표준품셈 3-1-3(터파기) &lt;주&gt;⑥ 11-3(굴삭기) 적용 </t>
  </si>
  <si>
    <t>_x0007_'되메우기 '</t>
  </si>
  <si>
    <t xml:space="preserve"> 되메우기  </t>
  </si>
  <si>
    <t>_x0007_'1)기 계 ( 굴삭기 0.7 m3 )'</t>
  </si>
  <si>
    <t xml:space="preserve"> 1)기 계 ( 굴삭기 0.7 m3 ) </t>
  </si>
  <si>
    <t>_x0007_ q'(버킷용량)' = 0.7 , f'(체적환산계수)' = 1/1.25 =</t>
  </si>
  <si>
    <t xml:space="preserve"> q (버킷용량)  = 0.7 , f (체적환산계수)  = 1/1.25 = 0.80</t>
  </si>
  <si>
    <t>_x0007_ Cm'(1회 사이클 시간(초))' = 20'sec(135˚)'</t>
  </si>
  <si>
    <t xml:space="preserve"> Cm (1회 사이클 시간(초))  = 20 sec(135˚) </t>
  </si>
  <si>
    <t>_x0007_ E '(작업효율)'=0.75</t>
  </si>
  <si>
    <t xml:space="preserve"> E  (작업효율) =0.75</t>
  </si>
  <si>
    <t xml:space="preserve"> Q (시간당작업량)  = 3600*q*K*f*E/Cm = 68.04 m3/hr </t>
  </si>
  <si>
    <t>_x0007_'굴삭기 0.4 m3'</t>
  </si>
  <si>
    <t xml:space="preserve"> 굴삭기 0.4 m3 </t>
  </si>
  <si>
    <t>_x0007_q = 0.4 , f = 1/1.25 = , K = 0.9</t>
  </si>
  <si>
    <t>q = 0.4 , f = 1/1.25 = 0.80 , K = 0.9</t>
  </si>
  <si>
    <t>_x0007_Cm = 18'sec (135˚)', E = 0.7-0.05 =</t>
  </si>
  <si>
    <t>Cm = 18 sec (135˚) , E = 0.7-0.05 = 0.65</t>
  </si>
  <si>
    <t>_x0007_Q = 3600*q*K*f*E/Cm ='m3/hr'</t>
  </si>
  <si>
    <t xml:space="preserve">Q = 3600*q*K*f*E/Cm = 37.44 m3/hr </t>
  </si>
  <si>
    <t>_x0007_'노 무 비  :'&amp;X00004L&amp; / Q  =</t>
  </si>
  <si>
    <t>중기    3L</t>
  </si>
  <si>
    <t>X00004_1</t>
  </si>
  <si>
    <t>_x0007_'재 료 비  :'&amp;X00004M&amp; / Q  =</t>
  </si>
  <si>
    <t>중기    3M</t>
  </si>
  <si>
    <t>_x0007_'경    비  :'&amp;X00004S&amp; / Q  =</t>
  </si>
  <si>
    <t>중기    3S</t>
  </si>
  <si>
    <t>_x0007_ '측구파기 연암 '</t>
  </si>
  <si>
    <t xml:space="preserve">  측구파기 연암  </t>
  </si>
  <si>
    <t>_x0007_'1) 터 파 기(굴삭기0.7 m3+대형브레이카)'</t>
  </si>
  <si>
    <t xml:space="preserve"> 1) 터 파 기(굴삭기0.7 m3+대형브레이카) </t>
  </si>
  <si>
    <t>_x0007_Q = 3.5 '㎥/hr'</t>
  </si>
  <si>
    <t xml:space="preserve">Q = 3.5  ㎥/hr </t>
  </si>
  <si>
    <t>_x0007_     S*&amp;M00292&amp;/ Q ='W/㎥'</t>
  </si>
  <si>
    <t>_x0007_ Cm = 20 '(135°)'</t>
  </si>
  <si>
    <t xml:space="preserve"> Cm = 20  (135°) </t>
  </si>
  <si>
    <t>_x0007_'유용토운반 무대 / m3'</t>
  </si>
  <si>
    <t xml:space="preserve"> 유용토운반 무대 / m3 </t>
  </si>
  <si>
    <t>_x0007_ '건설표준품셈 11-1 불도저 적용'</t>
  </si>
  <si>
    <t xml:space="preserve">  건설표준품셈 11-1 불도저 적용 </t>
  </si>
  <si>
    <t>_x0007_'  도자 19 Ton '  '('L1=43.66'm)'</t>
  </si>
  <si>
    <t xml:space="preserve">   도자 19 Ton     ( L1=43.66 m) </t>
  </si>
  <si>
    <t>_x0007_ L'(운반거리)'= L1-20='m'</t>
  </si>
  <si>
    <t xml:space="preserve"> L (운반거리) = L1-20= 23.66 m </t>
  </si>
  <si>
    <t>_x0007_ f'(토량의 체적 환산계수)' = 0.90/1.25 =</t>
  </si>
  <si>
    <t xml:space="preserve"> f (토량의 체적 환산계수)  = 0.90/1.25 = 0.72</t>
  </si>
  <si>
    <t>_x0007_ E'(작업효율)'= 0.45 , qo'(거리를 고려하지 않은 삽날의 용량)'= 3.2</t>
  </si>
  <si>
    <t xml:space="preserve"> E (작업효율) = 0.45 , qo (거리를 고려하지 않은 삽날의 용량) = 3.2</t>
  </si>
  <si>
    <t>_x0007_ eo'(운반거리계수)'= 0.92</t>
  </si>
  <si>
    <t xml:space="preserve"> eo (운반거리계수) = 0.92</t>
  </si>
  <si>
    <t>_x0007_'▷eo값 : 운반거리10m이하=1.0, 20m=0.96'</t>
  </si>
  <si>
    <t xml:space="preserve"> ▷eo값 : 운반거리10m이하=1.0, 20m=0.96 </t>
  </si>
  <si>
    <t>_x0007_           '30m=0.92, 40m=0.88'</t>
  </si>
  <si>
    <t xml:space="preserve">            30m=0.92, 40m=0.88 </t>
  </si>
  <si>
    <t>_x0007_ P=qo*eo=</t>
  </si>
  <si>
    <t xml:space="preserve"> P=qo*eo= 2.94</t>
  </si>
  <si>
    <t>_x0007_ V1'(전진속도)'= 55'm/min' , V2'(후진속도)'= 70'm/min'</t>
  </si>
  <si>
    <t xml:space="preserve"> V1 (전진속도) = 55 m/min  , V2 (후진속도) = 70 m/min </t>
  </si>
  <si>
    <t>_x0007_ Cm'(1회 사이클 시간(분))'= L/V1 + L/V2 + 0.25 ='분'</t>
  </si>
  <si>
    <t xml:space="preserve"> Cm (1회 사이클 시간(분)) = L/V1 + L/V2 + 0.25 = 1.02 분 </t>
  </si>
  <si>
    <t>_x0007_ Q' (시간당 작업량)'= 60 * P * f * E / Cm ='m3/hr'</t>
  </si>
  <si>
    <t xml:space="preserve"> Q  (시간당 작업량) = 60 * P * f * E / Cm = 56.03 m3/hr </t>
  </si>
  <si>
    <t>_x0007_'노 무 비  :'  &amp;X00001L&amp; / Q =</t>
  </si>
  <si>
    <t>중기    1L</t>
  </si>
  <si>
    <t>X00001_1</t>
  </si>
  <si>
    <t>_x0007_'재 료 비  :'  &amp;X00001M&amp; / Q =</t>
  </si>
  <si>
    <t>중기    1M</t>
  </si>
  <si>
    <t>_x0007_'경    비  :'  &amp;X00001S&amp; / Q =</t>
  </si>
  <si>
    <t>중기    1S</t>
  </si>
  <si>
    <t>_x0007_'건설표준품셈 11-1 불도저 적용 '</t>
  </si>
  <si>
    <t xml:space="preserve"> 건설표준품셈 11-1 불도저 적용  </t>
  </si>
  <si>
    <t>_x0007_'  도자 19 Ton '  '('L1 = 39.07'm)'</t>
  </si>
  <si>
    <t xml:space="preserve">   도자 19 Ton     ( L1 = 39.07 m) </t>
  </si>
  <si>
    <t xml:space="preserve"> L (운반거리) = L1-20= 19.07 m </t>
  </si>
  <si>
    <t>_x0007_ f'(토량의 체적 환산계수)'= 1.15/1.40 =</t>
  </si>
  <si>
    <t xml:space="preserve"> f (토량의 체적 환산계수) = 1.15/1.40 = 0.82</t>
  </si>
  <si>
    <t>_x0007_ E'(작업효율)'= 0.35 , qo'(거리를 고려하지 않은 삽날의 용량)'= 3.2</t>
  </si>
  <si>
    <t xml:space="preserve"> E (작업효율) = 0.35 , qo (거리를 고려하지 않은 삽날의 용량) = 3.2</t>
  </si>
  <si>
    <t>_x0007_ V1'(전진속도)'= 55'm/min' , V2'(후진속도)' = 70'm/min'</t>
  </si>
  <si>
    <t xml:space="preserve"> V1 (전진속도) = 55 m/min  , V2 (후진속도)  = 70 m/min </t>
  </si>
  <si>
    <t>_x0007_ Cm'(1회 사이클 시간(분))' = L/V1 + L/V2 + 0.25 ='분'</t>
  </si>
  <si>
    <t xml:space="preserve"> Cm (1회 사이클 시간(분))  = L/V1 + L/V2 + 0.25 = 0.87 분 </t>
  </si>
  <si>
    <t>_x0007_ Q '(시간당 작업량)'= 60 * P * f * E / Cm ='m3/hr'</t>
  </si>
  <si>
    <t xml:space="preserve"> Q  (시간당 작업량) = 60 * P * f * E / Cm = 58.19 m3/hr </t>
  </si>
  <si>
    <t>_x0007_'노 무 비  :'  &amp;X00084L&amp; / Q =</t>
  </si>
  <si>
    <t>중기   17L</t>
  </si>
  <si>
    <t>X00084_1</t>
  </si>
  <si>
    <t>_x0007_'재 료 비  :'  &amp;X00084M&amp; / Q =</t>
  </si>
  <si>
    <t>중기   17M</t>
  </si>
  <si>
    <t>_x0007_'경    비  :'  &amp;X00084S&amp; / Q =</t>
  </si>
  <si>
    <t>중기   17S</t>
  </si>
  <si>
    <t>_x0007_'건설표준품셈  11-3(굴삭기), 11-9(덤프트럭) 적용'</t>
  </si>
  <si>
    <t xml:space="preserve"> 건설표준품셈  11-3(굴삭기), 11-9(덤프트럭) 적용 </t>
  </si>
  <si>
    <t>_x0007_'유용토운반 덤프+굴삭기'</t>
  </si>
  <si>
    <t xml:space="preserve"> 유용토운반 덤프+굴삭기 </t>
  </si>
  <si>
    <t>_x0007_'운반거리: ' L = 0.293'm'</t>
  </si>
  <si>
    <t xml:space="preserve"> 운반거리:   L = 0.293 m </t>
  </si>
  <si>
    <t>_x0007_'1) 적상 (굴삭기 0.70 m3 )   '</t>
  </si>
  <si>
    <t xml:space="preserve"> 1) 적상 (굴삭기 0.70 m3 )    </t>
  </si>
  <si>
    <t>_x0007_q'(버킷용량)'= 0.7 , k'(버킷계수)'= 0.7</t>
  </si>
  <si>
    <t>q (버킷용량) = 0.7 , k (버킷계수) = 0.7</t>
  </si>
  <si>
    <t>_x0007_f'(토량의체적환산계수)'= 0.90/1.25 =</t>
  </si>
  <si>
    <t>f (토량의체적환산계수) = 0.90/1.25 = 0.72</t>
  </si>
  <si>
    <t>_x0007_E'(작업효율)'= 0.5 , Cm'(1회 사이클 시간(초))' = 20 'sec(135)'</t>
  </si>
  <si>
    <t xml:space="preserve">E (작업효율) = 0.5 , Cm (1회 사이클 시간(초))  = 20  sec(135) </t>
  </si>
  <si>
    <t>_x0007_Q'(시간당 작업량)' = 3600*q*k*E*f/Cm ='m3/hr'</t>
  </si>
  <si>
    <t xml:space="preserve">Q (시간당 작업량)  = 3600*q*k*E*f/Cm = 31.75 m3/hr </t>
  </si>
  <si>
    <t>_x0007_'노 무 비  :'  &amp;X00005L&amp; / Q  =</t>
  </si>
  <si>
    <t>_x0007_'재 료 비  :'  &amp;X00005M&amp; / Q  =</t>
  </si>
  <si>
    <t>_x0007_'경    비  :'  &amp;X00005S&amp; / Q  =</t>
  </si>
  <si>
    <t>_x0007_'2) 운반 : 15톤 비교적용'</t>
  </si>
  <si>
    <t xml:space="preserve"> 2) 운반 : 15톤 비교적용 </t>
  </si>
  <si>
    <t>_x0007_'ⓐ(덤프 15 Ton) '</t>
  </si>
  <si>
    <t xml:space="preserve"> ⓐ(덤프 15 Ton)  </t>
  </si>
  <si>
    <t>_x0007_ k'(버킷계수)'= 0.7 , E'(작업효율)'= 0.9</t>
  </si>
  <si>
    <t xml:space="preserve"> k (버킷계수) = 0.7 , E (작업효율) = 0.9</t>
  </si>
  <si>
    <t>_x0007_ F'(체적환산계수)'= 0.90/1.30 =</t>
  </si>
  <si>
    <t xml:space="preserve"> F (체적환산계수) = 0.90/1.30 = 0.69</t>
  </si>
  <si>
    <t>_x0007_ q1'(흐트러진 상태의 덤프트럭 1회 적재량)'= (15/1.7) * 1.425 =</t>
  </si>
  <si>
    <t xml:space="preserve"> q1 (흐트러진 상태의 덤프트럭 1회 적재량) = (15/1.7) * 1.425 = 12.57</t>
  </si>
  <si>
    <t>_x0007_ n'(덤프트럭1대의 토량을 적재하는데 소요되는적재기계의 사이클횟수)'</t>
  </si>
  <si>
    <t>_x0007_ n = q1 / (0.70 * k) = '회'</t>
  </si>
  <si>
    <t xml:space="preserve"> n = q1 / (0.70 * k) = 25.65  회 </t>
  </si>
  <si>
    <t>_x0007_ t1'(적재시간)'= 20 * n / (60 * 0.5) ='분'</t>
  </si>
  <si>
    <t xml:space="preserve"> t1 (적재시간) = 20 * n / (60 * 0.5) = 17.10 분 </t>
  </si>
  <si>
    <t>_x0007_ t2'(왕복시간)'= (L/7+L/8)* 60 ='분'</t>
  </si>
  <si>
    <t xml:space="preserve"> t2 (왕복시간) = (L/7+L/8)* 60 = 4.71 분 </t>
  </si>
  <si>
    <t>_x0007_ t3'(적하시간)'= 1.1</t>
  </si>
  <si>
    <t xml:space="preserve"> t3 (적하시간) = 1.1</t>
  </si>
  <si>
    <t>_x0007_ t4'(적재작업이 시작될 때까지의 시간)'= 0.7</t>
  </si>
  <si>
    <t xml:space="preserve"> t4 (적재작업이 시작될 때까지의 시간) = 0.7</t>
  </si>
  <si>
    <t>_x0007_ Cm'(1회 사이클 시간(분))'= t1 + t2 + t3 + t4  =</t>
  </si>
  <si>
    <t xml:space="preserve"> Cm (1회 사이클 시간(분)) = t1 + t2 + t3 + t4  = 23.61</t>
  </si>
  <si>
    <t>_x0007_ OH'(상차 10분 초과 시 운반기계의 유류보정)'= (cm-t1)/Cm =</t>
  </si>
  <si>
    <t xml:space="preserve"> OH (상차 10분 초과 시 운반기계의 유류보정) = (cm-t1)/Cm = 0.28</t>
  </si>
  <si>
    <t>_x0007_ Q1'(시간당 작업량)'= 60 * q1 * F * E / Cm ='m3/hr'</t>
  </si>
  <si>
    <t xml:space="preserve"> Q1 (시간당 작업량) = 60 * q1 * F * E / Cm = 19.84 m3/hr </t>
  </si>
  <si>
    <t>_x0007_'노 무 비  :'  &amp;X00028L&amp; / Q1  =</t>
  </si>
  <si>
    <t>중기    8L</t>
  </si>
  <si>
    <t>X00028_1</t>
  </si>
  <si>
    <t>_x0007_'재 료 비  :'  &amp;X00028M&amp; / Q1 * OH =</t>
  </si>
  <si>
    <t>중기    8M</t>
  </si>
  <si>
    <t>_x0007_'경    비  :'  &amp;X00028S&amp; / Q1  =</t>
  </si>
  <si>
    <t>중기    8S</t>
  </si>
  <si>
    <t>_x0007_'3) 정지 (굴삭기 0.7m3) 1/3적용 '</t>
  </si>
  <si>
    <t xml:space="preserve"> 3) 정지 (굴삭기 0.7m3) 1/3적용  </t>
  </si>
  <si>
    <t>_x0007_q'(버킷용량)'= 0.7 , k'(버킷계수)'= 0.7 , f'(체적환산계수)'= 1</t>
  </si>
  <si>
    <t>q (버킷용량) = 0.7 , k (버킷계수) = 0.7 , f (체적환산계수) = 1</t>
  </si>
  <si>
    <t>_x0007_E'(작업효율)'= 0.65 , Cm'(1회사이클시간(초))'= 18 'sec(90)'</t>
  </si>
  <si>
    <t xml:space="preserve">E (작업효율) = 0.65 , Cm (1회사이클시간(초)) = 18  sec(90) </t>
  </si>
  <si>
    <t>_x0007_Q'(시간당 작업량)'= 3600*q*k*E*f/Cm ='m3/hr'</t>
  </si>
  <si>
    <t xml:space="preserve">Q (시간당 작업량) = 3600*q*k*E*f/Cm = 63.70 m3/hr </t>
  </si>
  <si>
    <t>_x0007_'노 무 비  :'  &amp;X00005L&amp; / Q / 3 =</t>
  </si>
  <si>
    <t>_x0007_'재 료 비  :'  &amp;X00005M&amp; / Q / 3 =</t>
  </si>
  <si>
    <t>_x0007_'경    비  :'  &amp;X00005S&amp; / Q / 3 =</t>
  </si>
  <si>
    <t>_x0007_'운반거리: ' L = 0.318'm'</t>
  </si>
  <si>
    <t xml:space="preserve"> 운반거리:   L = 0.318 m </t>
  </si>
  <si>
    <t>_x0007_q'(버킷용량)'= 0.7 , k'(버킷계수)'= 0.55 , E'(작업효율)'= 0.45</t>
  </si>
  <si>
    <t>q (버킷용량) = 0.7 , k (버킷계수) = 0.55 , E (작업효율) = 0.45</t>
  </si>
  <si>
    <t>_x0007_f'(체적환산계수)'= 1.15/1.40 =</t>
  </si>
  <si>
    <t>f (체적환산계수) = 1.15/1.40 = 0.82</t>
  </si>
  <si>
    <t>_x0007_Cm'(1회 사이클 시간(초))'= 20 'sec(135)'</t>
  </si>
  <si>
    <t xml:space="preserve">Cm (1회 사이클 시간(초)) = 20  sec(135) </t>
  </si>
  <si>
    <t xml:space="preserve">Q (시간당 작업량) = 3600*q*k*E*f/Cm = 25.57 m3/hr </t>
  </si>
  <si>
    <t>_x0007_'노 무 비  :' &amp;X00009L&amp; / Q  =</t>
  </si>
  <si>
    <t>_x0007_'재 료 비  :' &amp;X00009M&amp; / Q  =</t>
  </si>
  <si>
    <t>_x0007_'경    비  :' &amp;X00009S&amp; / Q  =</t>
  </si>
  <si>
    <t>_x0007_'2) 운반:15톤 10.5톤 비교적용'</t>
  </si>
  <si>
    <t xml:space="preserve"> 2) 운반:15톤 10.5톤 비교적용 </t>
  </si>
  <si>
    <t>_x0007_' ⓐ덤프 15 Ton '</t>
  </si>
  <si>
    <t xml:space="preserve">  ⓐ덤프 15 Ton  </t>
  </si>
  <si>
    <t>_x0007_ E'(작업효율)'= 0.9</t>
  </si>
  <si>
    <t xml:space="preserve"> E (작업효율) = 0.9</t>
  </si>
  <si>
    <t>_x0007_ q1'(흐트러진상태의 덤프트럭 1회 적재량)' = (15/2.0)*1.625=</t>
  </si>
  <si>
    <t xml:space="preserve"> q1 (흐트러진상태의 덤프트럭 1회 적재량)  = (15/2.0)*1.625= 12.19</t>
  </si>
  <si>
    <t>_x0007_ n = q1 / (0.70 * k) ='회'</t>
  </si>
  <si>
    <t xml:space="preserve"> n = q1 / (0.70 * k) = 31.66 회 </t>
  </si>
  <si>
    <t>_x0007_ t1'(적재시간)'= 20 * n / (60 * 0.45) ='분'</t>
  </si>
  <si>
    <t xml:space="preserve"> t1 (적재시간) = 20 * n / (60 * 0.45) = 23.45 분 </t>
  </si>
  <si>
    <t xml:space="preserve"> t2 (왕복시간) = (L/7+L/8)* 60 = 5.11 분 </t>
  </si>
  <si>
    <t>_x0007_ t4'(적재장소 도착한 때로부터 적재작업이 시작될 때까지의 시간)'= 0.7</t>
  </si>
  <si>
    <t xml:space="preserve"> t4 (적재장소 도착한 때로부터 적재작업이 시작될 때까지의 시간) = 0.7</t>
  </si>
  <si>
    <t>_x0007_ Cm'(1회 사이클 시간(분))' = t1 + t2 + t3 + t4  =</t>
  </si>
  <si>
    <t xml:space="preserve"> Cm (1회 사이클 시간(분))  = t1 + t2 + t3 + t4  = 30.36</t>
  </si>
  <si>
    <t>_x0007_ OH'(상차 10분 초과 시 운반기계의 유류보정)' =  t2 / Cm =</t>
  </si>
  <si>
    <t xml:space="preserve"> OH (상차 10분 초과 시 운반기계의 유류보정)  =  t2 / Cm = 0.17</t>
  </si>
  <si>
    <t>_x0007_ Q1'(시간당 작업량)' = 60 * q1 * F * E / Cm ='m3/hr'</t>
  </si>
  <si>
    <t xml:space="preserve"> Q1 (시간당 작업량)  = 60 * q1 * F * E / Cm = 17.78 m3/hr </t>
  </si>
  <si>
    <t>_x0007_'노 무 비  :' &amp;X00031L&amp; / Q1  =</t>
  </si>
  <si>
    <t>중기   10L</t>
  </si>
  <si>
    <t>X00031_1</t>
  </si>
  <si>
    <t>_x0007_'재 료 비  :' &amp;X00031M&amp; / Q1 * OH =</t>
  </si>
  <si>
    <t>중기   10M</t>
  </si>
  <si>
    <t>_x0007_'경    비  :' &amp;X00031S&amp; / Q1  =</t>
  </si>
  <si>
    <t>중기   10S</t>
  </si>
  <si>
    <t>_x0007_ (-=)</t>
  </si>
  <si>
    <t>소계(제외금액)</t>
  </si>
  <si>
    <t>C1_1</t>
  </si>
  <si>
    <t>_x0007_' ⓐ덤프 10.5 Ton : 적용단가 '</t>
  </si>
  <si>
    <t xml:space="preserve">  ⓐ덤프 10.5 Ton : 적용단가  </t>
  </si>
  <si>
    <t>_x0007_ q1'(흐트러진상태의 덤프트럭 1회 적재량)' = (10.5/2.0)*1.625=</t>
  </si>
  <si>
    <t xml:space="preserve"> q1 (흐트러진상태의 덤프트럭 1회 적재량)  = (10.5/2.0)*1.625= 8.53</t>
  </si>
  <si>
    <t xml:space="preserve"> n = q1 / (0.70 * k) = 22.16 회 </t>
  </si>
  <si>
    <t xml:space="preserve"> t1 (적재시간) = 20 * n / (60 * 0.45) = 16.41 분 </t>
  </si>
  <si>
    <t xml:space="preserve"> Cm (1회 사이클 시간(분))  = t1 + t2 + t3 + t4  = 23.32</t>
  </si>
  <si>
    <t>_x0007_ OH'(상차 10분 초과 시 운반기계의 유류보정)' = t2 / Cm =</t>
  </si>
  <si>
    <t xml:space="preserve"> OH (상차 10분 초과 시 운반기계의 유류보정)  = t2 / Cm = 0.22</t>
  </si>
  <si>
    <t>_x0007_ Q2'(시간당 작업량)'= 60 * q1 * F * E / Cm ='m3/hr'</t>
  </si>
  <si>
    <t xml:space="preserve"> Q2 (시간당 작업량) = 60 * q1 * F * E / Cm = 16.20 m3/hr </t>
  </si>
  <si>
    <t>_x0007_'노 무 비  :' &amp;X00030L&amp; / Q2 =</t>
  </si>
  <si>
    <t>중기    9L</t>
  </si>
  <si>
    <t>X00030_1</t>
  </si>
  <si>
    <t>_x0007_'재 료 비  :' &amp;X00030M&amp; / Q2 * OH =</t>
  </si>
  <si>
    <t>중기    9M</t>
  </si>
  <si>
    <t>_x0007_'경    비  :' &amp;X00030S&amp; / Q2 =</t>
  </si>
  <si>
    <t>중기    9S</t>
  </si>
  <si>
    <t>_x0007_E'(작업효율)'= 0.45 , Cm'(1회 사이클 시간(초))'= 18 'sec(90)'</t>
  </si>
  <si>
    <t xml:space="preserve">E (작업효율) = 0.45 , Cm (1회 사이클 시간(초)) = 18  sec(90) </t>
  </si>
  <si>
    <t>_x0007_Q3'(시간당 작업량)'= 3600*q*k*E*f/Cm ='m3/hr'</t>
  </si>
  <si>
    <t xml:space="preserve">Q3 (시간당 작업량) = 3600*q*k*E*f/Cm = 44.10 m3/hr </t>
  </si>
  <si>
    <t>_x0007_'노 무 비  :' &amp;X00009L&amp; / Q3/ 3 =</t>
  </si>
  <si>
    <t>_x0007_'재 료 비  :' &amp;X00009M&amp; / Q3/ 3 =</t>
  </si>
  <si>
    <t>_x0007_'경    비  :' &amp;X00009S&amp; / Q3/ 3 =</t>
  </si>
  <si>
    <t>_x0007_'건설표준품셈  11-3(굴삭기) 적용'</t>
  </si>
  <si>
    <t xml:space="preserve"> 건설표준품셈  11-3(굴삭기) 적용 </t>
  </si>
  <si>
    <t>_x0007_' 사토처리 (굴삭기 0.7m3) 적용 '</t>
  </si>
  <si>
    <t xml:space="preserve">  사토처리 (굴삭기 0.7m3) 적용  </t>
  </si>
  <si>
    <t>_x0007_q'(버킷용량)'= 0.7 , k'(버킷계수)'= 0.9 , f'(체적환산계수)'= 1</t>
  </si>
  <si>
    <t>q (버킷용량) = 0.7 , k (버킷계수) = 0.9 , f (체적환산계수) = 1</t>
  </si>
  <si>
    <t>_x0007_E'(작업효율)'= 0.75 , Cm'(1회사이클시간(초))'= 20 'sec(135)'</t>
  </si>
  <si>
    <t xml:space="preserve">E (작업효율) = 0.75 , Cm (1회사이클시간(초)) = 20  sec(135) </t>
  </si>
  <si>
    <t xml:space="preserve">Q (시간당 작업량)  = 3600*q*k*E*f/Cm = 85.05 m3/hr </t>
  </si>
  <si>
    <t>_x0007_' 사토장정지 (백호우 0.7m3) 적용 '</t>
  </si>
  <si>
    <t xml:space="preserve">  사토장정지 (백호우 0.7m3) 적용  </t>
  </si>
  <si>
    <t>_x0007_q = 0.7 , k = 0.9 , f =1</t>
  </si>
  <si>
    <t>q = 0.7 , k = 0.9 , f =1</t>
  </si>
  <si>
    <t>_x0007_E = 0.75 , Cm = 20 'sec(135)'</t>
  </si>
  <si>
    <t xml:space="preserve">E = 0.75 , Cm = 20  sec(135) </t>
  </si>
  <si>
    <t>_x0007_Q = 3600*q*k*E*f/Cm ='m3/hr'</t>
  </si>
  <si>
    <t xml:space="preserve">Q = 3600*q*k*E*f/Cm = 85.05 m3/hr </t>
  </si>
  <si>
    <t>_x0007_'노 무 비  :'  &amp;X00005L&amp; / Q =</t>
  </si>
  <si>
    <t>_x0007_'재 료 비  :'  &amp;X00005M&amp; / Q =</t>
  </si>
  <si>
    <t>_x0007_'경    비  :'  &amp;X00005S&amp; / Q =</t>
  </si>
  <si>
    <t>_x0007_ '성토사면다짐 굴삭기0.7m3+진동콤팩터  / m2'</t>
  </si>
  <si>
    <t xml:space="preserve">  성토사면다짐 굴삭기0.7m3+진동콤팩터  / m2 </t>
  </si>
  <si>
    <t>_x0007_ '임표준품셈 9-3(임도성토면다짐) 적용 '</t>
  </si>
  <si>
    <t xml:space="preserve">  임표준품셈 9-3(임도성토면다짐) 적용  </t>
  </si>
  <si>
    <t>_x0007_'적용기계장비 : 굴삭기(무한궤도 0.7m3)+진동콤팩터 '</t>
  </si>
  <si>
    <t xml:space="preserve"> 적용기계장비 : 굴삭기(무한궤도 0.7m3)+진동콤팩터  </t>
  </si>
  <si>
    <t>_x0007_Q'(시간당 작업량)'  = 77.7  'm2/hr'</t>
  </si>
  <si>
    <t xml:space="preserve">Q (시간당 작업량)   = 77.7   m2/hr </t>
  </si>
  <si>
    <t>_x0007_'노 무 비  :'&amp;X00099L&amp; / Q  =</t>
  </si>
  <si>
    <t>중기   22L</t>
  </si>
  <si>
    <t>X00099_1</t>
  </si>
  <si>
    <t>_x0007_'재 료 비  :'&amp;X00099M&amp; / Q  =</t>
  </si>
  <si>
    <t>중기   22M</t>
  </si>
  <si>
    <t>_x0007_'경    비  :'&amp;X00099S&amp; / Q  =</t>
  </si>
  <si>
    <t>중기   22S</t>
  </si>
  <si>
    <t>_x0007_'건설표준품셈 11-3 굴삭기 적용'</t>
  </si>
  <si>
    <t xml:space="preserve"> 건설표준품셈 11-3 굴삭기 적용 </t>
  </si>
  <si>
    <t>_x0007_'적용기계장비 : 굴삭기 0.7m3'</t>
  </si>
  <si>
    <t xml:space="preserve"> 적용기계장비 : 굴삭기 0.7m3 </t>
  </si>
  <si>
    <t>_x0007_'t(노면정리 깊이) = 0.1m , N(굴삭기 사이클횟수)=3회'</t>
  </si>
  <si>
    <t xml:space="preserve"> t(노면정리 깊이) = 0.1m , N(굴삭기 사이클횟수)=3회 </t>
  </si>
  <si>
    <t>_x0007_q'(버킷용량)'= 0.7 , f'(토량의 체적 환산계수)'= 1</t>
  </si>
  <si>
    <t>q (버킷용량) = 0.7 , f (토량의 체적 환산계수) = 1</t>
  </si>
  <si>
    <t>_x0007_K'(버킷계수)'= 0.90</t>
  </si>
  <si>
    <t>K (버킷계수) = 0.90</t>
  </si>
  <si>
    <t>_x0007_Cm'(1회 사이클 시간(초))'= 18'sec (90˚)', E'(작업효율)'= 0.55</t>
  </si>
  <si>
    <t>Cm (1회 사이클 시간(초)) = 18 sec (90˚) , E (작업효율) = 0.55</t>
  </si>
  <si>
    <t>_x0007_Q'(시간당 작업량)'= 3600*q*K*f*E/Cm ='m3/hr'</t>
  </si>
  <si>
    <t xml:space="preserve">Q (시간당 작업량) = 3600*q*K*f*E/Cm = 69.30 m3/hr </t>
  </si>
  <si>
    <t>_x0007_'노 무 비  :'&amp;X00005L&amp; / Q * 0.1 * 3 =</t>
  </si>
  <si>
    <t>_x0007_'재 료 비  :'&amp;X00005M&amp; / Q * 0.1 * 3 =</t>
  </si>
  <si>
    <t>_x0007_'경    비  :'&amp;X00005S&amp; / Q * 0.1 * 3 =</t>
  </si>
  <si>
    <t>_x0007_'중 기 운 반    (20톤 트레일러) '</t>
  </si>
  <si>
    <t xml:space="preserve"> 중 기 운 반    (20톤 트레일러)  </t>
  </si>
  <si>
    <t>_x0007_'소재지 ---------------------&gt;   현장'</t>
  </si>
  <si>
    <t xml:space="preserve"> 소재지 ---------------------&gt;   현장 </t>
  </si>
  <si>
    <t>_x0007_'건설표준품셈 11-6나(트럭트레일러) 적용'</t>
  </si>
  <si>
    <t xml:space="preserve"> 건설표준품셈 11-6나(트럭트레일러) 적용 </t>
  </si>
  <si>
    <t>_x0007_'중 기 운 반    (20톤 트레일러)'</t>
  </si>
  <si>
    <t xml:space="preserve"> 중 기 운 반    (20톤 트레일러) </t>
  </si>
  <si>
    <t>_x0007_L1= 12.0'km(포  장)'</t>
  </si>
  <si>
    <t xml:space="preserve">L1= 12.0 km(포  장) </t>
  </si>
  <si>
    <t>_x0007_L2= 7.00'km(비포장)'</t>
  </si>
  <si>
    <t xml:space="preserve">L2= 7.00 km(비포장) </t>
  </si>
  <si>
    <t>_x0007_V1= 30'km/hr'</t>
  </si>
  <si>
    <t xml:space="preserve">V1= 30 km/hr </t>
  </si>
  <si>
    <t>_x0007_V2= 35'km/hr'</t>
  </si>
  <si>
    <t xml:space="preserve">V2= 35 km/hr </t>
  </si>
  <si>
    <t>_x0007_V3= 10'km/hr'</t>
  </si>
  <si>
    <t xml:space="preserve">V3= 10 km/hr </t>
  </si>
  <si>
    <t>_x0007_V4= 15'km/hr'</t>
  </si>
  <si>
    <t xml:space="preserve">V4= 15 km/hr </t>
  </si>
  <si>
    <t>_x0007_t1'(상차시간(분))'=20 , E=0.9</t>
  </si>
  <si>
    <t>t1 (상차시간(분)) =20 , E=0.9</t>
  </si>
  <si>
    <t>_x0007_t2'(왕복시간(분))'=(L1/V1+L1/V2+L2/V3+L2/V4) * 60 =</t>
  </si>
  <si>
    <t>t2 (왕복시간(분)) =(L1/V1+L1/V2+L2/V3+L2/V4) * 60 = 114.57</t>
  </si>
  <si>
    <t>_x0007_t3'(하차시간(분))'=20</t>
  </si>
  <si>
    <t>t3 (하차시간(분)) =20</t>
  </si>
  <si>
    <t>_x0007_t4'(하차준비시간(분))'=0.42</t>
  </si>
  <si>
    <t>t4 (하차준비시간(분)) =0.42</t>
  </si>
  <si>
    <t>_x0007_Cm'(회 사이클 시간(분))' =t1 + t2 + t3 + t4 =</t>
  </si>
  <si>
    <t>Cm (회 사이클 시간(분))  =t1 + t2 + t3 + t4 = 154.99</t>
  </si>
  <si>
    <t>_x0007_N'(간단 운반횟수(회))'=60*E/Cm=  '회'</t>
  </si>
  <si>
    <t xml:space="preserve">N (간단 운반횟수(회)) =60*E/Cm= 0.35   회 </t>
  </si>
  <si>
    <t>_x0007_OH'(상차 10분 초과 시 운반기계의 유류보정)'=(cm-t1-t3)/Cm=</t>
  </si>
  <si>
    <t>OH (상차 10분 초과 시 운반기계의 유류보정) =(cm-t1-t3)/Cm= 0.74</t>
  </si>
  <si>
    <t>_x0007_' 노무비 :'&amp;X00046L&amp;/N*2 =</t>
  </si>
  <si>
    <t>중기   13L</t>
  </si>
  <si>
    <t>X00046_1</t>
  </si>
  <si>
    <t>_x0007_' 재료비 :'&amp;X00046M&amp;/N*OH*2 =</t>
  </si>
  <si>
    <t>중기   13M</t>
  </si>
  <si>
    <t>_x0007_' 경   비 :'&amp;X00046S&amp;/N*2 =</t>
  </si>
  <si>
    <t>중기   13S</t>
  </si>
  <si>
    <t>계  (경비 로적용)</t>
  </si>
  <si>
    <t>_x0007_'기계 운반( 믹서','소형 중기류)'</t>
  </si>
  <si>
    <t xml:space="preserve"> 기계 운반( 믹서 , 소형 중기류) </t>
  </si>
  <si>
    <t>_x0007_'               L=19.00km'</t>
  </si>
  <si>
    <t xml:space="preserve">                L=19.00km </t>
  </si>
  <si>
    <t>_x0007_'   시군--------------------&gt; 현장중점  '</t>
  </si>
  <si>
    <t xml:space="preserve">    시군--------------------&gt; 현장중점   </t>
  </si>
  <si>
    <t>_x0007_'○구역화물(5Ton)적용 L = 20km이내적용'</t>
  </si>
  <si>
    <t xml:space="preserve"> ○구역화물(5Ton)적용 L = 20km이내적용 </t>
  </si>
  <si>
    <t>_x0007_    &amp;S00073&amp; / 1.1  =</t>
  </si>
  <si>
    <t>S00073_1</t>
  </si>
  <si>
    <t>_x0007_ ' ○모 래 운 반 '</t>
  </si>
  <si>
    <t xml:space="preserve">   ○모 래 운 반  </t>
  </si>
  <si>
    <t>_x0007_         '포  장 :' L1 =  9.40'km'</t>
  </si>
  <si>
    <t xml:space="preserve">          포  장 :  L1 =  9.40 km </t>
  </si>
  <si>
    <t>_x0007_' 골재장   -----------------------&gt; 현장'</t>
  </si>
  <si>
    <t xml:space="preserve">  골재장   -----------------------&gt; 현장 </t>
  </si>
  <si>
    <t>_x0007_         '비포장 :' L2 =  7.00'km'</t>
  </si>
  <si>
    <t xml:space="preserve">          비포장 :  L2 =  7.00 km </t>
  </si>
  <si>
    <t>_x0007_'1.골재대 : 별도계상'</t>
  </si>
  <si>
    <t xml:space="preserve"> 1.골재대 : 별도계상 </t>
  </si>
  <si>
    <t>_x0007_'2.적  상 :  무   대     '</t>
  </si>
  <si>
    <t xml:space="preserve"> 2.적  상 :  무   대      </t>
  </si>
  <si>
    <t>_x0007_'3.운  반 (덤프 15ton)  '</t>
  </si>
  <si>
    <t xml:space="preserve"> 3.운  반 (덤프 15ton)   </t>
  </si>
  <si>
    <t>_x0007_ f'(체적환산계수)'=1/1.15 , E'(작업효율)'=0.9 , k'(버킷계수)'=1.2</t>
  </si>
  <si>
    <t xml:space="preserve"> f (체적환산계수) =1/1.15 , E (작업효율) =0.9 , k (버킷계수) =1.2</t>
  </si>
  <si>
    <t>_x0007_ V1=30 , V2=35 , V3=10 , V4=15</t>
  </si>
  <si>
    <t xml:space="preserve"> V1=30 , V2=35 , V3=10 , V4=15</t>
  </si>
  <si>
    <t>_x0007_ q1'(흐트러진상태의 덤프트럭 1회 적재량)' = (15/1.60) * 1.15 =</t>
  </si>
  <si>
    <t xml:space="preserve"> q1 (흐트러진상태의 덤프트럭 1회 적재량)  = (15/1.60) * 1.15 = 10.78</t>
  </si>
  <si>
    <t>_x0007_ n =q1 / (1.34 * k) = '회'</t>
  </si>
  <si>
    <t xml:space="preserve"> n =q1 / (1.34 * k) = 6.70  회 </t>
  </si>
  <si>
    <t>_x0007_ Cms'(적재기계의 1회사이클시간(초))'=1.8*8+6+14='초'</t>
  </si>
  <si>
    <t xml:space="preserve"> Cms (적재기계의 1회사이클시간(초)) =1.8*8+6+14= 34.40 초 </t>
  </si>
  <si>
    <t>_x0007_ t1'(적재시간)'=Cms * n / (60 * 0.75) ='분'</t>
  </si>
  <si>
    <t xml:space="preserve"> t1 (적재시간) =Cms * n / (60 * 0.75) = 5.12 분 </t>
  </si>
  <si>
    <t>_x0007_ t2'(왕복시간)'=(L1/V1+L1/V2+L2/V3+L2/V4 ) * 60 ='분'</t>
  </si>
  <si>
    <t xml:space="preserve"> t2 (왕복시간) =(L1/V1+L1/V2+L2/V3+L2/V4 ) * 60 = 104.91 분 </t>
  </si>
  <si>
    <t>_x0007_ t3'(적하시간)'=0.8'분'</t>
  </si>
  <si>
    <t xml:space="preserve"> t3 (적하시간) =0.8 분 </t>
  </si>
  <si>
    <t>_x0007_ t4'(적재장소 도착한 때로부터 적재작업이 시작될 때까지의 시간)'=0.42'분'</t>
  </si>
  <si>
    <t xml:space="preserve"> t4 (적재장소 도착한 때로부터 적재작업이 시작될 때까지의 시간) =0.42 분 </t>
  </si>
  <si>
    <t>_x0007_ t5'(적재함 덮개 설치 및 해체시간)'=0.5'분'</t>
  </si>
  <si>
    <t xml:space="preserve"> t5 (적재함 덮개 설치 및 해체시간) =0.5 분 </t>
  </si>
  <si>
    <t>_x0007_ t6'(세륜기통과시간)'=1.5'분'</t>
  </si>
  <si>
    <t xml:space="preserve"> t6 (세륜기통과시간) =1.5 분 </t>
  </si>
  <si>
    <t>_x0007_ Cm'(1회 사이클 시간(분))' = t1 + t2 + t3 + t4 + t5 +t6 ='분'</t>
  </si>
  <si>
    <t xml:space="preserve"> Cm (1회 사이클 시간(분))  = t1 + t2 + t3 + t4 + t5 +t6 = 113.25 분 </t>
  </si>
  <si>
    <t>_x0007_ Q'(시간당 작업량)' = 60 * q1 * F * E / Cm ='m3/hr'</t>
  </si>
  <si>
    <t xml:space="preserve"> Q (시간당 작업량)  = 60 * q1 * F * E / Cm = 4.47 m3/hr </t>
  </si>
  <si>
    <t>_x0007_ '노 무 비  :'  &amp;X00028L&amp; / Q =</t>
  </si>
  <si>
    <t>_x0007_ '재 료 비  :'  &amp;X00028M&amp; / Q =</t>
  </si>
  <si>
    <t>_x0007_ '경    비  :'  &amp;X00028S&amp; / Q =</t>
  </si>
  <si>
    <t>_x0007_                &amp;X00032S&amp; / Q =</t>
  </si>
  <si>
    <t>중기   11S</t>
  </si>
  <si>
    <t>X00032_1</t>
  </si>
  <si>
    <t>_x0007_(-=)</t>
  </si>
  <si>
    <t>_x0007_'4.운  반 (덤프 24ton)  '</t>
  </si>
  <si>
    <t xml:space="preserve"> 4.운  반 (덤프 24ton)   </t>
  </si>
  <si>
    <t>_x0007_ q1'(흐트러진상태의 덤프트럭 1회 적재량)' = (24/1.60) * 1.15 =</t>
  </si>
  <si>
    <t xml:space="preserve"> q1 (흐트러진상태의 덤프트럭 1회 적재량)  = (24/1.60) * 1.15 = 17.25</t>
  </si>
  <si>
    <t xml:space="preserve"> n =q1 / (1.34 * k) = 10.73  회 </t>
  </si>
  <si>
    <t xml:space="preserve"> t1 (적재시간) =Cms * n / (60 * 0.75) = 8.20 분 </t>
  </si>
  <si>
    <t xml:space="preserve"> Cm (1회 사이클 시간(분))  = t1 + t2 + t3 + t4 + t5 +t6 = 116.33 분 </t>
  </si>
  <si>
    <t xml:space="preserve"> Q (시간당 작업량)  = 60 * q1 * F * E / Cm = 6.96 m3/hr </t>
  </si>
  <si>
    <t>_x0007_ '노 무 비  :'  &amp;X00087L&amp; / Q =</t>
  </si>
  <si>
    <t>중기   19L</t>
  </si>
  <si>
    <t>X00087_1</t>
  </si>
  <si>
    <t>_x0007_ '재 료 비  :'  &amp;X00087M&amp; / Q =</t>
  </si>
  <si>
    <t>중기   19M</t>
  </si>
  <si>
    <t>_x0007_ '경    비  :'  &amp;X00087S&amp; / Q =</t>
  </si>
  <si>
    <t>중기   19S</t>
  </si>
  <si>
    <t>_x0007_                &amp;X00086S&amp; / Q =</t>
  </si>
  <si>
    <t>중기   18S</t>
  </si>
  <si>
    <t>X00086_1</t>
  </si>
  <si>
    <t>_x0007_ ' ○자 갈 운 반 '</t>
  </si>
  <si>
    <t xml:space="preserve">   ○자 갈 운 반  </t>
  </si>
  <si>
    <t>_x0007_          ' 포  장 :' L1 =  9.40'km'</t>
  </si>
  <si>
    <t xml:space="preserve">            포  장 :  L1 =  9.40 km </t>
  </si>
  <si>
    <t>_x0007_' 골재장  --------------------------&gt;  현장 '</t>
  </si>
  <si>
    <t xml:space="preserve">  골재장  --------------------------&gt;  현장  </t>
  </si>
  <si>
    <t>_x0007_          ' 비포장 :' L2 =  7.00'km'</t>
  </si>
  <si>
    <t xml:space="preserve">            비포장 :  L2 =  7.00 km </t>
  </si>
  <si>
    <t>_x0007_'1.골재대:별도계상'</t>
  </si>
  <si>
    <t xml:space="preserve"> 1.골재대:별도계상 </t>
  </si>
  <si>
    <t>_x0007_'2.적  상: 무   대 '</t>
  </si>
  <si>
    <t xml:space="preserve"> 2.적  상: 무   대  </t>
  </si>
  <si>
    <t>_x0007_'3. 운  반 (덤프 15ton)  '</t>
  </si>
  <si>
    <t xml:space="preserve"> 3. 운  반 (덤프 15ton)   </t>
  </si>
  <si>
    <t>_x0007_ f'(체적환산계수)'=1/1.15 , E'(작업효율)'=0.9 , k'(버킷계수)'=1.0</t>
  </si>
  <si>
    <t xml:space="preserve"> f (체적환산계수) =1/1.15 , E (작업효율) =0.9 , k (버킷계수) =1.0</t>
  </si>
  <si>
    <t>_x0007_ q1'(흐트러진상태의 덤프트럭 1회 적재량)' = (15/1.70) * 1.15 =</t>
  </si>
  <si>
    <t xml:space="preserve"> q1 (흐트러진상태의 덤프트럭 1회 적재량)  = (15/1.70) * 1.15 = 10.15</t>
  </si>
  <si>
    <t xml:space="preserve"> n =q1 / (1.34 * k) = 7.57  회 </t>
  </si>
  <si>
    <t>_x0007_ t1'(적재시간)'=Cms * n / (60 * 0.6) ='분'</t>
  </si>
  <si>
    <t xml:space="preserve"> t1 (적재시간) =Cms * n / (60 * 0.6) = 7.23 분 </t>
  </si>
  <si>
    <t>_x0007_ t5'(적재함 덮개 설치 및 해체시간)' = 0.5'분'</t>
  </si>
  <si>
    <t xml:space="preserve"> t5 (적재함 덮개 설치 및 해체시간)  = 0.5 분 </t>
  </si>
  <si>
    <t xml:space="preserve"> Cm (1회 사이클 시간(분))  = t1 + t2 + t3 + t4 + t5 +t6 = 115.36 분 </t>
  </si>
  <si>
    <t>_x0007_ Q'(시간당 작업량)'= 60 * q1 * F * E / Cm ='m3/hr'</t>
  </si>
  <si>
    <t xml:space="preserve"> Q (시간당 작업량) = 60 * q1 * F * E / Cm = 4.13 m3/hr </t>
  </si>
  <si>
    <t>_x0007_ '노 무 비  :'  &amp;X00031L&amp; / Q =</t>
  </si>
  <si>
    <t>_x0007_ '재 료 비  :'  &amp;X00031M&amp; / Q =</t>
  </si>
  <si>
    <t>_x0007_ '경    비  :'  &amp;X00031S&amp; / Q =</t>
  </si>
  <si>
    <t>_x0007_'4. 운  반 (덤프 24ton)  '</t>
  </si>
  <si>
    <t xml:space="preserve"> 4. 운  반 (덤프 24ton)   </t>
  </si>
  <si>
    <t>_x0007_ q1'(흐트러진상태의 덤프트럭 1회 적재량)' = (24/1.70) * 1.15 =</t>
  </si>
  <si>
    <t xml:space="preserve"> q1 (흐트러진상태의 덤프트럭 1회 적재량)  = (24/1.70) * 1.15 = 16.24</t>
  </si>
  <si>
    <t xml:space="preserve"> n =q1 / (1.34 * k) = 12.12  회 </t>
  </si>
  <si>
    <t xml:space="preserve"> t1 (적재시간) =Cms * n / (60 * 0.6) = 11.58 분 </t>
  </si>
  <si>
    <t xml:space="preserve"> Cm (1회 사이클 시간(분))  = t1 + t2 + t3 + t4 + t5 +t6 = 119.71 분 </t>
  </si>
  <si>
    <t>_x0007_ OH'(상차 10분 초과 시 운반기계의 유류보정)'=(cm-t1)/Cm=</t>
  </si>
  <si>
    <t xml:space="preserve"> OH (상차 10분 초과 시 운반기계의 유류보정) =(cm-t1)/Cm= 0.90</t>
  </si>
  <si>
    <t xml:space="preserve"> Q (시간당 작업량) = 60 * q1 * F * E / Cm = 6.37 m3/hr </t>
  </si>
  <si>
    <t>_x0007_ '재 료 비  :'  &amp;X00087M&amp; / Q * OH=</t>
  </si>
  <si>
    <t>_x0007_' 파쇄석 운반 '</t>
  </si>
  <si>
    <t xml:space="preserve">  파쇄석 운반  </t>
  </si>
  <si>
    <t>_x0007_         ' 포  장 :' L1 = 73.00'km'</t>
  </si>
  <si>
    <t xml:space="preserve">           포  장 :  L1 = 73.00 km </t>
  </si>
  <si>
    <t>_x0007_' 골재장  -------------------------&gt; 현장 '</t>
  </si>
  <si>
    <t xml:space="preserve">  골재장  -------------------------&gt; 현장  </t>
  </si>
  <si>
    <t>_x0007_         ' 비포장 :' L2 = 7.00'km'</t>
  </si>
  <si>
    <t xml:space="preserve">           비포장 :  L2 = 7.00 km </t>
  </si>
  <si>
    <t>_x0007_ '1. 골재대 : 별도계상'</t>
  </si>
  <si>
    <t xml:space="preserve">  1. 골재대 : 별도계상 </t>
  </si>
  <si>
    <t>_x0007_ '2.덤프 15ton과 24ton 비교'</t>
  </si>
  <si>
    <t xml:space="preserve">  2.덤프 15ton과 24ton 비교 </t>
  </si>
  <si>
    <t>_x0007_ '2-1. 운  반 (덤프 15ton)'</t>
  </si>
  <si>
    <t xml:space="preserve">  2-1. 운  반 (덤프 15ton) </t>
  </si>
  <si>
    <t>_x0007_ '상차기계:로더1.34m3급 '</t>
  </si>
  <si>
    <t xml:space="preserve">  상차기계:로더1.34m3급  </t>
  </si>
  <si>
    <t>_x0007_ '1회당 상차량 :  1.34 * 0.77 * 2.65 = 2.73ton '</t>
  </si>
  <si>
    <t xml:space="preserve">  1회당 상차량 :  1.34 * 0.77 * 2.65 = 2.73ton  </t>
  </si>
  <si>
    <t>_x0007_ f'(체적환산계수)'=1= , E'(작업효율)'=0.9</t>
  </si>
  <si>
    <t xml:space="preserve"> f (체적환산계수) =1= 1.00 , E (작업효율) =0.9</t>
  </si>
  <si>
    <t>_x0007_ k'(버킷계수)'=0.55</t>
  </si>
  <si>
    <t xml:space="preserve"> k (버킷계수) =0.55</t>
  </si>
  <si>
    <t>_x0007_ q1'(덤프트럭 1회 적재량(ton))' = 15</t>
  </si>
  <si>
    <t xml:space="preserve"> q1 (덤프트럭 1회 적재량(ton))  = 15</t>
  </si>
  <si>
    <t>_x0007_ 'n (덤프트럭1대의 토량을 적재하는데 소요되는적재기계의 사이클횟수)'</t>
  </si>
  <si>
    <t xml:space="preserve">  n (덤프트럭1대의 토량을 적재하는데 소요되는적재기계의 사이클횟수) </t>
  </si>
  <si>
    <t>_x0007_ n =q1 / (2.73 * k) = '회'</t>
  </si>
  <si>
    <t xml:space="preserve"> n =q1 / (2.73 * k) = 9.99  회 </t>
  </si>
  <si>
    <t>_x0007_ t1'(적재시간)' =20 * n / (60 * 0.35) ='분'</t>
  </si>
  <si>
    <t xml:space="preserve"> t1 (적재시간)  =20 * n / (60 * 0.35) = 9.51 분 </t>
  </si>
  <si>
    <t xml:space="preserve"> t2 (왕복시간) =(L1/V1+L1/V2+L2/V3+L2/V4 ) * 60 = 341.14 분 </t>
  </si>
  <si>
    <t>_x0007_ t3'(적하시간)'=1.1'분'</t>
  </si>
  <si>
    <t xml:space="preserve"> t3 (적하시간) =1.1 분 </t>
  </si>
  <si>
    <t>_x0007_ t4'(적재작업이 시작될 때까지의 시간)'=0.15'분'</t>
  </si>
  <si>
    <t xml:space="preserve"> t4 (적재작업이 시작될 때까지의 시간) =0.15 분 </t>
  </si>
  <si>
    <t>_x0007_ t5'(적재함 덮개 설치 및 해체시간(분)' = 0.5'분'</t>
  </si>
  <si>
    <t xml:space="preserve"> t5 (적재함 덮개 설치 및 해체시간(분)  = 0.5 분 </t>
  </si>
  <si>
    <t xml:space="preserve"> Cm (1회 사이클 시간(분))  = t1 + t2 + t3 + t4 + t5 +t6 = 353.90 분 </t>
  </si>
  <si>
    <t>_x0007_ Q'(시간당작업량)' = 60 * q1 * f * E / Cm ='ton/hr'</t>
  </si>
  <si>
    <t xml:space="preserve"> Q (시간당작업량)  = 60 * q1 * f * E / Cm = 2.29 ton/hr </t>
  </si>
  <si>
    <t>_x0007_ '2-2. 운  반 (덤프 24ton)'</t>
  </si>
  <si>
    <t xml:space="preserve">  2-2. 운  반 (덤프 24ton) </t>
  </si>
  <si>
    <t>_x0007_ q1'(덤프트럭 1회 적재량(ton))' = 24</t>
  </si>
  <si>
    <t xml:space="preserve"> q1 (덤프트럭 1회 적재량(ton))  = 24</t>
  </si>
  <si>
    <t xml:space="preserve"> n =q1 / (2.73 * k) = 15.98  회 </t>
  </si>
  <si>
    <t xml:space="preserve"> t1 (적재시간)  =20 * n / (60 * 0.35) = 15.22 분 </t>
  </si>
  <si>
    <t xml:space="preserve"> Cm (1회 사이클 시간(분))  = t1 + t2 + t3 + t4 + t5 +t6 = 359.61 분 </t>
  </si>
  <si>
    <t xml:space="preserve"> OH (상차 10분 초과 시 운반기계의 유류보정) =(cm-t1)/Cm= 0.96</t>
  </si>
  <si>
    <t xml:space="preserve"> Q (시간당작업량)  = 60 * q1 * f * E / Cm = 3.60 ton/hr </t>
  </si>
  <si>
    <t>_x0007_ '재 료 비  :'  &amp;X00087M&amp; / Q *OH =</t>
  </si>
  <si>
    <t>_x0007_                &amp;S00168S&amp; / Q =</t>
  </si>
  <si>
    <t>경비   21S</t>
  </si>
  <si>
    <t>S00168_1</t>
  </si>
  <si>
    <t>_x0007_'○시멘트운반 L = 19.00 km'</t>
  </si>
  <si>
    <t xml:space="preserve"> ○시멘트운반 L = 19.00 km </t>
  </si>
  <si>
    <t>_x0007_'건설표준품셈 1-31-나(품종별 적상.하 기준) 적용'</t>
  </si>
  <si>
    <t xml:space="preserve"> 건설표준품셈 1-31-나(품종별 적상.하 기준) 적용 </t>
  </si>
  <si>
    <t>_x0007_'1)자동차운반'</t>
  </si>
  <si>
    <t xml:space="preserve"> 1)자동차운반 </t>
  </si>
  <si>
    <t>_x0007_'하치장  -------&gt; 현장중점'</t>
  </si>
  <si>
    <t xml:space="preserve"> 하치장  -------&gt; 현장중점 </t>
  </si>
  <si>
    <t>_x0007_'구역화물(5ton적용) L = 20km이내적용'</t>
  </si>
  <si>
    <t xml:space="preserve"> 구역화물(5ton적용) L = 20km이내적용 </t>
  </si>
  <si>
    <t>_x0007_ &amp;S00073&amp; / 1.1 / 5.0 / 25 =</t>
  </si>
  <si>
    <t>_x0007_'2)적상적하비'</t>
  </si>
  <si>
    <t xml:space="preserve"> 2)적상적하비 </t>
  </si>
  <si>
    <t>_x0007_'적상 : 0.18 인'</t>
  </si>
  <si>
    <t xml:space="preserve"> 적상 : 0.18 인 </t>
  </si>
  <si>
    <t>_x0007_'적하 : 0.13 인'</t>
  </si>
  <si>
    <t xml:space="preserve"> 적하 : 0.13 인 </t>
  </si>
  <si>
    <t>_x0007_ (0.18+0.13) * &amp;L00017&amp; / 25 =</t>
  </si>
  <si>
    <t>_x0007_'  도자 19 Ton '  '('L1=38.30'm)'</t>
  </si>
  <si>
    <t xml:space="preserve">   도자 19 Ton     ( L1=38.30 m) </t>
  </si>
  <si>
    <t xml:space="preserve"> L (운반거리) = L1-20= 18.30 m </t>
  </si>
  <si>
    <t xml:space="preserve"> Cm (1회 사이클 시간(분)) = L/V1 + L/V2 + 0.25 = 0.84 분 </t>
  </si>
  <si>
    <t xml:space="preserve"> Q  (시간당 작업량) = 60 * P * f * E / Cm = 68.04 m3/hr </t>
  </si>
  <si>
    <t>_x0007_'  도자 19 Ton '  '('L1 = 40.90'm)'</t>
  </si>
  <si>
    <t xml:space="preserve">   도자 19 Ton     ( L1 = 40.90 m) </t>
  </si>
  <si>
    <t xml:space="preserve"> L (운반거리) = L1-20= 20.90 m </t>
  </si>
  <si>
    <t>_x0007_ eo'(운반거리계수)'= 0.96</t>
  </si>
  <si>
    <t xml:space="preserve"> eo (운반거리계수) = 0.96</t>
  </si>
  <si>
    <t xml:space="preserve"> P=qo*eo= 3.07</t>
  </si>
  <si>
    <t xml:space="preserve"> Cm (1회 사이클 시간(분))  = L/V1 + L/V2 + 0.25 = 0.93 분 </t>
  </si>
  <si>
    <t xml:space="preserve"> Q  (시간당 작업량) = 60 * P * f * E / Cm = 56.84 m3/hr </t>
  </si>
  <si>
    <t>_x0007_'운반거리: ' L = 0.385'm'</t>
  </si>
  <si>
    <t xml:space="preserve"> 운반거리:   L = 0.385 m </t>
  </si>
  <si>
    <t xml:space="preserve"> t2 (왕복시간) = (L/7+L/8)* 60 = 6.19 분 </t>
  </si>
  <si>
    <t xml:space="preserve"> Cm (1회 사이클 시간(분)) = t1 + t2 + t3 + t4  = 25.09</t>
  </si>
  <si>
    <t xml:space="preserve"> OH (상차 10분 초과 시 운반기계의 유류보정) = (cm-t1)/Cm = 0.32</t>
  </si>
  <si>
    <t xml:space="preserve"> Q1 (시간당 작업량) = 60 * q1 * F * E / Cm = 18.67 m3/hr </t>
  </si>
  <si>
    <t>_x0007_'운반거리: ' L = 0.353'm'</t>
  </si>
  <si>
    <t xml:space="preserve"> 운반거리:   L = 0.353 m </t>
  </si>
  <si>
    <t xml:space="preserve"> t2 (왕복시간) = (L/7+L/8)* 60 = 5.67 분 </t>
  </si>
  <si>
    <t xml:space="preserve"> Cm (1회 사이클 시간(분))  = t1 + t2 + t3 + t4  = 30.92</t>
  </si>
  <si>
    <t xml:space="preserve"> OH (상차 10분 초과 시 운반기계의 유류보정)  =  t2 / Cm = 0.18</t>
  </si>
  <si>
    <t xml:space="preserve"> Q1 (시간당 작업량)  = 60 * q1 * F * E / Cm = 17.46 m3/hr </t>
  </si>
  <si>
    <t xml:space="preserve"> Cm (1회 사이클 시간(분))  = t1 + t2 + t3 + t4  = 23.88</t>
  </si>
  <si>
    <t xml:space="preserve"> OH (상차 10분 초과 시 운반기계의 유류보정)  = t2 / Cm = 0.24</t>
  </si>
  <si>
    <t xml:space="preserve"> Q2 (시간당 작업량) = 60 * q1 * F * E / Cm = 15.82 m3/hr </t>
  </si>
  <si>
    <t>_x0007_'건설표준품셈 굴삭기 적용'</t>
  </si>
  <si>
    <t xml:space="preserve"> 건설표준품셈 굴삭기 적용 </t>
  </si>
  <si>
    <t>_x0007_'운반거리: ' L = 0.118 'km'</t>
  </si>
  <si>
    <t xml:space="preserve"> 운반거리:   L = 0.118  km </t>
  </si>
  <si>
    <t>_x0007_q '(버킷용량 (m3))'= 0.7</t>
  </si>
  <si>
    <t>q  (버킷용량 (m3)) = 0.7</t>
  </si>
  <si>
    <t>_x0007_k '(버킷계수)' = 0.7</t>
  </si>
  <si>
    <t>k  (버킷계수)  = 0.7</t>
  </si>
  <si>
    <t>_x0007_f '(체적 환산계수)' = 1/1.25 =</t>
  </si>
  <si>
    <t>f  (체적 환산계수)  = 1/1.25 = 0.80</t>
  </si>
  <si>
    <t>_x0007_E '(작업 효율)' = 0.75</t>
  </si>
  <si>
    <t>E  (작업 효율)  = 0.75</t>
  </si>
  <si>
    <t>_x0007_Cm '(1회 사이클 시간(초))' = 20 'sec(135)'</t>
  </si>
  <si>
    <t xml:space="preserve">Cm  (1회 사이클 시간(초))  = 20  sec(135) </t>
  </si>
  <si>
    <t>_x0007_Q '(시간당 작업량(m3/hr))' = 3600*q*k*E*f/Cm ='m3/hr'</t>
  </si>
  <si>
    <t xml:space="preserve">Q  (시간당 작업량(m3/hr))  = 3600*q*k*E*f/Cm = 52.92 m3/hr </t>
  </si>
  <si>
    <t>_x0007_'2) 운반 : 10.5톤 15톤 비교적용'</t>
  </si>
  <si>
    <t xml:space="preserve"> 2) 운반 : 10.5톤 15톤 비교적용 </t>
  </si>
  <si>
    <t>_x0007_'건설표준품셈 덤프트럭 적용'</t>
  </si>
  <si>
    <t xml:space="preserve"> 건설표준품셈 덤프트럭 적용 </t>
  </si>
  <si>
    <t>_x0007_ k '(버킷계수)' = 0.7</t>
  </si>
  <si>
    <t xml:space="preserve"> k  (버킷계수)  = 0.7</t>
  </si>
  <si>
    <t>_x0007_ E '(작업 효율)' = 0.9</t>
  </si>
  <si>
    <t xml:space="preserve"> E  (작업 효율)  = 0.9</t>
  </si>
  <si>
    <t>_x0007_ F '(체적 환산계수)' = 1</t>
  </si>
  <si>
    <t xml:space="preserve"> F  (체적 환산계수)  = 1</t>
  </si>
  <si>
    <t>_x0007_ q1 '(덤프트럭1회적재량)' = (15/1.7) * 1.25 =</t>
  </si>
  <si>
    <t xml:space="preserve"> q1  (덤프트럭1회적재량)  = (15/1.7) * 1.25 = 11.03</t>
  </si>
  <si>
    <t>_x0007_ n '(시간당운반횟수)' = q1 / (0.70 * k) = '회'</t>
  </si>
  <si>
    <t xml:space="preserve"> n  (시간당운반횟수)  = q1 / (0.70 * k) = 22.51  회 </t>
  </si>
  <si>
    <t>_x0007_ t1 '(적재시간)' = 18 * n / (60 * 0.6) ='분'</t>
  </si>
  <si>
    <t xml:space="preserve"> t1  (적재시간)  = 18 * n / (60 * 0.6) = 11.26 분 </t>
  </si>
  <si>
    <t>_x0007_ t2 '(왕복시간)' = (L/10+L/15)* 60 ='분'</t>
  </si>
  <si>
    <t xml:space="preserve"> t2  (왕복시간)  = (L/10+L/15)* 60 = 1.18 분 </t>
  </si>
  <si>
    <t>_x0007_ t3 '(적하시간)' = 1.1 , t4'(대기시간)' = 0.7</t>
  </si>
  <si>
    <t xml:space="preserve"> t3  (적하시간)  = 1.1 , t4 (대기시간)  = 0.7</t>
  </si>
  <si>
    <t>_x0007_ Cm '(1회 사이클 시간(초))' = t1 + t2 + t3 + t4  =</t>
  </si>
  <si>
    <t xml:space="preserve"> Cm  (1회 사이클 시간(초))  = t1 + t2 + t3 + t4  = 14.24</t>
  </si>
  <si>
    <t>_x0007_ Q1 '(시간당 작업량(m3/hr))' = 60 * q1 * F * E / Cm ='m3/hr'</t>
  </si>
  <si>
    <t xml:space="preserve"> Q1  (시간당 작업량(m3/hr))  = 60 * q1 * F * E / Cm = 41.83 m3/hr </t>
  </si>
  <si>
    <t>_x0007_'재 료 비  :'  &amp;X00028M&amp; / Q1 *(Cm-t1)/Cm =</t>
  </si>
  <si>
    <t>_x0007_'ⓑ(덤프 10.5 Ton) '</t>
  </si>
  <si>
    <t xml:space="preserve"> ⓑ(덤프 10.5 Ton)  </t>
  </si>
  <si>
    <t>_x0007_ q1 '(덤프트럭1회적재량)' = (10.5/1.7) * 1.25 =</t>
  </si>
  <si>
    <t xml:space="preserve"> q1  (덤프트럭1회적재량)  = (10.5/1.7) * 1.25 = 7.72</t>
  </si>
  <si>
    <t xml:space="preserve"> n  (시간당운반횟수)  = q1 / (0.70 * k) = 15.76  회 </t>
  </si>
  <si>
    <t xml:space="preserve"> t1  (적재시간)  = 18 * n / (60 * 0.6) = 7.88 분 </t>
  </si>
  <si>
    <t xml:space="preserve"> Cm  (1회 사이클 시간(초))  = t1 + t2 + t3 + t4  = 10.86</t>
  </si>
  <si>
    <t>_x0007_ Q2 '(시간당 작업량(m3/hr))' = 60 * q1 * F * E / Cm ='m3/hr'</t>
  </si>
  <si>
    <t xml:space="preserve"> Q2  (시간당 작업량(m3/hr))  = 60 * q1 * F * E / Cm = 38.39 m3/hr </t>
  </si>
  <si>
    <t>_x0007_'노 무 비  :'  &amp;X00102L&amp; / Q2  =</t>
  </si>
  <si>
    <t>중기   24L</t>
  </si>
  <si>
    <t>X00102_1</t>
  </si>
  <si>
    <t>_x0007_'재 료 비  :'  &amp;X00102M&amp; / Q2 *(Cm-t1)/Cm =</t>
  </si>
  <si>
    <t>중기   24M</t>
  </si>
  <si>
    <t>_x0007_'경    비  :'  &amp;X00102S&amp; / Q2  =</t>
  </si>
  <si>
    <t>중기   24S</t>
  </si>
  <si>
    <t>_x0007_k '(버킷계수)' = 0.9</t>
  </si>
  <si>
    <t>k  (버킷계수)  = 0.9</t>
  </si>
  <si>
    <t>_x0007_f '(체적 환산계수)' =1</t>
  </si>
  <si>
    <t>f  (체적 환산계수)  =1</t>
  </si>
  <si>
    <t xml:space="preserve">Q  (시간당 작업량(m3/hr))  = 3600*q*k*E*f/Cm = 85.05 m3/hr </t>
  </si>
  <si>
    <t>_x0007_'  도자 19 Ton '  '('L1=40.94'm)'</t>
  </si>
  <si>
    <t xml:space="preserve">   도자 19 Ton     ( L1=40.94 m) </t>
  </si>
  <si>
    <t xml:space="preserve"> L (운반거리) = L1-20= 20.94 m </t>
  </si>
  <si>
    <t xml:space="preserve"> Cm (1회 사이클 시간(분)) = L/V1 + L/V2 + 0.25 = 0.93 분 </t>
  </si>
  <si>
    <t xml:space="preserve"> Q  (시간당 작업량) = 60 * P * f * E / Cm = 61.46 m3/hr </t>
  </si>
  <si>
    <t>_x0007_'  도자 19 Ton '  '('L1 = 39.13'm)'</t>
  </si>
  <si>
    <t xml:space="preserve">   도자 19 Ton     ( L1 = 39.13 m) </t>
  </si>
  <si>
    <t xml:space="preserve"> L (운반거리) = L1-20= 19.13 m </t>
  </si>
  <si>
    <t xml:space="preserve"> Q  (시간당 작업량) = 60 * P * f * E / Cm = 60.76 m3/hr </t>
  </si>
  <si>
    <t>_x0007_'운반거리: ' L = 0.064'm'</t>
  </si>
  <si>
    <t xml:space="preserve"> 운반거리:   L = 0.064 m </t>
  </si>
  <si>
    <t xml:space="preserve"> t2 (왕복시간) = (L/7+L/8)* 60 = 1.03 분 </t>
  </si>
  <si>
    <t xml:space="preserve"> Cm (1회 사이클 시간(분)) = t1 + t2 + t3 + t4  = 19.93</t>
  </si>
  <si>
    <t xml:space="preserve"> OH (상차 10분 초과 시 운반기계의 유류보정) = (cm-t1)/Cm = 0.14</t>
  </si>
  <si>
    <t xml:space="preserve"> Q1 (시간당 작업량) = 60 * q1 * F * E / Cm = 23.50 m3/hr </t>
  </si>
  <si>
    <t xml:space="preserve"> Cm (1회 사이클 시간(분))  = t1 + t2 + t3 + t4  = 26.28</t>
  </si>
  <si>
    <t xml:space="preserve"> OH (상차 10분 초과 시 운반기계의 유류보정)  =  t2 / Cm = 0.04</t>
  </si>
  <si>
    <t xml:space="preserve"> Q1 (시간당 작업량)  = 60 * q1 * F * E / Cm = 20.54 m3/hr </t>
  </si>
  <si>
    <t xml:space="preserve"> Cm (1회 사이클 시간(분))  = t1 + t2 + t3 + t4  = 19.24</t>
  </si>
  <si>
    <t xml:space="preserve"> OH (상차 10분 초과 시 운반기계의 유류보정)  = t2 / Cm = 0.05</t>
  </si>
  <si>
    <t xml:space="preserve"> Q2 (시간당 작업량) = 60 * q1 * F * E / Cm = 19.63 m3/hr </t>
  </si>
  <si>
    <t xml:space="preserve"> 가) 사토처리 (굴삭기 0.7m3) 적용  </t>
  </si>
  <si>
    <t>_x0007_E'(작업효율)'= 0.75 , Cm'(1회사이클시간(초))'= 18 'sec(90)'</t>
  </si>
  <si>
    <t xml:space="preserve">E (작업효율) = 0.75 , Cm (1회사이클시간(초)) = 18  sec(90) </t>
  </si>
  <si>
    <t xml:space="preserve">Q (시간당 작업량)  = 3600*q*k*E*f/Cm = 94.50 m3/hr </t>
  </si>
  <si>
    <t>_x0007_'철근 운반''('L = 19.00'km)'</t>
  </si>
  <si>
    <t xml:space="preserve"> 철근 운반  ( L = 19.00 km) </t>
  </si>
  <si>
    <t>_x0007_'                                 현 장   '</t>
  </si>
  <si>
    <t xml:space="preserve">                                  현 장    </t>
  </si>
  <si>
    <t>_x0007_'  하치장'  '-------------&gt;'</t>
  </si>
  <si>
    <t xml:space="preserve">   하치장    -------------&gt; </t>
  </si>
  <si>
    <t>_x0007_                              '   중 점   '</t>
  </si>
  <si>
    <t xml:space="preserve">                                  중 점    </t>
  </si>
  <si>
    <t>_x0007_'1).구역화물(5ton)적용 L = 20km이내적용'</t>
  </si>
  <si>
    <t xml:space="preserve"> 1).구역화물(5ton)적용 L = 20km이내적용 </t>
  </si>
  <si>
    <t>_x0007_    &amp;S00073&amp; / 1.1 / 5 =</t>
  </si>
  <si>
    <t>_x0007_'2).TON당 하차비 '</t>
  </si>
  <si>
    <t xml:space="preserve"> 2).TON당 하차비  </t>
  </si>
  <si>
    <t>_x0007_  2 * 11 / 2 / (480-30) * &amp;L00017&amp;  =</t>
  </si>
  <si>
    <t>중 기 사 용 료</t>
  </si>
  <si>
    <t>X00001</t>
  </si>
  <si>
    <t>_x0007_`COD|S00001_x0005_`EXI|0_x0005_`DVD|F_x0005_`BMK| _x0005_`IPR|0_x0005_`BLA|F_x0005_`</t>
  </si>
  <si>
    <t>S00001_1</t>
  </si>
  <si>
    <t xml:space="preserve">경비    1 </t>
  </si>
  <si>
    <t>_x0007_`COD|L00018_x0005_`EXI|0_x0005_`DVD|F_x0005_`BMK| _x0005_`IPR|0_x0005_`BLA|F_x0005_`</t>
  </si>
  <si>
    <t>L00018_1</t>
  </si>
  <si>
    <t xml:space="preserve">노무    7 </t>
  </si>
  <si>
    <t>_x0007_`COD|M00003_x0005_`EXI|0_x0005_`DVD|F_x0005_`BMK| _x0005_`IPR|0_x0005_`KWN|0_x0005_`BLA|F_x0005_`</t>
  </si>
  <si>
    <t>M00003_1</t>
  </si>
  <si>
    <t xml:space="preserve">자재    2 </t>
  </si>
  <si>
    <t>_x0007_`COD|M00093_x0005_`EXI|0_x0005_`DVD|F_x0005_`BMK| _x0005_`IPR|0_x0005_`KWN|0_x0005_`BLA|F_x0005_`</t>
  </si>
  <si>
    <t>M00093_1</t>
  </si>
  <si>
    <t xml:space="preserve">자재   11 </t>
  </si>
  <si>
    <t>_x0007_`COD|S00003_x0005_`EXI|0_x0005_`DVD|F_x0005_`BMK| _x0005_`IPR|0_x0005_`BLA|F_x0005_`</t>
  </si>
  <si>
    <t>S00003_1</t>
  </si>
  <si>
    <t xml:space="preserve">경비    2 </t>
  </si>
  <si>
    <t>_x0007_`COD|S00004_x0005_`EXI|0_x0005_`DVD|F_x0005_`BMK| _x0005_`IPR|0_x0005_`BLA|F_x0005_`</t>
  </si>
  <si>
    <t>S00004_1</t>
  </si>
  <si>
    <t xml:space="preserve">경비    3 </t>
  </si>
  <si>
    <t>_x0007_`COD|S00005_x0005_`EXI|0_x0005_`DVD|F_x0005_`BMK| _x0005_`IPR|0_x0005_`BLA|F_x0005_`</t>
  </si>
  <si>
    <t>S00005_1</t>
  </si>
  <si>
    <t xml:space="preserve">경비    4 </t>
  </si>
  <si>
    <t>_x0007_`COD|S00006_x0005_`EXI|0_x0005_`DVD|F_x0005_`BMK| _x0005_`IPR|0_x0005_`BLA|F_x0005_`</t>
  </si>
  <si>
    <t>S00006_1</t>
  </si>
  <si>
    <t xml:space="preserve">경비    5 </t>
  </si>
  <si>
    <t>_x0007_`COD|S00008_x0005_`EXI|0_x0005_`DVD|F_x0005_`BMK| _x0005_`IPR|0_x0005_`BLA|F_x0005_`</t>
  </si>
  <si>
    <t>S00008_1</t>
  </si>
  <si>
    <t xml:space="preserve">경비    6 </t>
  </si>
  <si>
    <t>_x0007_`COD|S00021_x0005_`EXI|0_x0005_`DVD|F_x0005_`BMK| _x0005_`IPR|0_x0005_`BLA|F_x0005_`</t>
  </si>
  <si>
    <t>S00021_1</t>
  </si>
  <si>
    <t xml:space="preserve">경비    9 </t>
  </si>
  <si>
    <t>_x0007_`COD|S00020_x0005_`EXI|0_x0005_`DVD|F_x0005_`BMK| _x0005_`IPR|0_x0005_`BLA|F_x0005_`</t>
  </si>
  <si>
    <t>S00020_1</t>
  </si>
  <si>
    <t xml:space="preserve">경비    8 </t>
  </si>
  <si>
    <t>_x0007_`COD|L00020_x0005_`EXI|0_x0005_`DVD|F_x0005_`BMK| _x0005_`IPR|0_x0005_`BLA|F_x0005_`</t>
  </si>
  <si>
    <t>L00020_1</t>
  </si>
  <si>
    <t xml:space="preserve">노무    8 </t>
  </si>
  <si>
    <t>_x0007_`COD|S00022_x0005_`EXI|0_x0005_`DVD|F_x0005_`BMK| _x0005_`IPR|0_x0005_`BLA|F_x0005_`</t>
  </si>
  <si>
    <t>S00022_1</t>
  </si>
  <si>
    <t xml:space="preserve">경비   10 </t>
  </si>
  <si>
    <t>_x0007_`COD|S00058_x0005_`EXI|0_x0005_`DVD|F_x0005_`BMK| _x0005_`IPR|0_x0005_`BLA|F_x0005_`</t>
  </si>
  <si>
    <t>S00058_1</t>
  </si>
  <si>
    <t xml:space="preserve">경비   15 </t>
  </si>
  <si>
    <t>_x0007_`COD|S00036_x0005_`EXI|0_x0005_`DVD|F_x0005_`BMK| _x0005_`IPR|0_x0005_`BLA|F_x0005_`</t>
  </si>
  <si>
    <t>S00036_1</t>
  </si>
  <si>
    <t xml:space="preserve">경비   12 </t>
  </si>
  <si>
    <t>_x0007_`COD|S00038_x0005_`EXI|0_x0005_`DVD|F_x0005_`BMK| _x0005_`IPR|0_x0005_`BLA|F_x0005_`</t>
  </si>
  <si>
    <t>S00038_1</t>
  </si>
  <si>
    <t xml:space="preserve">경비   13 </t>
  </si>
  <si>
    <t>_x0007_`COD|L00021_x0005_`EXI|0_x0005_`DVD|F_x0005_`BMK| _x0005_`IPR|0_x0005_`BLA|F_x0005_`</t>
  </si>
  <si>
    <t>L00021_1</t>
  </si>
  <si>
    <t xml:space="preserve">노무    9 </t>
  </si>
  <si>
    <t>_x0007_`COD|M00001_x0005_`EXI|0_x0005_`DVD|F_x0005_`BMK| _x0005_`IPR|0_x0005_`KWN|0_x0005_`BLA|F_x0005_`</t>
  </si>
  <si>
    <t>M00001_1</t>
  </si>
  <si>
    <t xml:space="preserve">자재    1 </t>
  </si>
  <si>
    <t>_x0007_`COD|M00099_x0005_`EXI|0_x0005_`DVD|F_x0005_`BMK| _x0005_`IPR|0_x0005_`KWN|0_x0005_`BLA|F_x0005_`</t>
  </si>
  <si>
    <t>M00099_1</t>
  </si>
  <si>
    <t xml:space="preserve">자재   13 </t>
  </si>
  <si>
    <t>_x0007_`COD|S00043_x0005_`EXI|0_x0005_`DVD|F_x0005_`BMK| _x0005_`IPR|0_x0005_`BLA|F_x0005_`</t>
  </si>
  <si>
    <t>S00043_1</t>
  </si>
  <si>
    <t xml:space="preserve">경비   14 </t>
  </si>
  <si>
    <t>_x0007_`COD|M00090_x0005_`EXI|0_x0005_`DVD|F_x0005_`BMK| _x0005_`IPR|0_x0005_`KWN|0_x0005_`BLA|F_x0005_`</t>
  </si>
  <si>
    <t>M00090_1</t>
  </si>
  <si>
    <t xml:space="preserve">자재   10 </t>
  </si>
  <si>
    <t>_x0007_`COD|S00145_x0005_`EXI|0_x0005_`DVD|F_x0005_`BMK| _x0005_`IPR|0_x0005_`BLA|F_x0005_`</t>
  </si>
  <si>
    <t>S00145_1</t>
  </si>
  <si>
    <t xml:space="preserve">경비   18 </t>
  </si>
  <si>
    <t>_x0007_`COD|S00168_x0005_`EXI|0_x0005_`DVD|F_x0005_`BMK| _x0005_`IPR|0_x0005_`BLA|F_x0005_`</t>
  </si>
  <si>
    <t xml:space="preserve">경비   21 </t>
  </si>
  <si>
    <t>_x0007_`COD|S00167_x0005_`EXI|0_x0005_`DVD|F_x0005_`BMK| _x0005_`IPR|0_x0005_`BLA|F_x0005_`</t>
  </si>
  <si>
    <t>S00167_1</t>
  </si>
  <si>
    <t xml:space="preserve">경비   20 </t>
  </si>
  <si>
    <t>_x0007_`COD|S00146_x0005_`EXI|0_x0005_`DVD|F_x0005_`BMK| _x0005_`IPR|0_x0005_`BLA|F_x0005_`</t>
  </si>
  <si>
    <t>S00146_1</t>
  </si>
  <si>
    <t xml:space="preserve">경비   19 </t>
  </si>
  <si>
    <t>_x0007_`COD|S00138_x0005_`EXI|0_x0005_`DVD|F_x0005_`BMK| _x0005_`IPR|0_x0005_`BLA|F_x0005_`</t>
  </si>
  <si>
    <t>S00138_1</t>
  </si>
  <si>
    <t xml:space="preserve">경비   17 </t>
  </si>
  <si>
    <t>_x0007_`COD|S00017_x0005_`EXI|0_x0005_`DVD|F_x0005_`BMK| _x0005_`IPR|0_x0005_`BLA|F_x0005_`</t>
  </si>
  <si>
    <t>S00017_1</t>
  </si>
  <si>
    <t xml:space="preserve">경비    7 </t>
  </si>
  <si>
    <t>_x0007_`COD|S00023_x0005_`EXI|0_x0005_`DVD|F_x0005_`BMK| _x0005_`IPR|0_x0005_`BLA|F_x0005_`</t>
  </si>
  <si>
    <t>S00023_1</t>
  </si>
  <si>
    <t xml:space="preserve">경비   11 </t>
  </si>
  <si>
    <t>_x0007_`COD|M00947_x0005_`EXI|0_x0005_`DVD|F_x0005_`BMK| _x0005_`IPR|1_x0005_`KWN|0_x0005_`BLA|F_x0005_`</t>
  </si>
  <si>
    <t>M00947_1</t>
  </si>
  <si>
    <t xml:space="preserve">자재   32 </t>
  </si>
  <si>
    <t>주연료의%</t>
  </si>
  <si>
    <t>_x0007_`COD|PR_x0005_`EXI|1_x0005_`DVD|F_x0005_`BMK| _x0005_`IPR|0_x0005_`EQC|A01_x0005_`PRI|1_x0005_`PRO|1_x0005_`UNI|%_x0005_`BLA|F_x0005_`</t>
  </si>
  <si>
    <t>PRA01_1</t>
  </si>
  <si>
    <t>_x0007_`COD|S00170_x0005_`EXI|0_x0005_`DVD|F_x0005_`BMK| _x0005_`IPR|0_x0005_`BLA|F_x0005_`</t>
  </si>
  <si>
    <t>S00170_1</t>
  </si>
  <si>
    <t xml:space="preserve">경비   23 </t>
  </si>
  <si>
    <t>_x0007_`COD|S00169_x0005_`EXI|0_x0005_`DVD|F_x0005_`BMK| _x0005_`IPR|0_x0005_`BLA|F_x0005_`</t>
  </si>
  <si>
    <t>S00169_1</t>
  </si>
  <si>
    <t xml:space="preserve">경비   22 </t>
  </si>
  <si>
    <t>노무비 수량,금액 집계표</t>
  </si>
  <si>
    <t>경 비 수량,금액 집계표</t>
  </si>
  <si>
    <t>중기 시간,금액 집계표</t>
  </si>
  <si>
    <t>=== 엑셀파일에 작성에 대한 안내문(반드시 읽어보세요) ===</t>
  </si>
  <si>
    <t>엑셀파일 수정후 계산식 반영이 안될경우 :【 Ctrl+Alt(+Shift)+F9 】</t>
  </si>
  <si>
    <t>◈ 엑셀파일내의 산식은 기초단가, 복합단가, 내역서 및 총괄내역서까지 연결됩니다.</t>
  </si>
  <si>
    <t xml:space="preserve">    (모든산식은 단가만을 불러오며, 명칭, 규격, 단위, 비고.. 등은 TEXT로 입력됩니다)</t>
  </si>
  <si>
    <t>◈ 각 Sheet우측에는 해당 항목을 찾아가는 위치이동(→) 링크가 있으며, 클릭하면 이동됩니다.</t>
  </si>
  <si>
    <t xml:space="preserve">    (Alt + ← 키를 이용하여 찾아갔던 항목을 되돌아 올 수 있습니다.)</t>
  </si>
  <si>
    <t>◈ 자재단가 대비표의 적용단가는 수식이 적용되지 않았으나, 우측에 최소단가 수식을 입력하였습니다.</t>
  </si>
  <si>
    <t>◈ 일위대가표 및 중기사용료 및 총괄내역서의 양식은 일반양식을 적용합니다.</t>
  </si>
  <si>
    <t>◈ 단가산출근거의 수량부분은 계산식이 입력되지 않았습니다.</t>
  </si>
  <si>
    <t>※※※     아래의 내용(안내 및 오류)을 확인/검토 하세요     ※※※</t>
  </si>
  <si>
    <t>【착공내역서】253번째줄 에서 사용된【M00095】코드의 %단위(M%) 는 산식을 입력할 수 없으니 손료계산 형식으로 변경하십시요.</t>
  </si>
  <si>
    <t>【총괄설계내역서】62번째줄의 I열 이윤보정액은 총공사비 금액이 다를경우 임의조정(±α) 하십시요.</t>
  </si>
  <si>
    <t>【총괄설계내역서】67번째줄의 D열에 계산된 총공사비 금액을 확인하십시요.</t>
  </si>
  <si>
    <t>【일위대가표】146번째줄 에서 사용된【M00920】코드의 %단위(L%) 는 산식을 입력할 수 없으니 손료계산 형식으로 변경하십시요.</t>
  </si>
  <si>
    <t>【일위대가표】156번째줄 에서 사용된【M00920】코드의 %단위(L%) 는 산식을 입력할 수 없으니 손료계산 형식으로 변경하십시요.</t>
  </si>
  <si>
    <t>【일위대가표】261번째줄 에서 사용된【M00950】코드의 %단위(L%) 는 산식을 입력할 수 없으니 손료계산 형식으로 변경하십시요.</t>
  </si>
  <si>
    <t>【단가산출근거】929번째줄 에서 사용된【M00580】코드의 %단위(M%) 는 산식을 입력할 수 없으니 손료계산 형식으로 변경하십시요.</t>
  </si>
  <si>
    <t>【중기사용료】106번째줄 에서 사용된【M00090】코드의 %단위(M%) 는 산식을 입력할 수 없으니 손료계산 형식으로 변경하십시요.</t>
  </si>
  <si>
    <t>목    차</t>
  </si>
  <si>
    <t>1. ※※안내※※</t>
  </si>
  <si>
    <t>2. 공사원가계산서</t>
  </si>
  <si>
    <t>3. 총괄설계내역서</t>
  </si>
  <si>
    <t>4. 착공내역서</t>
  </si>
  <si>
    <t>5. 일위대가목록표</t>
  </si>
  <si>
    <t>6. 일위대가표</t>
  </si>
  <si>
    <t>7. 일위대가수량금액집계표</t>
  </si>
  <si>
    <t>8. 단가산출근거목록표</t>
  </si>
  <si>
    <t>9. 단가산출근거</t>
  </si>
  <si>
    <t>10. 단가산출근거수량금액집계표</t>
  </si>
  <si>
    <t>11. 환율및기초자료</t>
  </si>
  <si>
    <t>12. 중기목록표</t>
  </si>
  <si>
    <t>13. 중기사용료</t>
  </si>
  <si>
    <t>14. 재료비목록표</t>
  </si>
  <si>
    <t>15. 노무비목록표</t>
  </si>
  <si>
    <t>16. 경비목록표</t>
  </si>
  <si>
    <t>17. 자재단가대비표</t>
  </si>
  <si>
    <t>18. 재료비수량금액집계표</t>
  </si>
  <si>
    <t>19. 노무비수량금액집계표</t>
  </si>
  <si>
    <t>20. 경비수량금액집계표</t>
  </si>
  <si>
    <t>21. 중기시간금액집계표</t>
  </si>
  <si>
    <t>※ 본 엑셀자료는 【STmate w24.02】버전 이상에서 STmate 자료로 다시 등록할 수 있습니다.</t>
  </si>
  <si>
    <t xml:space="preserve">   단, 임의로 수정한 내용(Sheet삭제, 산근내용변경, 기타계산식변경..)은 반영되지 않을 수 있습니다.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</si>
  <si>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</si>
  <si>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</si>
  <si>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</si>
  <si>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</si>
  <si>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</si>
  <si>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</si>
  <si>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</si>
  <si>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</si>
  <si>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</si>
  <si>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</si>
  <si>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</si>
  <si>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</si>
  <si>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</si>
  <si>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</si>
  <si>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</si>
  <si>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</si>
  <si>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</si>
  <si>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</si>
  <si>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</si>
  <si>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</si>
  <si>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</si>
  <si>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</si>
  <si>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</si>
  <si>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</si>
  <si>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</si>
  <si>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</si>
  <si>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</si>
  <si>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</si>
  <si>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</si>
  <si>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</si>
  <si>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</si>
  <si>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</si>
  <si>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</si>
  <si>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</si>
  <si>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</si>
  <si>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</si>
  <si>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</si>
  <si>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</si>
  <si>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</si>
  <si>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</si>
  <si>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</si>
  <si>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</si>
  <si>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M_VER</t>
  </si>
  <si>
    <t>24.02</t>
  </si>
  <si>
    <t>PNAME</t>
  </si>
  <si>
    <t>2024년 간선임도 신설사업(기번3/울진.울진.대흥.산65외2)</t>
  </si>
  <si>
    <t>PCLAS</t>
  </si>
  <si>
    <t>SCLAS</t>
  </si>
  <si>
    <t>0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</si>
  <si>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</si>
  <si>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</si>
  <si>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</si>
  <si>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</si>
  <si>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</si>
  <si>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</si>
  <si>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</si>
  <si>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</si>
  <si>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EXRNM</t>
  </si>
  <si>
    <t>False</t>
  </si>
  <si>
    <t>RXNM_</t>
  </si>
  <si>
    <t>1/8*16/12*25/20</t>
  </si>
  <si>
    <t>COND_</t>
  </si>
  <si>
    <t>L00018L00020L00021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</si>
  <si>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</si>
  <si>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</si>
  <si>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</si>
  <si>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</si>
  <si>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</si>
  <si>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</si>
  <si>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</si>
  <si>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</si>
  <si>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</si>
  <si>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</si>
  <si>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</si>
  <si>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</si>
  <si>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</si>
  <si>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SUBNM</t>
  </si>
  <si>
    <t>[인쇄정보]</t>
  </si>
  <si>
    <t>BMSTR</t>
  </si>
  <si>
    <t>BMKNM</t>
  </si>
  <si>
    <t>TLMS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</si>
  <si>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</si>
  <si>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</si>
  <si>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</si>
  <si>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</si>
  <si>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</si>
  <si>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</si>
  <si>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</si>
  <si>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</si>
  <si>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</si>
  <si>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</si>
  <si>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</si>
  <si>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</si>
  <si>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</si>
  <si>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</si>
  <si>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</si>
  <si>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</si>
  <si>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</si>
  <si>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</si>
  <si>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</si>
  <si>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</si>
  <si>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</si>
  <si>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</si>
  <si>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</si>
  <si>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</si>
  <si>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</si>
  <si>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</si>
  <si>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w24.04</t>
  </si>
  <si>
    <t>PREP_COP</t>
  </si>
  <si>
    <t>산림사업본부 남부사업소 #01</t>
  </si>
  <si>
    <t>PREP_DATE</t>
  </si>
  <si>
    <t>2024-04-22</t>
  </si>
  <si>
    <t>[.끝.]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</si>
</sst>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#"/>
    <numFmt numFmtId="177" formatCode="#,##0.#######;\-#,##0.#######;#"/>
    <numFmt numFmtId="178" formatCode="#,##0.00#"/>
    <numFmt numFmtId="179" formatCode="#,##0.00\ &quot;(원/$)&quot;"/>
    <numFmt numFmtId="180" formatCode="#,##0.00\ &quot;(원/€)&quot;"/>
    <numFmt numFmtId="181" formatCode="#,##0.00\ &quot;(원/100￥)&quot;"/>
    <numFmt numFmtId="182" formatCode="#,##0.00#\ "/>
    <numFmt numFmtId="183" formatCode="#,##0;\-#,##0;#"/>
    <numFmt numFmtId="184" formatCode="#,##0.00#;\-#,##0.00#;#"/>
    <numFmt numFmtId="185" formatCode="#,##0.####;\-#,##0.####;#"/>
    <numFmt numFmtId="186" formatCode="#,##0.###;\-#,##0.###;#"/>
    <numFmt numFmtId="187" formatCode="#,##0.######;\-#,##0.######;#"/>
    <numFmt numFmtId="188" formatCode="#,##0.#######"/>
    <numFmt numFmtId="189" formatCode="0.000\ &quot;%&quot;;;#"/>
    <numFmt numFmtId="190" formatCode="0.#######;\-0.#######;#"/>
    <numFmt numFmtId="191" formatCode="#,##0.#;\-#,##0.#;#"/>
    <numFmt numFmtId="192" formatCode="#,##0.0#"/>
    <numFmt numFmtId="193" formatCode="0.######;\-0.######;#"/>
    <numFmt numFmtId="194" formatCode="#,##0.0#;\-#,##0.0#;#"/>
  </numFmts>
  <fonts count="25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color indexed="12"/>
      <name val="굴림체"/>
      <family val="3"/>
      <charset val="129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9"/>
      <color indexed="9"/>
      <name val="굴림체"/>
      <family val="3"/>
      <charset val="129"/>
    </font>
    <font>
      <sz val="9"/>
      <color indexed="22"/>
      <name val="맑은 고딕"/>
      <family val="3"/>
      <charset val="129"/>
      <scheme val="minor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2"/>
      <color indexed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sz val="10"/>
      <color indexed="12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9"/>
      <color indexed="12"/>
      <name val="굴림체"/>
      <family val="3"/>
      <charset val="129"/>
    </font>
    <font>
      <sz val="20"/>
      <color indexed="8"/>
      <name val="굴림체"/>
      <family val="3"/>
      <charset val="129"/>
    </font>
    <font>
      <sz val="9"/>
      <color indexed="10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178" fontId="2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179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182" fontId="2" fillId="0" borderId="5" xfId="0" applyNumberFormat="1" applyFont="1" applyBorder="1" applyAlignment="1">
      <alignment horizontal="right" vertical="center" shrinkToFit="1"/>
    </xf>
    <xf numFmtId="182" fontId="2" fillId="0" borderId="7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  <xf numFmtId="184" fontId="2" fillId="0" borderId="2" xfId="0" applyNumberFormat="1" applyFont="1" applyBorder="1" applyAlignment="1">
      <alignment horizontal="right" vertical="center" shrinkToFit="1"/>
    </xf>
    <xf numFmtId="0" fontId="3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right" vertical="center" shrinkToFit="1"/>
    </xf>
    <xf numFmtId="183" fontId="2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right" vertical="center" shrinkToFit="1"/>
    </xf>
    <xf numFmtId="185" fontId="2" fillId="0" borderId="5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shrinkToFit="1"/>
    </xf>
    <xf numFmtId="49" fontId="2" fillId="0" borderId="2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shrinkToFit="1"/>
    </xf>
    <xf numFmtId="187" fontId="2" fillId="0" borderId="2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183" fontId="2" fillId="0" borderId="3" xfId="0" applyNumberFormat="1" applyFont="1" applyBorder="1" applyAlignment="1">
      <alignment horizontal="right" vertical="center" shrinkToFit="1"/>
    </xf>
    <xf numFmtId="183" fontId="2" fillId="0" borderId="0" xfId="0" applyNumberFormat="1" applyFont="1" applyAlignment="1">
      <alignment horizontal="right" vertical="center" shrinkToFit="1"/>
    </xf>
    <xf numFmtId="187" fontId="2" fillId="0" borderId="4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shrinkToFit="1"/>
    </xf>
    <xf numFmtId="186" fontId="2" fillId="0" borderId="5" xfId="0" applyNumberFormat="1" applyFont="1" applyBorder="1" applyAlignment="1">
      <alignment horizontal="right" vertical="center" shrinkToFit="1"/>
    </xf>
    <xf numFmtId="187" fontId="2" fillId="0" borderId="3" xfId="0" applyNumberFormat="1" applyFont="1" applyBorder="1" applyAlignment="1">
      <alignment horizontal="right" vertical="center" shrinkToFit="1"/>
    </xf>
    <xf numFmtId="183" fontId="2" fillId="0" borderId="2" xfId="0" applyNumberFormat="1" applyFont="1" applyBorder="1" applyAlignment="1">
      <alignment horizontal="right" vertical="center" shrinkToFit="1"/>
    </xf>
    <xf numFmtId="186" fontId="2" fillId="0" borderId="2" xfId="0" applyNumberFormat="1" applyFont="1" applyBorder="1" applyAlignment="1">
      <alignment horizontal="right" vertical="center" shrinkToFit="1"/>
    </xf>
    <xf numFmtId="183" fontId="2" fillId="0" borderId="5" xfId="0" applyNumberFormat="1" applyFont="1" applyBorder="1" applyAlignment="1">
      <alignment horizontal="right" vertical="center" shrinkToFit="1"/>
    </xf>
    <xf numFmtId="183" fontId="2" fillId="2" borderId="0" xfId="0" applyNumberFormat="1" applyFont="1" applyFill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88" fontId="2" fillId="2" borderId="0" xfId="0" applyNumberFormat="1" applyFont="1" applyFill="1" applyAlignment="1">
      <alignment horizontal="right" vertical="center" shrinkToFit="1"/>
    </xf>
    <xf numFmtId="188" fontId="2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83" fontId="2" fillId="0" borderId="6" xfId="0" applyNumberFormat="1" applyFont="1" applyBorder="1" applyAlignment="1">
      <alignment horizontal="right" vertical="center" shrinkToFit="1"/>
    </xf>
    <xf numFmtId="189" fontId="2" fillId="0" borderId="10" xfId="0" applyNumberFormat="1" applyFont="1" applyBorder="1" applyAlignment="1">
      <alignment horizontal="right" vertical="center" shrinkToFit="1"/>
    </xf>
    <xf numFmtId="189" fontId="2" fillId="0" borderId="6" xfId="0" applyNumberFormat="1" applyFont="1" applyBorder="1" applyAlignment="1">
      <alignment horizontal="right" vertical="center" shrinkToFit="1"/>
    </xf>
    <xf numFmtId="189" fontId="2" fillId="0" borderId="5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49" fontId="2" fillId="0" borderId="6" xfId="0" applyNumberFormat="1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0" fontId="10" fillId="0" borderId="10" xfId="0" applyFont="1" applyBorder="1" applyAlignment="1">
      <alignment shrinkToFit="1"/>
    </xf>
    <xf numFmtId="0" fontId="10" fillId="0" borderId="3" xfId="0" applyFont="1" applyBorder="1" applyAlignment="1">
      <alignment shrinkToFit="1"/>
    </xf>
    <xf numFmtId="190" fontId="2" fillId="0" borderId="3" xfId="0" applyNumberFormat="1" applyFont="1" applyBorder="1" applyAlignment="1">
      <alignment horizontal="right" vertical="center" shrinkToFit="1"/>
    </xf>
    <xf numFmtId="185" fontId="11" fillId="0" borderId="6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shrinkToFit="1"/>
    </xf>
    <xf numFmtId="191" fontId="2" fillId="0" borderId="3" xfId="0" applyNumberFormat="1" applyFont="1" applyBorder="1" applyAlignment="1">
      <alignment horizontal="right" vertical="center" shrinkToFit="1"/>
    </xf>
    <xf numFmtId="191" fontId="2" fillId="0" borderId="2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191" fontId="2" fillId="0" borderId="4" xfId="0" applyNumberFormat="1" applyFont="1" applyBorder="1" applyAlignment="1">
      <alignment horizontal="right" vertical="center" shrinkToFit="1"/>
    </xf>
    <xf numFmtId="191" fontId="2" fillId="0" borderId="5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192" fontId="2" fillId="0" borderId="3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left" vertical="center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left" vertical="center" shrinkToFit="1"/>
    </xf>
    <xf numFmtId="0" fontId="2" fillId="0" borderId="10" xfId="0" applyNumberFormat="1" applyFont="1" applyBorder="1" applyAlignment="1">
      <alignment horizontal="left" vertical="center" shrinkToFit="1"/>
    </xf>
    <xf numFmtId="0" fontId="0" fillId="0" borderId="9" xfId="0" applyBorder="1" applyAlignment="1">
      <alignment shrinkToFit="1"/>
    </xf>
    <xf numFmtId="194" fontId="2" fillId="0" borderId="10" xfId="0" applyNumberFormat="1" applyFont="1" applyBorder="1" applyAlignment="1">
      <alignment horizontal="right" vertical="center" shrinkToFit="1"/>
    </xf>
    <xf numFmtId="194" fontId="2" fillId="0" borderId="3" xfId="0" applyNumberFormat="1" applyFont="1" applyBorder="1" applyAlignment="1">
      <alignment horizontal="right" vertical="center" shrinkToFit="1"/>
    </xf>
    <xf numFmtId="194" fontId="2" fillId="0" borderId="6" xfId="0" applyNumberFormat="1" applyFont="1" applyBorder="1" applyAlignment="1">
      <alignment horizontal="right" vertical="center" shrinkToFit="1"/>
    </xf>
    <xf numFmtId="194" fontId="2" fillId="0" borderId="11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shrinkToFit="1"/>
    </xf>
    <xf numFmtId="193" fontId="2" fillId="0" borderId="0" xfId="0" applyNumberFormat="1" applyFont="1" applyAlignment="1">
      <alignment horizontal="right" vertical="center" shrinkToFit="1"/>
    </xf>
    <xf numFmtId="194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left" vertical="center" shrinkToFit="1"/>
    </xf>
    <xf numFmtId="177" fontId="2" fillId="0" borderId="5" xfId="0" applyNumberFormat="1" applyFont="1" applyBorder="1" applyAlignment="1">
      <alignment horizontal="right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0" fillId="0" borderId="0" xfId="0" applyAlignment="1" applyProtection="1">
      <alignment shrinkToFit="1"/>
      <protection hidden="1"/>
    </xf>
    <xf numFmtId="49" fontId="2" fillId="3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NumberFormat="1" applyFont="1" applyAlignment="1" applyProtection="1">
      <alignment horizontal="center" vertical="center" shrinkToFit="1"/>
      <protection hidden="1"/>
    </xf>
    <xf numFmtId="0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0" fontId="1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0" fontId="0" fillId="0" borderId="0" xfId="0"/>
    <xf numFmtId="49" fontId="2" fillId="0" borderId="9" xfId="0" applyNumberFormat="1" applyFont="1" applyBorder="1" applyAlignment="1">
      <alignment horizontal="right" vertical="center" shrinkToFit="1"/>
    </xf>
    <xf numFmtId="0" fontId="0" fillId="0" borderId="9" xfId="0" applyBorder="1"/>
    <xf numFmtId="49" fontId="2" fillId="0" borderId="6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3" xfId="0" applyNumberFormat="1" applyFont="1" applyBorder="1" applyAlignment="1">
      <alignment horizontal="left" vertical="center" shrinkToFit="1"/>
    </xf>
    <xf numFmtId="0" fontId="0" fillId="0" borderId="3" xfId="0" applyBorder="1"/>
    <xf numFmtId="49" fontId="2" fillId="0" borderId="10" xfId="0" applyNumberFormat="1" applyFont="1" applyBorder="1" applyAlignment="1">
      <alignment horizontal="center" vertical="center" textRotation="255" shrinkToFit="1"/>
    </xf>
    <xf numFmtId="0" fontId="0" fillId="0" borderId="10" xfId="0" applyBorder="1"/>
    <xf numFmtId="0" fontId="0" fillId="0" borderId="1" xfId="0" applyBorder="1"/>
    <xf numFmtId="49" fontId="2" fillId="0" borderId="2" xfId="0" applyNumberFormat="1" applyFont="1" applyBorder="1" applyAlignment="1">
      <alignment horizontal="center" vertical="center" shrinkToFit="1"/>
    </xf>
    <xf numFmtId="0" fontId="0" fillId="0" borderId="5" xfId="0" applyBorder="1"/>
    <xf numFmtId="177" fontId="2" fillId="0" borderId="5" xfId="0" applyNumberFormat="1" applyFont="1" applyBorder="1" applyAlignment="1">
      <alignment horizontal="left" vertical="center" shrinkToFit="1"/>
    </xf>
    <xf numFmtId="0" fontId="0" fillId="0" borderId="4" xfId="0" applyBorder="1"/>
    <xf numFmtId="49" fontId="2" fillId="0" borderId="5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7" xfId="0" applyBorder="1"/>
    <xf numFmtId="180" fontId="2" fillId="0" borderId="7" xfId="0" applyNumberFormat="1" applyFont="1" applyBorder="1" applyAlignment="1">
      <alignment horizontal="center" vertical="center" shrinkToFit="1"/>
    </xf>
    <xf numFmtId="181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2" fillId="0" borderId="0" xfId="0" applyNumberFormat="1" applyFont="1" applyAlignment="1" applyProtection="1">
      <alignment horizontal="left" vertical="center" shrinkToFit="1"/>
      <protection hidden="1"/>
    </xf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1" xfId="0" applyBorder="1" applyAlignment="1">
      <alignment horizontal="distributed" indent="2"/>
    </xf>
    <xf numFmtId="49" fontId="2" fillId="0" borderId="2" xfId="0" applyNumberFormat="1" applyFont="1" applyBorder="1" applyAlignment="1">
      <alignment horizontal="distributed" vertical="center" indent="2" shrinkToFit="1"/>
    </xf>
    <xf numFmtId="0" fontId="0" fillId="0" borderId="5" xfId="0" applyBorder="1" applyAlignment="1">
      <alignment horizontal="distributed" indent="2"/>
    </xf>
    <xf numFmtId="49" fontId="9" fillId="0" borderId="2" xfId="0" applyNumberFormat="1" applyFont="1" applyBorder="1" applyAlignment="1">
      <alignment horizontal="distributed" vertical="center" indent="2" shrinkToFit="1"/>
    </xf>
  </cellXfs>
  <cellStyles count="1">
    <cellStyle name="표준" xfId="0" builtinId="0"/>
  </cellStyles>
  <dxfs count="8">
    <dxf>
      <fill>
        <patternFill>
          <bgColor rgb="FF808000"/>
        </patternFill>
      </fill>
    </dxf>
    <dxf>
      <numFmt numFmtId="176" formatCode="#,###"/>
    </dxf>
    <dxf>
      <numFmt numFmtId="176" formatCode="#,###"/>
    </dxf>
    <dxf>
      <numFmt numFmtId="176" formatCode="#,###"/>
    </dxf>
    <dxf>
      <numFmt numFmtId="176" formatCode="#,###"/>
    </dxf>
    <dxf>
      <numFmt numFmtId="176" formatCode="#,###"/>
    </dxf>
    <dxf>
      <fill>
        <patternFill>
          <bgColor rgb="FFC0C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7D36816C-0BA6-40C9-BFCC-177135BCC7C3}"/>
            </a:ext>
          </a:extLst>
        </xdr:cNvPr>
        <xdr:cNvCxnSpPr/>
      </xdr:nvCxnSpPr>
      <xdr:spPr>
        <a:xfrm>
          <a:off x="0" y="523875"/>
          <a:ext cx="2514600" cy="419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B1:D24"/>
  <sheetViews>
    <sheetView tabSelected="1" workbookViewId="0"/>
  </sheetViews>
  <sheetFormatPr defaultRowHeight="16.5" x14ac:dyDescent="0.3"/>
  <cols>
    <col min="2" max="2" width="31.625" customWidth="1"/>
    <col min="4" max="4" width="29.625" customWidth="1"/>
  </cols>
  <sheetData>
    <row r="1" spans="2:4" ht="24.95" customHeight="1" x14ac:dyDescent="0.3">
      <c r="D1" s="129" t="str">
        <f ca="1">IF('〓 INITIAL 〓'!C4,"※※ 기본정보의 일부가 삭제되어 Stmate로 변환할 수 없습니다 ※※","")</f>
        <v/>
      </c>
    </row>
    <row r="2" spans="2:4" ht="16.5" customHeight="1" x14ac:dyDescent="0.3">
      <c r="B2" s="117" t="s">
        <v>2552</v>
      </c>
      <c r="D2" s="118" t="s">
        <v>2574</v>
      </c>
    </row>
    <row r="3" spans="2:4" ht="16.5" customHeight="1" x14ac:dyDescent="0.3">
      <c r="D3" s="118" t="s">
        <v>2575</v>
      </c>
    </row>
    <row r="4" spans="2:4" ht="16.5" customHeight="1" x14ac:dyDescent="0.3">
      <c r="B4" s="25" t="s">
        <v>2553</v>
      </c>
      <c r="D4" s="2" t="str">
        <f>HYPERLINK("#'※※안내※※'!A1","※※안내※※ →")</f>
        <v>※※안내※※ →</v>
      </c>
    </row>
    <row r="5" spans="2:4" ht="16.5" customHeight="1" x14ac:dyDescent="0.3">
      <c r="B5" s="25" t="s">
        <v>2554</v>
      </c>
      <c r="D5" s="2" t="str">
        <f ca="1">HYPERLINK("#"&amp;공사원가계산서!G2&amp;"!A1","공사원가계산서 →")</f>
        <v>공사원가계산서 →</v>
      </c>
    </row>
    <row r="6" spans="2:4" ht="16.5" customHeight="1" x14ac:dyDescent="0.3">
      <c r="B6" s="25" t="s">
        <v>2555</v>
      </c>
      <c r="D6" s="2" t="str">
        <f ca="1">HYPERLINK("#"&amp;총괄설계내역서!H2&amp;"!A1","총괄설계내역서 →")</f>
        <v>총괄설계내역서 →</v>
      </c>
    </row>
    <row r="7" spans="2:4" ht="16.5" customHeight="1" x14ac:dyDescent="0.3">
      <c r="B7" s="25" t="s">
        <v>2556</v>
      </c>
      <c r="D7" s="2" t="str">
        <f ca="1">HYPERLINK("#"&amp;착공내역서!O2&amp;"!A1","착공내역서 →")</f>
        <v>착공내역서 →</v>
      </c>
    </row>
    <row r="8" spans="2:4" ht="16.5" customHeight="1" x14ac:dyDescent="0.3">
      <c r="B8" s="25" t="s">
        <v>2557</v>
      </c>
      <c r="D8" s="2" t="str">
        <f ca="1">HYPERLINK("#"&amp;일위대가목록표!J2&amp;"!A1","일위대가목록표 →")</f>
        <v>일위대가목록표 →</v>
      </c>
    </row>
    <row r="9" spans="2:4" ht="16.5" customHeight="1" x14ac:dyDescent="0.3">
      <c r="B9" s="25" t="s">
        <v>2558</v>
      </c>
      <c r="D9" s="2" t="str">
        <f ca="1">HYPERLINK("#"&amp;일위대가표!N2&amp;"!A1","일위대가표 →")</f>
        <v>일위대가표 →</v>
      </c>
    </row>
    <row r="10" spans="2:4" ht="16.5" customHeight="1" x14ac:dyDescent="0.3">
      <c r="B10" s="25" t="s">
        <v>2559</v>
      </c>
      <c r="D10" s="2" t="str">
        <f ca="1">HYPERLINK("#"&amp;일위대가수량금액집계표!K2&amp;"!A1","일위대가수량금액집계표 →")</f>
        <v>일위대가수량금액집계표 →</v>
      </c>
    </row>
    <row r="11" spans="2:4" ht="16.5" customHeight="1" x14ac:dyDescent="0.3">
      <c r="B11" s="25" t="s">
        <v>2560</v>
      </c>
      <c r="D11" s="2" t="str">
        <f ca="1">HYPERLINK("#"&amp;단가산출근거목록표!J2&amp;"!A1","단가산출근거목록표 →")</f>
        <v>단가산출근거목록표 →</v>
      </c>
    </row>
    <row r="12" spans="2:4" ht="16.5" customHeight="1" x14ac:dyDescent="0.3">
      <c r="B12" s="25" t="s">
        <v>2561</v>
      </c>
      <c r="D12" s="2" t="str">
        <f ca="1">HYPERLINK("#"&amp;단가산출근거!G2&amp;"!A1","단가산출근거 →")</f>
        <v>단가산출근거 →</v>
      </c>
    </row>
    <row r="13" spans="2:4" ht="16.5" customHeight="1" x14ac:dyDescent="0.3">
      <c r="B13" s="25" t="s">
        <v>2562</v>
      </c>
      <c r="D13" s="2" t="str">
        <f ca="1">HYPERLINK("#"&amp;단가산출근거수량금액집계표!K2&amp;"!A1","단가산출근거수량금액집계표 →")</f>
        <v>단가산출근거수량금액집계표 →</v>
      </c>
    </row>
    <row r="14" spans="2:4" ht="16.5" customHeight="1" x14ac:dyDescent="0.3">
      <c r="B14" s="25" t="s">
        <v>2563</v>
      </c>
      <c r="D14" s="2" t="str">
        <f ca="1">HYPERLINK("#"&amp;환율및기초자료!I2&amp;"!A1","환율및기초자료 →")</f>
        <v>환율및기초자료 →</v>
      </c>
    </row>
    <row r="15" spans="2:4" ht="16.5" customHeight="1" x14ac:dyDescent="0.3">
      <c r="B15" s="25" t="s">
        <v>2564</v>
      </c>
      <c r="D15" s="2" t="str">
        <f ca="1">HYPERLINK("#"&amp;중기목록표!J2&amp;"!A1","중기목록표 →")</f>
        <v>중기목록표 →</v>
      </c>
    </row>
    <row r="16" spans="2:4" ht="16.5" customHeight="1" x14ac:dyDescent="0.3">
      <c r="B16" s="25" t="s">
        <v>2565</v>
      </c>
      <c r="D16" s="2" t="str">
        <f ca="1">HYPERLINK("#"&amp;중기사용료!N2&amp;"!A1","중기사용료 →")</f>
        <v>중기사용료 →</v>
      </c>
    </row>
    <row r="17" spans="2:4" ht="16.5" customHeight="1" x14ac:dyDescent="0.3">
      <c r="B17" s="25" t="s">
        <v>2566</v>
      </c>
      <c r="D17" s="2" t="str">
        <f ca="1">HYPERLINK("#"&amp;재료비목록표!G2&amp;"!A1","재료비목록표 →")</f>
        <v>재료비목록표 →</v>
      </c>
    </row>
    <row r="18" spans="2:4" ht="16.5" customHeight="1" x14ac:dyDescent="0.3">
      <c r="B18" s="25" t="s">
        <v>2567</v>
      </c>
      <c r="D18" s="2" t="str">
        <f ca="1">HYPERLINK("#"&amp;노무비목록표!G2&amp;"!A1","노무비목록표 →")</f>
        <v>노무비목록표 →</v>
      </c>
    </row>
    <row r="19" spans="2:4" ht="16.5" customHeight="1" x14ac:dyDescent="0.3">
      <c r="B19" s="25" t="s">
        <v>2568</v>
      </c>
      <c r="D19" s="2" t="str">
        <f ca="1">HYPERLINK("#"&amp;경비목록표!G2&amp;"!A1","경비목록표 →")</f>
        <v>경비목록표 →</v>
      </c>
    </row>
    <row r="20" spans="2:4" ht="16.5" customHeight="1" x14ac:dyDescent="0.3">
      <c r="B20" s="25" t="s">
        <v>2569</v>
      </c>
      <c r="D20" s="2" t="str">
        <f ca="1">HYPERLINK("#"&amp;자재단가대비표!R2&amp;"!A1","자재단가대비표 →")</f>
        <v>자재단가대비표 →</v>
      </c>
    </row>
    <row r="21" spans="2:4" ht="16.5" customHeight="1" x14ac:dyDescent="0.3">
      <c r="B21" s="25" t="s">
        <v>2570</v>
      </c>
      <c r="D21" s="2" t="str">
        <f ca="1">HYPERLINK("#"&amp;재료비수량금액집계표!I2&amp;"!A1","재료비수량금액집계표 →")</f>
        <v>재료비수량금액집계표 →</v>
      </c>
    </row>
    <row r="22" spans="2:4" ht="16.5" customHeight="1" x14ac:dyDescent="0.3">
      <c r="B22" s="25" t="s">
        <v>2571</v>
      </c>
      <c r="D22" s="2" t="str">
        <f ca="1">HYPERLINK("#"&amp;노무비수량금액집계표!I2&amp;"!A1","노무비수량금액집계표 →")</f>
        <v>노무비수량금액집계표 →</v>
      </c>
    </row>
    <row r="23" spans="2:4" ht="16.5" customHeight="1" x14ac:dyDescent="0.3">
      <c r="B23" s="25" t="s">
        <v>2572</v>
      </c>
      <c r="D23" s="2" t="str">
        <f ca="1">HYPERLINK("#"&amp;경비수량금액집계표!I2&amp;"!A1","경비수량금액집계표 →")</f>
        <v>경비수량금액집계표 →</v>
      </c>
    </row>
    <row r="24" spans="2:4" ht="16.5" customHeight="1" x14ac:dyDescent="0.3">
      <c r="B24" s="25" t="s">
        <v>2573</v>
      </c>
      <c r="D24" s="2" t="str">
        <f ca="1">HYPERLINK("#"&amp;중기시간금액집계표!K2&amp;"!A1","중기시간금액집계표 →")</f>
        <v>중기시간금액집계표 →</v>
      </c>
    </row>
  </sheetData>
  <phoneticPr fontId="23" type="noConversion"/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1"/>
  <headerFooter alignWithMargins="0">
    <oddFooter xml:space="preserve">&amp;R&amp;"굴림체,"&amp;9 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331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2" width="64.75" style="5" customWidth="1"/>
    <col min="3" max="6" width="10" style="5" customWidth="1"/>
    <col min="7" max="7" width="9.125" style="96" hidden="1" customWidth="1"/>
    <col min="8" max="23" width="2.5" style="5" customWidth="1"/>
    <col min="24" max="24" width="9.125" style="5" customWidth="1"/>
    <col min="25" max="25" width="9.125" style="17" customWidth="1"/>
    <col min="26" max="16384" width="9.125" style="5"/>
  </cols>
  <sheetData>
    <row r="1" spans="1:25" ht="24.95" customHeight="1" x14ac:dyDescent="0.3">
      <c r="A1" s="130" t="s">
        <v>1315</v>
      </c>
      <c r="B1" s="131"/>
      <c r="C1" s="131"/>
      <c r="D1" s="131"/>
      <c r="E1" s="131"/>
      <c r="F1" s="131"/>
      <c r="G1" s="4" t="s">
        <v>166</v>
      </c>
      <c r="Y1" s="18" t="s">
        <v>166</v>
      </c>
    </row>
    <row r="2" spans="1:25" ht="12.6" customHeight="1" x14ac:dyDescent="0.3">
      <c r="A2" s="1" t="s">
        <v>1</v>
      </c>
      <c r="G2" s="21" t="str">
        <f ca="1">MID(CELL("filename",$A$1),FIND("]",CELL("filename",$A$1))+1,LEN(CELL("filename",$A$1)))</f>
        <v>단가산출근거</v>
      </c>
    </row>
    <row r="3" spans="1:25" ht="12.6" customHeight="1" x14ac:dyDescent="0.3">
      <c r="A3" s="7" t="s">
        <v>1316</v>
      </c>
      <c r="B3" s="7" t="s">
        <v>1318</v>
      </c>
      <c r="C3" s="146" t="s">
        <v>6</v>
      </c>
      <c r="D3" s="146" t="s">
        <v>7</v>
      </c>
      <c r="E3" s="146" t="s">
        <v>8</v>
      </c>
      <c r="F3" s="134" t="s">
        <v>9</v>
      </c>
    </row>
    <row r="4" spans="1:25" ht="12.6" customHeight="1" x14ac:dyDescent="0.3">
      <c r="A4" s="141" t="s">
        <v>1317</v>
      </c>
      <c r="B4" s="142"/>
      <c r="C4" s="140"/>
      <c r="D4" s="140"/>
      <c r="E4" s="140"/>
      <c r="F4" s="135"/>
      <c r="H4" s="20" t="s">
        <v>1319</v>
      </c>
      <c r="I4" s="20" t="s">
        <v>1320</v>
      </c>
      <c r="J4" s="20" t="s">
        <v>434</v>
      </c>
      <c r="K4" s="20" t="s">
        <v>477</v>
      </c>
      <c r="L4" s="20" t="s">
        <v>1321</v>
      </c>
      <c r="Y4" s="19" t="str">
        <f>HYPERLINK("#'〓 목 차 〓'!B2","목차 →")</f>
        <v>목차 →</v>
      </c>
    </row>
    <row r="5" spans="1:25" ht="12.6" customHeight="1" x14ac:dyDescent="0.3">
      <c r="A5" s="99" t="s">
        <v>11</v>
      </c>
      <c r="B5" s="100" t="s">
        <v>11</v>
      </c>
      <c r="C5" s="147">
        <f>C39</f>
        <v>7528</v>
      </c>
      <c r="D5" s="147">
        <f>D39</f>
        <v>6216</v>
      </c>
      <c r="E5" s="147">
        <f>E39</f>
        <v>1008</v>
      </c>
      <c r="F5" s="147">
        <f>F39</f>
        <v>304</v>
      </c>
      <c r="G5" s="36" t="str">
        <f>HYPERLINK("#G"&amp;ROW(G27),"_x0005_`BDCOD|D00075_x0007_`POSS|"&amp;ROW(G7)&amp;"_x0007_`POSE|"&amp;ROW(G27)&amp;"_x0007_`")</f>
        <v>_x0005_`BDCOD|D00075_x0007_`POSS|7_x0007_`POSE|27_x0007_`</v>
      </c>
    </row>
    <row r="6" spans="1:25" ht="12.6" customHeight="1" x14ac:dyDescent="0.3">
      <c r="A6" s="85"/>
      <c r="B6" s="100" t="s">
        <v>1322</v>
      </c>
      <c r="C6" s="137"/>
      <c r="D6" s="137"/>
      <c r="E6" s="137"/>
      <c r="F6" s="137"/>
      <c r="M6" s="20" t="s">
        <v>1323</v>
      </c>
    </row>
    <row r="7" spans="1:25" ht="12.6" customHeight="1" x14ac:dyDescent="0.3">
      <c r="A7" s="80"/>
      <c r="B7" s="80"/>
      <c r="C7" s="102"/>
      <c r="D7" s="102"/>
      <c r="E7" s="102"/>
      <c r="F7" s="102"/>
      <c r="G7" s="16" t="s">
        <v>1324</v>
      </c>
    </row>
    <row r="8" spans="1:25" ht="12.6" customHeight="1" x14ac:dyDescent="0.3">
      <c r="A8" s="70"/>
      <c r="B8" s="79" t="s">
        <v>1326</v>
      </c>
      <c r="C8" s="80"/>
      <c r="D8" s="80"/>
      <c r="E8" s="80"/>
      <c r="F8" s="80"/>
      <c r="G8" s="16" t="s">
        <v>1325</v>
      </c>
    </row>
    <row r="9" spans="1:25" ht="12.6" customHeight="1" x14ac:dyDescent="0.3">
      <c r="A9" s="80"/>
      <c r="B9" s="80"/>
      <c r="C9" s="80"/>
      <c r="D9" s="80"/>
      <c r="E9" s="80"/>
      <c r="F9" s="80"/>
      <c r="G9" s="16" t="s">
        <v>1327</v>
      </c>
    </row>
    <row r="10" spans="1:25" ht="12.6" customHeight="1" x14ac:dyDescent="0.3">
      <c r="A10" s="70"/>
      <c r="B10" s="79" t="s">
        <v>1329</v>
      </c>
      <c r="C10" s="80"/>
      <c r="D10" s="80"/>
      <c r="E10" s="80"/>
      <c r="F10" s="80"/>
      <c r="G10" s="16" t="s">
        <v>1328</v>
      </c>
    </row>
    <row r="11" spans="1:25" ht="12.6" customHeight="1" x14ac:dyDescent="0.3">
      <c r="A11" s="80"/>
      <c r="B11" s="80"/>
      <c r="C11" s="80"/>
      <c r="D11" s="80"/>
      <c r="E11" s="80"/>
      <c r="F11" s="80"/>
      <c r="G11" s="16" t="s">
        <v>1324</v>
      </c>
    </row>
    <row r="12" spans="1:25" ht="12.6" customHeight="1" x14ac:dyDescent="0.3">
      <c r="A12" s="70"/>
      <c r="B12" s="79" t="s">
        <v>1331</v>
      </c>
      <c r="C12" s="80"/>
      <c r="D12" s="80"/>
      <c r="E12" s="80"/>
      <c r="F12" s="80"/>
      <c r="G12" s="16" t="s">
        <v>1330</v>
      </c>
    </row>
    <row r="13" spans="1:25" ht="12.6" customHeight="1" x14ac:dyDescent="0.3">
      <c r="A13" s="80"/>
      <c r="B13" s="80"/>
      <c r="C13" s="80"/>
      <c r="D13" s="80"/>
      <c r="E13" s="80"/>
      <c r="F13" s="80"/>
      <c r="G13" s="16" t="s">
        <v>1324</v>
      </c>
    </row>
    <row r="14" spans="1:25" ht="12.6" customHeight="1" x14ac:dyDescent="0.3">
      <c r="A14" s="70"/>
      <c r="B14" s="79" t="s">
        <v>1333</v>
      </c>
      <c r="C14" s="80"/>
      <c r="D14" s="80"/>
      <c r="E14" s="80"/>
      <c r="F14" s="80"/>
      <c r="G14" s="16" t="s">
        <v>1332</v>
      </c>
    </row>
    <row r="15" spans="1:25" ht="12.6" customHeight="1" x14ac:dyDescent="0.3">
      <c r="A15" s="80"/>
      <c r="B15" s="80"/>
      <c r="C15" s="80"/>
      <c r="D15" s="80"/>
      <c r="E15" s="80"/>
      <c r="F15" s="80"/>
      <c r="G15" s="16" t="s">
        <v>1324</v>
      </c>
    </row>
    <row r="16" spans="1:25" ht="12.6" customHeight="1" x14ac:dyDescent="0.3">
      <c r="A16" s="70"/>
      <c r="B16" s="79" t="s">
        <v>1335</v>
      </c>
      <c r="C16" s="80"/>
      <c r="D16" s="80"/>
      <c r="E16" s="80"/>
      <c r="F16" s="80"/>
      <c r="G16" s="16" t="s">
        <v>1334</v>
      </c>
    </row>
    <row r="17" spans="1:25" ht="12.6" customHeight="1" x14ac:dyDescent="0.3">
      <c r="A17" s="80"/>
      <c r="B17" s="80"/>
      <c r="C17" s="80"/>
      <c r="D17" s="80"/>
      <c r="E17" s="80"/>
      <c r="F17" s="80"/>
      <c r="G17" s="16" t="s">
        <v>1324</v>
      </c>
    </row>
    <row r="18" spans="1:25" ht="12.6" customHeight="1" x14ac:dyDescent="0.3">
      <c r="A18" s="80"/>
      <c r="B18" s="80"/>
      <c r="C18" s="80"/>
      <c r="D18" s="80"/>
      <c r="E18" s="80"/>
      <c r="F18" s="80"/>
      <c r="G18" s="16" t="s">
        <v>1324</v>
      </c>
    </row>
    <row r="19" spans="1:25" ht="12.6" customHeight="1" x14ac:dyDescent="0.3">
      <c r="A19" s="70" t="s">
        <v>1337</v>
      </c>
      <c r="B19" s="101" t="str">
        <f>" 노 무 비  :   "&amp;TEXT(I19,"#,##0"&amp;IF(I19&lt;&gt;INT(I19),".###",""))&amp;" / Q  = "&amp;TEXT(C19,"#,##0.0")&amp;""</f>
        <v xml:space="preserve"> 노 무 비  :   33,571 / Q  = 6,216.8</v>
      </c>
      <c r="C19" s="103">
        <f>E19+D19+F19</f>
        <v>6216.8</v>
      </c>
      <c r="D19" s="103">
        <f>IF(H19=0,0,ROUNDDOWN(J19*H19,1))</f>
        <v>6216.8</v>
      </c>
      <c r="E19" s="103">
        <f>IF(H19=0,0,ROUNDDOWN(K19*H19,1))</f>
        <v>0</v>
      </c>
      <c r="F19" s="103">
        <f>IF(H19=0,0,ROUNDDOWN(L19*H19,1))</f>
        <v>0</v>
      </c>
      <c r="G19" s="16" t="s">
        <v>1336</v>
      </c>
      <c r="H19" s="108">
        <v>0.1851851851953</v>
      </c>
      <c r="I19" s="109">
        <f>K19+J19+L19</f>
        <v>33571</v>
      </c>
      <c r="J19" s="39">
        <f>중기목록표!F17</f>
        <v>33571</v>
      </c>
      <c r="M19" s="20" t="s">
        <v>1338</v>
      </c>
      <c r="N19" s="20" t="s">
        <v>1345</v>
      </c>
      <c r="X19" s="110" t="str">
        <f>중기목록표!B17&amp;" / "&amp;중기목록표!C17</f>
        <v xml:space="preserve">콘크리트믹서0.45m3 / </v>
      </c>
      <c r="Y19" s="19" t="str">
        <f ca="1">HYPERLINK("#"&amp;중기목록표!J2&amp;"!A"&amp;ROW(중기목록표!A17),"중기   14 →")</f>
        <v>중기   14 →</v>
      </c>
    </row>
    <row r="20" spans="1:25" ht="12.6" customHeight="1" x14ac:dyDescent="0.3">
      <c r="A20" s="80"/>
      <c r="B20" s="80"/>
      <c r="C20" s="80"/>
      <c r="D20" s="80"/>
      <c r="E20" s="80"/>
      <c r="F20" s="80"/>
      <c r="G20" s="16" t="s">
        <v>1324</v>
      </c>
    </row>
    <row r="21" spans="1:25" ht="12.6" customHeight="1" x14ac:dyDescent="0.3">
      <c r="A21" s="80"/>
      <c r="B21" s="80"/>
      <c r="C21" s="80"/>
      <c r="D21" s="80"/>
      <c r="E21" s="80"/>
      <c r="F21" s="80"/>
      <c r="G21" s="16" t="s">
        <v>1324</v>
      </c>
    </row>
    <row r="22" spans="1:25" ht="12.6" customHeight="1" x14ac:dyDescent="0.3">
      <c r="A22" s="70" t="s">
        <v>1340</v>
      </c>
      <c r="B22" s="101" t="str">
        <f>" 재 료 비  :   "&amp;TEXT(I22,"#,##0"&amp;IF(I22&lt;&gt;INT(I22),".###",""))&amp;" / Q  = "&amp;TEXT(C22,"#,##0.0")&amp;""</f>
        <v xml:space="preserve"> 재 료 비  :   5,445 / Q  = 1,008.3</v>
      </c>
      <c r="C22" s="103">
        <f>E22+D22+F22</f>
        <v>1008.3</v>
      </c>
      <c r="D22" s="103">
        <f>IF(H22=0,0,ROUNDDOWN(J22*H22,1))</f>
        <v>0</v>
      </c>
      <c r="E22" s="103">
        <f>IF(H22=0,0,ROUNDDOWN(K22*H22,1))</f>
        <v>1008.3</v>
      </c>
      <c r="F22" s="103">
        <f>IF(H22=0,0,ROUNDDOWN(L22*H22,1))</f>
        <v>0</v>
      </c>
      <c r="G22" s="16" t="s">
        <v>1339</v>
      </c>
      <c r="H22" s="108">
        <v>0.1851851851953</v>
      </c>
      <c r="I22" s="109">
        <f>K22+J22+L22</f>
        <v>5445</v>
      </c>
      <c r="K22" s="39">
        <f>중기목록표!G17</f>
        <v>5445</v>
      </c>
      <c r="M22" s="20" t="s">
        <v>1338</v>
      </c>
      <c r="N22" s="20" t="s">
        <v>1345</v>
      </c>
      <c r="X22" s="110" t="str">
        <f>중기목록표!B17&amp;" / "&amp;중기목록표!C17</f>
        <v xml:space="preserve">콘크리트믹서0.45m3 / </v>
      </c>
      <c r="Y22" s="19" t="str">
        <f ca="1">HYPERLINK("#"&amp;중기목록표!J2&amp;"!A"&amp;ROW(중기목록표!A17),"중기   14 →")</f>
        <v>중기   14 →</v>
      </c>
    </row>
    <row r="23" spans="1:25" ht="12.6" customHeight="1" x14ac:dyDescent="0.3">
      <c r="A23" s="80"/>
      <c r="B23" s="80"/>
      <c r="C23" s="80"/>
      <c r="D23" s="80"/>
      <c r="E23" s="80"/>
      <c r="F23" s="80"/>
      <c r="G23" s="16" t="s">
        <v>1324</v>
      </c>
    </row>
    <row r="24" spans="1:25" ht="12.6" customHeight="1" x14ac:dyDescent="0.3">
      <c r="A24" s="80"/>
      <c r="B24" s="80"/>
      <c r="C24" s="80"/>
      <c r="D24" s="80"/>
      <c r="E24" s="80"/>
      <c r="F24" s="80"/>
      <c r="G24" s="16" t="s">
        <v>1324</v>
      </c>
    </row>
    <row r="25" spans="1:25" ht="12.6" customHeight="1" x14ac:dyDescent="0.3">
      <c r="A25" s="70" t="s">
        <v>1342</v>
      </c>
      <c r="B25" s="101" t="str">
        <f>" 경    비  :   "&amp;TEXT(I25,"#,##0"&amp;IF(I25&lt;&gt;INT(I25),".###",""))&amp;" / Q  = "&amp;TEXT(C25,"#,##0.0")&amp;""</f>
        <v xml:space="preserve"> 경    비  :   1,643 / Q  = 304.2</v>
      </c>
      <c r="C25" s="103">
        <f>E25+D25+F25</f>
        <v>304.2</v>
      </c>
      <c r="D25" s="103">
        <f>IF(H25=0,0,ROUNDDOWN(J25*H25,1))</f>
        <v>0</v>
      </c>
      <c r="E25" s="103">
        <f>IF(H25=0,0,ROUNDDOWN(K25*H25,1))</f>
        <v>0</v>
      </c>
      <c r="F25" s="103">
        <f>IF(H25=0,0,ROUNDDOWN(L25*H25,1))</f>
        <v>304.2</v>
      </c>
      <c r="G25" s="16" t="s">
        <v>1341</v>
      </c>
      <c r="H25" s="108">
        <v>0.1851851851953</v>
      </c>
      <c r="I25" s="109">
        <f>K25+J25+L25</f>
        <v>1643</v>
      </c>
      <c r="L25" s="39">
        <f>중기목록표!H17</f>
        <v>1643</v>
      </c>
      <c r="M25" s="20" t="s">
        <v>1338</v>
      </c>
      <c r="N25" s="20" t="s">
        <v>1345</v>
      </c>
      <c r="X25" s="110" t="str">
        <f>중기목록표!B17&amp;" / "&amp;중기목록표!C17</f>
        <v xml:space="preserve">콘크리트믹서0.45m3 / </v>
      </c>
      <c r="Y25" s="19" t="str">
        <f ca="1">HYPERLINK("#"&amp;중기목록표!J2&amp;"!A"&amp;ROW(중기목록표!A17),"중기   14 →")</f>
        <v>중기   14 →</v>
      </c>
    </row>
    <row r="26" spans="1:25" ht="12.6" customHeight="1" x14ac:dyDescent="0.3">
      <c r="A26" s="80"/>
      <c r="B26" s="80"/>
      <c r="C26" s="80"/>
      <c r="D26" s="80"/>
      <c r="E26" s="80"/>
      <c r="F26" s="80"/>
      <c r="G26" s="16" t="s">
        <v>1324</v>
      </c>
    </row>
    <row r="27" spans="1:25" ht="12.6" customHeight="1" x14ac:dyDescent="0.3">
      <c r="A27" s="70"/>
      <c r="B27" s="79" t="s">
        <v>1344</v>
      </c>
      <c r="C27" s="104">
        <f>E27+D27+F27</f>
        <v>7529.3</v>
      </c>
      <c r="D27" s="104">
        <f>SUMIF(N7:N26,M27,D7:D26)</f>
        <v>6216.8</v>
      </c>
      <c r="E27" s="104">
        <f>SUMIF(N7:N26,M27,E7:E26)</f>
        <v>1008.3</v>
      </c>
      <c r="F27" s="104">
        <f>SUMIF(N7:N26,M27,F7:F26)</f>
        <v>304.2</v>
      </c>
      <c r="G27" s="16" t="s">
        <v>1343</v>
      </c>
      <c r="M27" s="20" t="s">
        <v>1345</v>
      </c>
      <c r="N27" s="20" t="s">
        <v>1129</v>
      </c>
    </row>
    <row r="28" spans="1:25" ht="12.6" customHeight="1" x14ac:dyDescent="0.3">
      <c r="A28" s="80"/>
      <c r="B28" s="80"/>
      <c r="C28" s="102"/>
      <c r="D28" s="102"/>
      <c r="E28" s="102"/>
      <c r="F28" s="102"/>
    </row>
    <row r="29" spans="1:25" ht="12.6" customHeight="1" x14ac:dyDescent="0.3">
      <c r="A29" s="80"/>
      <c r="B29" s="80"/>
      <c r="C29" s="80"/>
      <c r="D29" s="80"/>
      <c r="E29" s="80"/>
      <c r="F29" s="80"/>
    </row>
    <row r="30" spans="1:25" ht="12.6" customHeight="1" x14ac:dyDescent="0.3">
      <c r="A30" s="80"/>
      <c r="B30" s="80"/>
      <c r="C30" s="80"/>
      <c r="D30" s="80"/>
      <c r="E30" s="80"/>
      <c r="F30" s="80"/>
    </row>
    <row r="31" spans="1:25" ht="12.6" customHeight="1" x14ac:dyDescent="0.3">
      <c r="A31" s="80"/>
      <c r="B31" s="80"/>
      <c r="C31" s="80"/>
      <c r="D31" s="80"/>
      <c r="E31" s="80"/>
      <c r="F31" s="80"/>
    </row>
    <row r="32" spans="1:25" ht="12.6" customHeight="1" x14ac:dyDescent="0.3">
      <c r="A32" s="80"/>
      <c r="B32" s="80"/>
      <c r="C32" s="80"/>
      <c r="D32" s="80"/>
      <c r="E32" s="80"/>
      <c r="F32" s="80"/>
    </row>
    <row r="33" spans="1:13" ht="12.6" customHeight="1" x14ac:dyDescent="0.3">
      <c r="A33" s="80"/>
      <c r="B33" s="80"/>
      <c r="C33" s="80"/>
      <c r="D33" s="80"/>
      <c r="E33" s="80"/>
      <c r="F33" s="80"/>
    </row>
    <row r="34" spans="1:13" ht="12.6" customHeight="1" x14ac:dyDescent="0.3">
      <c r="A34" s="80"/>
      <c r="B34" s="80"/>
      <c r="C34" s="80"/>
      <c r="D34" s="80"/>
      <c r="E34" s="80"/>
      <c r="F34" s="80"/>
    </row>
    <row r="35" spans="1:13" ht="12.6" customHeight="1" x14ac:dyDescent="0.3">
      <c r="A35" s="80"/>
      <c r="B35" s="80"/>
      <c r="C35" s="80"/>
      <c r="D35" s="80"/>
      <c r="E35" s="80"/>
      <c r="F35" s="80"/>
    </row>
    <row r="36" spans="1:13" ht="12.6" customHeight="1" x14ac:dyDescent="0.3">
      <c r="A36" s="80"/>
      <c r="B36" s="80"/>
      <c r="C36" s="80"/>
      <c r="D36" s="80"/>
      <c r="E36" s="80"/>
      <c r="F36" s="80"/>
    </row>
    <row r="37" spans="1:13" ht="12.6" customHeight="1" x14ac:dyDescent="0.3">
      <c r="A37" s="80"/>
      <c r="B37" s="80"/>
      <c r="C37" s="80"/>
      <c r="D37" s="80"/>
      <c r="E37" s="80"/>
      <c r="F37" s="80"/>
    </row>
    <row r="38" spans="1:13" ht="12.6" customHeight="1" x14ac:dyDescent="0.3">
      <c r="A38" s="58"/>
      <c r="B38" s="58"/>
      <c r="C38" s="58"/>
      <c r="D38" s="58"/>
      <c r="E38" s="58"/>
      <c r="F38" s="58"/>
    </row>
    <row r="39" spans="1:13" ht="12.6" customHeight="1" x14ac:dyDescent="0.3">
      <c r="A39" s="141" t="s">
        <v>1346</v>
      </c>
      <c r="B39" s="142"/>
      <c r="C39" s="55">
        <f>E39+D39+F39</f>
        <v>7528</v>
      </c>
      <c r="D39" s="54">
        <f>ROUNDDOWN(SUMIF(N7:N27,M39,D7:D27),0)</f>
        <v>6216</v>
      </c>
      <c r="E39" s="63">
        <f>ROUNDDOWN(SUMIF(N7:N27,M39,E7:E27),0)</f>
        <v>1008</v>
      </c>
      <c r="F39" s="55">
        <f>ROUNDDOWN(SUMIF(N7:N27,M39,F7:F27),0)</f>
        <v>304</v>
      </c>
      <c r="M39" s="20" t="s">
        <v>1129</v>
      </c>
    </row>
    <row r="40" spans="1:13" ht="12.6" customHeight="1" x14ac:dyDescent="0.3">
      <c r="A40" s="99" t="s">
        <v>17</v>
      </c>
      <c r="B40" s="100" t="s">
        <v>17</v>
      </c>
      <c r="C40" s="147">
        <f>C109</f>
        <v>8328</v>
      </c>
      <c r="D40" s="147">
        <f>D109</f>
        <v>6878</v>
      </c>
      <c r="E40" s="147">
        <f>E109</f>
        <v>538</v>
      </c>
      <c r="F40" s="147">
        <f>F109</f>
        <v>912</v>
      </c>
      <c r="G40" s="36" t="str">
        <f>HYPERLINK("#G"&amp;ROW(G73),"_x0005_`BDCOD|D00159_x0007_`POSS|"&amp;ROW(G42)&amp;"_x0007_`POSE|"&amp;ROW(G73)&amp;"_x0007_`")</f>
        <v>_x0005_`BDCOD|D00159_x0007_`POSS|42_x0007_`POSE|73_x0007_`</v>
      </c>
    </row>
    <row r="41" spans="1:13" ht="12.6" customHeight="1" x14ac:dyDescent="0.3">
      <c r="A41" s="85"/>
      <c r="B41" s="100" t="s">
        <v>171</v>
      </c>
      <c r="C41" s="137"/>
      <c r="D41" s="137"/>
      <c r="E41" s="137"/>
      <c r="F41" s="137"/>
      <c r="M41" s="20" t="s">
        <v>170</v>
      </c>
    </row>
    <row r="42" spans="1:13" ht="12.6" customHeight="1" x14ac:dyDescent="0.3">
      <c r="A42" s="70"/>
      <c r="B42" s="79" t="s">
        <v>1348</v>
      </c>
      <c r="C42" s="102"/>
      <c r="D42" s="102"/>
      <c r="E42" s="102"/>
      <c r="F42" s="102"/>
      <c r="G42" s="16" t="s">
        <v>1347</v>
      </c>
    </row>
    <row r="43" spans="1:13" ht="12.6" customHeight="1" x14ac:dyDescent="0.3">
      <c r="A43" s="80"/>
      <c r="B43" s="80"/>
      <c r="C43" s="80"/>
      <c r="D43" s="80"/>
      <c r="E43" s="80"/>
      <c r="F43" s="80"/>
      <c r="G43" s="16" t="s">
        <v>1324</v>
      </c>
    </row>
    <row r="44" spans="1:13" ht="12.6" customHeight="1" x14ac:dyDescent="0.3">
      <c r="A44" s="70"/>
      <c r="B44" s="79" t="s">
        <v>1350</v>
      </c>
      <c r="C44" s="80"/>
      <c r="D44" s="80"/>
      <c r="E44" s="80"/>
      <c r="F44" s="80"/>
      <c r="G44" s="16" t="s">
        <v>1349</v>
      </c>
    </row>
    <row r="45" spans="1:13" ht="12.6" customHeight="1" x14ac:dyDescent="0.3">
      <c r="A45" s="80"/>
      <c r="B45" s="80"/>
      <c r="C45" s="80"/>
      <c r="D45" s="80"/>
      <c r="E45" s="80"/>
      <c r="F45" s="80"/>
      <c r="G45" s="16" t="s">
        <v>1324</v>
      </c>
    </row>
    <row r="46" spans="1:13" ht="12.6" customHeight="1" x14ac:dyDescent="0.3">
      <c r="A46" s="70"/>
      <c r="B46" s="79" t="s">
        <v>1352</v>
      </c>
      <c r="C46" s="80"/>
      <c r="D46" s="80"/>
      <c r="E46" s="80"/>
      <c r="F46" s="80"/>
      <c r="G46" s="16" t="s">
        <v>1351</v>
      </c>
    </row>
    <row r="47" spans="1:13" ht="12.6" customHeight="1" x14ac:dyDescent="0.3">
      <c r="A47" s="80"/>
      <c r="B47" s="80"/>
      <c r="C47" s="80"/>
      <c r="D47" s="80"/>
      <c r="E47" s="80"/>
      <c r="F47" s="80"/>
      <c r="G47" s="16" t="s">
        <v>1324</v>
      </c>
    </row>
    <row r="48" spans="1:13" ht="12.6" customHeight="1" x14ac:dyDescent="0.3">
      <c r="A48" s="70"/>
      <c r="B48" s="79" t="s">
        <v>1354</v>
      </c>
      <c r="C48" s="80"/>
      <c r="D48" s="80"/>
      <c r="E48" s="80"/>
      <c r="F48" s="80"/>
      <c r="G48" s="16" t="s">
        <v>1353</v>
      </c>
    </row>
    <row r="49" spans="1:25" ht="12.6" customHeight="1" x14ac:dyDescent="0.3">
      <c r="A49" s="80"/>
      <c r="B49" s="80"/>
      <c r="C49" s="80"/>
      <c r="D49" s="80"/>
      <c r="E49" s="80"/>
      <c r="F49" s="80"/>
      <c r="G49" s="16" t="s">
        <v>1324</v>
      </c>
    </row>
    <row r="50" spans="1:25" ht="12.6" customHeight="1" x14ac:dyDescent="0.3">
      <c r="A50" s="80"/>
      <c r="B50" s="80"/>
      <c r="C50" s="80"/>
      <c r="D50" s="80"/>
      <c r="E50" s="80"/>
      <c r="F50" s="80"/>
      <c r="G50" s="16" t="s">
        <v>1324</v>
      </c>
    </row>
    <row r="51" spans="1:25" ht="12.6" customHeight="1" x14ac:dyDescent="0.3">
      <c r="A51" s="70"/>
      <c r="B51" s="79" t="s">
        <v>1356</v>
      </c>
      <c r="C51" s="80"/>
      <c r="D51" s="80"/>
      <c r="E51" s="80"/>
      <c r="F51" s="80"/>
      <c r="G51" s="16" t="s">
        <v>1355</v>
      </c>
    </row>
    <row r="52" spans="1:25" ht="12.6" customHeight="1" x14ac:dyDescent="0.3">
      <c r="A52" s="80"/>
      <c r="B52" s="80"/>
      <c r="C52" s="80"/>
      <c r="D52" s="80"/>
      <c r="E52" s="80"/>
      <c r="F52" s="80"/>
      <c r="G52" s="16" t="s">
        <v>1324</v>
      </c>
    </row>
    <row r="53" spans="1:25" ht="12.6" customHeight="1" x14ac:dyDescent="0.3">
      <c r="A53" s="80"/>
      <c r="B53" s="80"/>
      <c r="C53" s="80"/>
      <c r="D53" s="80"/>
      <c r="E53" s="80"/>
      <c r="F53" s="80"/>
      <c r="G53" s="16" t="s">
        <v>1324</v>
      </c>
    </row>
    <row r="54" spans="1:25" ht="12.6" customHeight="1" x14ac:dyDescent="0.3">
      <c r="A54" s="70" t="s">
        <v>666</v>
      </c>
      <c r="B54" s="101" t="str">
        <f>"  보통인부: 0.018 * "&amp;TEXT(I54,"#,##0"&amp;IF(I54&lt;&gt;INT(I54),".###",""))&amp;"  = "&amp;TEXT(C54,"#,##0.0")&amp;""</f>
        <v xml:space="preserve">  보통인부: 0.018 * 165,545  = 2,979.8</v>
      </c>
      <c r="C54" s="103">
        <f>E54+D54+F54</f>
        <v>2979.8</v>
      </c>
      <c r="D54" s="103">
        <f>IF(H54=0,0,ROUNDDOWN(J54*H54,1))</f>
        <v>2979.8</v>
      </c>
      <c r="E54" s="103">
        <f>IF(H54=0,0,ROUNDDOWN(K54*H54,1))</f>
        <v>0</v>
      </c>
      <c r="F54" s="103">
        <f>IF(H54=0,0,ROUNDDOWN(L54*H54,1))</f>
        <v>0</v>
      </c>
      <c r="G54" s="16" t="s">
        <v>1357</v>
      </c>
      <c r="H54" s="108">
        <v>1.8000000000099999E-2</v>
      </c>
      <c r="I54" s="109">
        <f>K54+J54+L54</f>
        <v>165545</v>
      </c>
      <c r="J54" s="39">
        <f>노무비목록표!E9</f>
        <v>165545</v>
      </c>
      <c r="M54" s="20" t="s">
        <v>1127</v>
      </c>
      <c r="N54" s="20" t="s">
        <v>1345</v>
      </c>
      <c r="X54" s="110" t="str">
        <f>노무비목록표!B9&amp;" / "&amp;노무비목록표!C9</f>
        <v xml:space="preserve">보통인부 / </v>
      </c>
      <c r="Y54" s="19" t="str">
        <f ca="1">HYPERLINK("#"&amp;노무비목록표!G2&amp;"!A"&amp;ROW(노무비목록표!A9),"노무    6 →")</f>
        <v>노무    6 →</v>
      </c>
    </row>
    <row r="55" spans="1:25" ht="12.6" customHeight="1" x14ac:dyDescent="0.3">
      <c r="A55" s="80"/>
      <c r="B55" s="80"/>
      <c r="C55" s="80"/>
      <c r="D55" s="80"/>
      <c r="E55" s="80"/>
      <c r="F55" s="80"/>
      <c r="G55" s="16" t="s">
        <v>1324</v>
      </c>
    </row>
    <row r="56" spans="1:25" ht="12.6" customHeight="1" x14ac:dyDescent="0.3">
      <c r="A56" s="80"/>
      <c r="B56" s="80"/>
      <c r="C56" s="80"/>
      <c r="D56" s="80"/>
      <c r="E56" s="80"/>
      <c r="F56" s="80"/>
      <c r="G56" s="16" t="s">
        <v>1324</v>
      </c>
    </row>
    <row r="57" spans="1:25" ht="12.6" customHeight="1" x14ac:dyDescent="0.3">
      <c r="A57" s="70"/>
      <c r="B57" s="79" t="s">
        <v>1344</v>
      </c>
      <c r="C57" s="104">
        <f>E57+D57+F57</f>
        <v>2979.8</v>
      </c>
      <c r="D57" s="104">
        <f>SUMIF(N42:N56,M57,D42:D56)</f>
        <v>2979.8</v>
      </c>
      <c r="E57" s="104">
        <f>SUMIF(N42:N56,M57,E42:E56)</f>
        <v>0</v>
      </c>
      <c r="F57" s="104">
        <f>SUMIF(N42:N56,M57,F42:F56)</f>
        <v>0</v>
      </c>
      <c r="G57" s="16" t="s">
        <v>1343</v>
      </c>
      <c r="M57" s="20" t="s">
        <v>1345</v>
      </c>
      <c r="N57" s="20" t="s">
        <v>1368</v>
      </c>
    </row>
    <row r="58" spans="1:25" ht="12.6" customHeight="1" x14ac:dyDescent="0.3">
      <c r="A58" s="80"/>
      <c r="B58" s="80"/>
      <c r="C58" s="102"/>
      <c r="D58" s="102"/>
      <c r="E58" s="102"/>
      <c r="F58" s="102"/>
      <c r="G58" s="16" t="s">
        <v>1324</v>
      </c>
    </row>
    <row r="59" spans="1:25" ht="12.6" customHeight="1" x14ac:dyDescent="0.3">
      <c r="A59" s="80"/>
      <c r="B59" s="80"/>
      <c r="C59" s="80"/>
      <c r="D59" s="80"/>
      <c r="E59" s="80"/>
      <c r="F59" s="80"/>
      <c r="G59" s="16" t="s">
        <v>1324</v>
      </c>
    </row>
    <row r="60" spans="1:25" ht="12.6" customHeight="1" x14ac:dyDescent="0.3">
      <c r="A60" s="70"/>
      <c r="B60" s="79" t="s">
        <v>1359</v>
      </c>
      <c r="C60" s="80"/>
      <c r="D60" s="80"/>
      <c r="E60" s="80"/>
      <c r="F60" s="80"/>
      <c r="G60" s="16" t="s">
        <v>1358</v>
      </c>
    </row>
    <row r="61" spans="1:25" ht="12.6" customHeight="1" x14ac:dyDescent="0.3">
      <c r="A61" s="80"/>
      <c r="B61" s="80"/>
      <c r="C61" s="80"/>
      <c r="D61" s="80"/>
      <c r="E61" s="80"/>
      <c r="F61" s="80"/>
      <c r="G61" s="16" t="s">
        <v>1324</v>
      </c>
    </row>
    <row r="62" spans="1:25" ht="12.6" customHeight="1" x14ac:dyDescent="0.3">
      <c r="A62" s="80"/>
      <c r="B62" s="80"/>
      <c r="C62" s="80"/>
      <c r="D62" s="80"/>
      <c r="E62" s="80"/>
      <c r="F62" s="80"/>
      <c r="G62" s="16" t="s">
        <v>1324</v>
      </c>
    </row>
    <row r="63" spans="1:25" ht="12.6" customHeight="1" x14ac:dyDescent="0.3">
      <c r="A63" s="70" t="s">
        <v>1361</v>
      </c>
      <c r="B63" s="101" t="str">
        <f>" 노무비: "&amp;TEXT(I63,"#,##0"&amp;IF(I63&lt;&gt;INT(I63),".###",""))&amp;" * 0.07 = "&amp;TEXT(C63,"#,##0.0")&amp;""</f>
        <v xml:space="preserve"> 노무비: 55,700 * 0.07 = 3,899.0</v>
      </c>
      <c r="C63" s="103">
        <f>E63+D63+F63</f>
        <v>3899</v>
      </c>
      <c r="D63" s="103">
        <f>IF(H63=0,0,ROUNDDOWN(J63*H63,1))</f>
        <v>3899</v>
      </c>
      <c r="E63" s="103">
        <f>IF(H63=0,0,ROUNDDOWN(K63*H63,1))</f>
        <v>0</v>
      </c>
      <c r="F63" s="103">
        <f>IF(H63=0,0,ROUNDDOWN(L63*H63,1))</f>
        <v>0</v>
      </c>
      <c r="G63" s="16" t="s">
        <v>1360</v>
      </c>
      <c r="H63" s="108">
        <v>7.0000000000099996E-2</v>
      </c>
      <c r="I63" s="109">
        <f>K63+J63+L63</f>
        <v>55700</v>
      </c>
      <c r="J63" s="39">
        <f>중기목록표!F5</f>
        <v>55700</v>
      </c>
      <c r="M63" s="20" t="s">
        <v>1362</v>
      </c>
      <c r="N63" s="20" t="s">
        <v>1345</v>
      </c>
      <c r="X63" s="110" t="str">
        <f>중기목록표!B5&amp;" / "&amp;중기목록표!C5</f>
        <v xml:space="preserve">굴삭기(0.2m3) / </v>
      </c>
      <c r="Y63" s="19" t="str">
        <f ca="1">HYPERLINK("#"&amp;중기목록표!J2&amp;"!A"&amp;ROW(중기목록표!A5),"중기    2 →")</f>
        <v>중기    2 →</v>
      </c>
    </row>
    <row r="64" spans="1:25" ht="12.6" customHeight="1" x14ac:dyDescent="0.3">
      <c r="A64" s="80"/>
      <c r="B64" s="80"/>
      <c r="C64" s="80"/>
      <c r="D64" s="80"/>
      <c r="E64" s="80"/>
      <c r="F64" s="80"/>
      <c r="G64" s="16" t="s">
        <v>1324</v>
      </c>
    </row>
    <row r="65" spans="1:25" ht="12.6" customHeight="1" x14ac:dyDescent="0.3">
      <c r="A65" s="70" t="s">
        <v>1364</v>
      </c>
      <c r="B65" s="101" t="str">
        <f>" 재료비: "&amp;TEXT(I65,"#,##0"&amp;IF(I65&lt;&gt;INT(I65),".###",""))&amp;" * 0.07 = "&amp;TEXT(C65,"#,##0.0")&amp;""</f>
        <v xml:space="preserve"> 재료비: 7,695 * 0.07 = 538.6</v>
      </c>
      <c r="C65" s="103">
        <f>E65+D65+F65</f>
        <v>538.6</v>
      </c>
      <c r="D65" s="103">
        <f>IF(H65=0,0,ROUNDDOWN(J65*H65,1))</f>
        <v>0</v>
      </c>
      <c r="E65" s="103">
        <f>IF(H65=0,0,ROUNDDOWN(K65*H65,1))</f>
        <v>538.6</v>
      </c>
      <c r="F65" s="103">
        <f>IF(H65=0,0,ROUNDDOWN(L65*H65,1))</f>
        <v>0</v>
      </c>
      <c r="G65" s="16" t="s">
        <v>1363</v>
      </c>
      <c r="H65" s="108">
        <v>7.0000000000099996E-2</v>
      </c>
      <c r="I65" s="109">
        <f>K65+J65+L65</f>
        <v>7695</v>
      </c>
      <c r="K65" s="39">
        <f>중기목록표!G5</f>
        <v>7695</v>
      </c>
      <c r="M65" s="20" t="s">
        <v>1362</v>
      </c>
      <c r="N65" s="20" t="s">
        <v>1345</v>
      </c>
      <c r="X65" s="110" t="str">
        <f>중기목록표!B5&amp;" / "&amp;중기목록표!C5</f>
        <v xml:space="preserve">굴삭기(0.2m3) / </v>
      </c>
      <c r="Y65" s="19" t="str">
        <f ca="1">HYPERLINK("#"&amp;중기목록표!J2&amp;"!A"&amp;ROW(중기목록표!A5),"중기    2 →")</f>
        <v>중기    2 →</v>
      </c>
    </row>
    <row r="66" spans="1:25" ht="12.6" customHeight="1" x14ac:dyDescent="0.3">
      <c r="A66" s="80"/>
      <c r="B66" s="80"/>
      <c r="C66" s="80"/>
      <c r="D66" s="80"/>
      <c r="E66" s="80"/>
      <c r="F66" s="80"/>
      <c r="G66" s="16" t="s">
        <v>1324</v>
      </c>
    </row>
    <row r="67" spans="1:25" ht="12.6" customHeight="1" x14ac:dyDescent="0.3">
      <c r="A67" s="70" t="s">
        <v>1366</v>
      </c>
      <c r="B67" s="101" t="str">
        <f>" 경  비: "&amp;TEXT(I67,"#,##0"&amp;IF(I67&lt;&gt;INT(I67),".###",""))&amp;" * 0.07 = "&amp;TEXT(C67,"#,##0.0")&amp;""</f>
        <v xml:space="preserve"> 경  비: 13,041 * 0.07 = 912.8</v>
      </c>
      <c r="C67" s="103">
        <f>E67+D67+F67</f>
        <v>912.8</v>
      </c>
      <c r="D67" s="103">
        <f>IF(H67=0,0,ROUNDDOWN(J67*H67,1))</f>
        <v>0</v>
      </c>
      <c r="E67" s="103">
        <f>IF(H67=0,0,ROUNDDOWN(K67*H67,1))</f>
        <v>0</v>
      </c>
      <c r="F67" s="103">
        <f>IF(H67=0,0,ROUNDDOWN(L67*H67,1))</f>
        <v>912.8</v>
      </c>
      <c r="G67" s="16" t="s">
        <v>1365</v>
      </c>
      <c r="H67" s="108">
        <v>7.0000000000099996E-2</v>
      </c>
      <c r="I67" s="109">
        <f>K67+J67+L67</f>
        <v>13041</v>
      </c>
      <c r="L67" s="39">
        <f>중기목록표!H5</f>
        <v>13041</v>
      </c>
      <c r="M67" s="20" t="s">
        <v>1362</v>
      </c>
      <c r="N67" s="20" t="s">
        <v>1345</v>
      </c>
      <c r="X67" s="110" t="str">
        <f>중기목록표!B5&amp;" / "&amp;중기목록표!C5</f>
        <v xml:space="preserve">굴삭기(0.2m3) / </v>
      </c>
      <c r="Y67" s="19" t="str">
        <f ca="1">HYPERLINK("#"&amp;중기목록표!J2&amp;"!A"&amp;ROW(중기목록표!A5),"중기    2 →")</f>
        <v>중기    2 →</v>
      </c>
    </row>
    <row r="68" spans="1:25" ht="12.6" customHeight="1" x14ac:dyDescent="0.3">
      <c r="A68" s="80"/>
      <c r="B68" s="80"/>
      <c r="C68" s="80"/>
      <c r="D68" s="80"/>
      <c r="E68" s="80"/>
      <c r="F68" s="80"/>
      <c r="G68" s="16" t="s">
        <v>1324</v>
      </c>
    </row>
    <row r="69" spans="1:25" ht="12.6" customHeight="1" x14ac:dyDescent="0.3">
      <c r="A69" s="80"/>
      <c r="B69" s="80"/>
      <c r="C69" s="80"/>
      <c r="D69" s="80"/>
      <c r="E69" s="80"/>
      <c r="F69" s="80"/>
      <c r="G69" s="16" t="s">
        <v>1324</v>
      </c>
    </row>
    <row r="70" spans="1:25" ht="12.6" customHeight="1" x14ac:dyDescent="0.3">
      <c r="A70" s="70"/>
      <c r="B70" s="79" t="s">
        <v>1344</v>
      </c>
      <c r="C70" s="104">
        <f>E70+D70+F70</f>
        <v>5350.4000000000005</v>
      </c>
      <c r="D70" s="104">
        <f>SUMIF(N58:N69,M70,D58:D69)</f>
        <v>3899</v>
      </c>
      <c r="E70" s="104">
        <f>SUMIF(N58:N69,M70,E58:E69)</f>
        <v>538.6</v>
      </c>
      <c r="F70" s="104">
        <f>SUMIF(N58:N69,M70,F58:F69)</f>
        <v>912.8</v>
      </c>
      <c r="G70" s="16" t="s">
        <v>1343</v>
      </c>
      <c r="M70" s="20" t="s">
        <v>1345</v>
      </c>
      <c r="N70" s="20" t="s">
        <v>1368</v>
      </c>
    </row>
    <row r="71" spans="1:25" ht="12.6" customHeight="1" x14ac:dyDescent="0.3">
      <c r="A71" s="80"/>
      <c r="B71" s="80"/>
      <c r="C71" s="102"/>
      <c r="D71" s="102"/>
      <c r="E71" s="102"/>
      <c r="F71" s="102"/>
      <c r="G71" s="16" t="s">
        <v>1324</v>
      </c>
    </row>
    <row r="72" spans="1:25" ht="12.6" customHeight="1" x14ac:dyDescent="0.3">
      <c r="A72" s="80"/>
      <c r="B72" s="80"/>
      <c r="C72" s="80"/>
      <c r="D72" s="80"/>
      <c r="E72" s="80"/>
      <c r="F72" s="80"/>
      <c r="G72" s="16" t="s">
        <v>1324</v>
      </c>
    </row>
    <row r="73" spans="1:25" ht="12.6" customHeight="1" x14ac:dyDescent="0.3">
      <c r="A73" s="70"/>
      <c r="B73" s="79" t="s">
        <v>1171</v>
      </c>
      <c r="C73" s="104">
        <f>E73+D73+F73</f>
        <v>8330.2000000000007</v>
      </c>
      <c r="D73" s="104">
        <f>SUMIF(N42:N72,M73,D42:D72)</f>
        <v>6878.8</v>
      </c>
      <c r="E73" s="104">
        <f>SUMIF(N42:N72,M73,E42:E72)</f>
        <v>538.6</v>
      </c>
      <c r="F73" s="104">
        <f>SUMIF(N42:N72,M73,F42:F72)</f>
        <v>912.8</v>
      </c>
      <c r="G73" s="16" t="s">
        <v>1367</v>
      </c>
      <c r="M73" s="20" t="s">
        <v>1368</v>
      </c>
      <c r="N73" s="20" t="s">
        <v>1129</v>
      </c>
    </row>
    <row r="74" spans="1:25" ht="12.6" customHeight="1" x14ac:dyDescent="0.3">
      <c r="A74" s="80"/>
      <c r="B74" s="80"/>
      <c r="C74" s="102"/>
      <c r="D74" s="102"/>
      <c r="E74" s="102"/>
      <c r="F74" s="102"/>
    </row>
    <row r="75" spans="1:25" ht="12.6" customHeight="1" x14ac:dyDescent="0.3">
      <c r="A75" s="80"/>
      <c r="B75" s="80"/>
      <c r="C75" s="80"/>
      <c r="D75" s="80"/>
      <c r="E75" s="80"/>
      <c r="F75" s="80"/>
    </row>
    <row r="76" spans="1:25" ht="12.6" customHeight="1" x14ac:dyDescent="0.3">
      <c r="A76" s="80"/>
      <c r="B76" s="80"/>
      <c r="C76" s="80"/>
      <c r="D76" s="80"/>
      <c r="E76" s="80"/>
      <c r="F76" s="80"/>
    </row>
    <row r="77" spans="1:25" ht="12.6" customHeight="1" x14ac:dyDescent="0.3">
      <c r="A77" s="80"/>
      <c r="B77" s="80"/>
      <c r="C77" s="80"/>
      <c r="D77" s="80"/>
      <c r="E77" s="80"/>
      <c r="F77" s="80"/>
    </row>
    <row r="78" spans="1:25" ht="12.6" customHeight="1" x14ac:dyDescent="0.3">
      <c r="A78" s="80"/>
      <c r="B78" s="80"/>
      <c r="C78" s="80"/>
      <c r="D78" s="80"/>
      <c r="E78" s="80"/>
      <c r="F78" s="80"/>
    </row>
    <row r="79" spans="1:25" ht="12.6" customHeight="1" x14ac:dyDescent="0.3">
      <c r="A79" s="80"/>
      <c r="B79" s="80"/>
      <c r="C79" s="80"/>
      <c r="D79" s="80"/>
      <c r="E79" s="80"/>
      <c r="F79" s="80"/>
    </row>
    <row r="80" spans="1:25" ht="12.6" customHeight="1" x14ac:dyDescent="0.3">
      <c r="A80" s="80"/>
      <c r="B80" s="80"/>
      <c r="C80" s="80"/>
      <c r="D80" s="80"/>
      <c r="E80" s="80"/>
      <c r="F80" s="80"/>
    </row>
    <row r="81" spans="1:6" ht="12.6" customHeight="1" x14ac:dyDescent="0.3">
      <c r="A81" s="80"/>
      <c r="B81" s="80"/>
      <c r="C81" s="80"/>
      <c r="D81" s="80"/>
      <c r="E81" s="80"/>
      <c r="F81" s="80"/>
    </row>
    <row r="82" spans="1:6" ht="12.6" customHeight="1" x14ac:dyDescent="0.3">
      <c r="A82" s="80"/>
      <c r="B82" s="80"/>
      <c r="C82" s="80"/>
      <c r="D82" s="80"/>
      <c r="E82" s="80"/>
      <c r="F82" s="80"/>
    </row>
    <row r="83" spans="1:6" ht="12.6" customHeight="1" x14ac:dyDescent="0.3">
      <c r="A83" s="80"/>
      <c r="B83" s="80"/>
      <c r="C83" s="80"/>
      <c r="D83" s="80"/>
      <c r="E83" s="80"/>
      <c r="F83" s="80"/>
    </row>
    <row r="84" spans="1:6" ht="12.6" customHeight="1" x14ac:dyDescent="0.3">
      <c r="A84" s="80"/>
      <c r="B84" s="80"/>
      <c r="C84" s="80"/>
      <c r="D84" s="80"/>
      <c r="E84" s="80"/>
      <c r="F84" s="80"/>
    </row>
    <row r="85" spans="1:6" ht="12.6" customHeight="1" x14ac:dyDescent="0.3">
      <c r="A85" s="80"/>
      <c r="B85" s="80"/>
      <c r="C85" s="80"/>
      <c r="D85" s="80"/>
      <c r="E85" s="80"/>
      <c r="F85" s="80"/>
    </row>
    <row r="86" spans="1:6" ht="12.6" customHeight="1" x14ac:dyDescent="0.3">
      <c r="A86" s="80"/>
      <c r="B86" s="80"/>
      <c r="C86" s="80"/>
      <c r="D86" s="80"/>
      <c r="E86" s="80"/>
      <c r="F86" s="80"/>
    </row>
    <row r="87" spans="1:6" ht="12.6" customHeight="1" x14ac:dyDescent="0.3">
      <c r="A87" s="80"/>
      <c r="B87" s="80"/>
      <c r="C87" s="80"/>
      <c r="D87" s="80"/>
      <c r="E87" s="80"/>
      <c r="F87" s="80"/>
    </row>
    <row r="88" spans="1:6" ht="12.6" customHeight="1" x14ac:dyDescent="0.3">
      <c r="A88" s="80"/>
      <c r="B88" s="80"/>
      <c r="C88" s="80"/>
      <c r="D88" s="80"/>
      <c r="E88" s="80"/>
      <c r="F88" s="80"/>
    </row>
    <row r="89" spans="1:6" ht="12.6" customHeight="1" x14ac:dyDescent="0.3">
      <c r="A89" s="80"/>
      <c r="B89" s="80"/>
      <c r="C89" s="80"/>
      <c r="D89" s="80"/>
      <c r="E89" s="80"/>
      <c r="F89" s="80"/>
    </row>
    <row r="90" spans="1:6" ht="12.6" customHeight="1" x14ac:dyDescent="0.3">
      <c r="A90" s="80"/>
      <c r="B90" s="80"/>
      <c r="C90" s="80"/>
      <c r="D90" s="80"/>
      <c r="E90" s="80"/>
      <c r="F90" s="80"/>
    </row>
    <row r="91" spans="1:6" ht="12.6" customHeight="1" x14ac:dyDescent="0.3">
      <c r="A91" s="80"/>
      <c r="B91" s="80"/>
      <c r="C91" s="80"/>
      <c r="D91" s="80"/>
      <c r="E91" s="80"/>
      <c r="F91" s="80"/>
    </row>
    <row r="92" spans="1:6" ht="12.6" customHeight="1" x14ac:dyDescent="0.3">
      <c r="A92" s="80"/>
      <c r="B92" s="80"/>
      <c r="C92" s="80"/>
      <c r="D92" s="80"/>
      <c r="E92" s="80"/>
      <c r="F92" s="80"/>
    </row>
    <row r="93" spans="1:6" ht="12.6" customHeight="1" x14ac:dyDescent="0.3">
      <c r="A93" s="80"/>
      <c r="B93" s="80"/>
      <c r="C93" s="80"/>
      <c r="D93" s="80"/>
      <c r="E93" s="80"/>
      <c r="F93" s="80"/>
    </row>
    <row r="94" spans="1:6" ht="12.6" customHeight="1" x14ac:dyDescent="0.3">
      <c r="A94" s="80"/>
      <c r="B94" s="80"/>
      <c r="C94" s="80"/>
      <c r="D94" s="80"/>
      <c r="E94" s="80"/>
      <c r="F94" s="80"/>
    </row>
    <row r="95" spans="1:6" ht="12.6" customHeight="1" x14ac:dyDescent="0.3">
      <c r="A95" s="80"/>
      <c r="B95" s="80"/>
      <c r="C95" s="80"/>
      <c r="D95" s="80"/>
      <c r="E95" s="80"/>
      <c r="F95" s="80"/>
    </row>
    <row r="96" spans="1:6" ht="12.6" customHeight="1" x14ac:dyDescent="0.3">
      <c r="A96" s="80"/>
      <c r="B96" s="80"/>
      <c r="C96" s="80"/>
      <c r="D96" s="80"/>
      <c r="E96" s="80"/>
      <c r="F96" s="80"/>
    </row>
    <row r="97" spans="1:13" ht="12.6" customHeight="1" x14ac:dyDescent="0.3">
      <c r="A97" s="80"/>
      <c r="B97" s="80"/>
      <c r="C97" s="80"/>
      <c r="D97" s="80"/>
      <c r="E97" s="80"/>
      <c r="F97" s="80"/>
    </row>
    <row r="98" spans="1:13" ht="12.6" customHeight="1" x14ac:dyDescent="0.3">
      <c r="A98" s="80"/>
      <c r="B98" s="80"/>
      <c r="C98" s="80"/>
      <c r="D98" s="80"/>
      <c r="E98" s="80"/>
      <c r="F98" s="80"/>
    </row>
    <row r="99" spans="1:13" ht="12.6" customHeight="1" x14ac:dyDescent="0.3">
      <c r="A99" s="80"/>
      <c r="B99" s="80"/>
      <c r="C99" s="80"/>
      <c r="D99" s="80"/>
      <c r="E99" s="80"/>
      <c r="F99" s="80"/>
    </row>
    <row r="100" spans="1:13" ht="12.6" customHeight="1" x14ac:dyDescent="0.3">
      <c r="A100" s="80"/>
      <c r="B100" s="80"/>
      <c r="C100" s="80"/>
      <c r="D100" s="80"/>
      <c r="E100" s="80"/>
      <c r="F100" s="80"/>
    </row>
    <row r="101" spans="1:13" ht="12.6" customHeight="1" x14ac:dyDescent="0.3">
      <c r="A101" s="80"/>
      <c r="B101" s="80"/>
      <c r="C101" s="80"/>
      <c r="D101" s="80"/>
      <c r="E101" s="80"/>
      <c r="F101" s="80"/>
    </row>
    <row r="102" spans="1:13" ht="12.6" customHeight="1" x14ac:dyDescent="0.3">
      <c r="A102" s="80"/>
      <c r="B102" s="80"/>
      <c r="C102" s="80"/>
      <c r="D102" s="80"/>
      <c r="E102" s="80"/>
      <c r="F102" s="80"/>
    </row>
    <row r="103" spans="1:13" ht="12.6" customHeight="1" x14ac:dyDescent="0.3">
      <c r="A103" s="80"/>
      <c r="B103" s="80"/>
      <c r="C103" s="80"/>
      <c r="D103" s="80"/>
      <c r="E103" s="80"/>
      <c r="F103" s="80"/>
    </row>
    <row r="104" spans="1:13" ht="12.6" customHeight="1" x14ac:dyDescent="0.3">
      <c r="A104" s="80"/>
      <c r="B104" s="80"/>
      <c r="C104" s="80"/>
      <c r="D104" s="80"/>
      <c r="E104" s="80"/>
      <c r="F104" s="80"/>
    </row>
    <row r="105" spans="1:13" ht="12.6" customHeight="1" x14ac:dyDescent="0.3">
      <c r="A105" s="80"/>
      <c r="B105" s="80"/>
      <c r="C105" s="80"/>
      <c r="D105" s="80"/>
      <c r="E105" s="80"/>
      <c r="F105" s="80"/>
    </row>
    <row r="106" spans="1:13" ht="12.6" customHeight="1" x14ac:dyDescent="0.3">
      <c r="A106" s="80"/>
      <c r="B106" s="80"/>
      <c r="C106" s="80"/>
      <c r="D106" s="80"/>
      <c r="E106" s="80"/>
      <c r="F106" s="80"/>
    </row>
    <row r="107" spans="1:13" ht="12.6" customHeight="1" x14ac:dyDescent="0.3">
      <c r="A107" s="80"/>
      <c r="B107" s="80"/>
      <c r="C107" s="80"/>
      <c r="D107" s="80"/>
      <c r="E107" s="80"/>
      <c r="F107" s="80"/>
    </row>
    <row r="108" spans="1:13" ht="12.6" customHeight="1" x14ac:dyDescent="0.3">
      <c r="A108" s="58"/>
      <c r="B108" s="58"/>
      <c r="C108" s="58"/>
      <c r="D108" s="58"/>
      <c r="E108" s="58"/>
      <c r="F108" s="58"/>
    </row>
    <row r="109" spans="1:13" ht="12.6" customHeight="1" x14ac:dyDescent="0.3">
      <c r="A109" s="141" t="s">
        <v>1346</v>
      </c>
      <c r="B109" s="142"/>
      <c r="C109" s="55">
        <f>E109+D109+F109</f>
        <v>8328</v>
      </c>
      <c r="D109" s="54">
        <f>ROUNDDOWN(SUMIF(N42:N73,M109,D42:D73),0)</f>
        <v>6878</v>
      </c>
      <c r="E109" s="63">
        <f>ROUNDDOWN(SUMIF(N42:N73,M109,E42:E73),0)</f>
        <v>538</v>
      </c>
      <c r="F109" s="55">
        <f>ROUNDDOWN(SUMIF(N42:N73,M109,F42:F73),0)</f>
        <v>912</v>
      </c>
      <c r="M109" s="20" t="s">
        <v>1129</v>
      </c>
    </row>
    <row r="110" spans="1:13" ht="12.6" customHeight="1" x14ac:dyDescent="0.3">
      <c r="A110" s="99" t="s">
        <v>23</v>
      </c>
      <c r="B110" s="100" t="s">
        <v>23</v>
      </c>
      <c r="C110" s="147">
        <f>C179</f>
        <v>12701</v>
      </c>
      <c r="D110" s="147">
        <f>D179</f>
        <v>7908</v>
      </c>
      <c r="E110" s="147">
        <f>E179</f>
        <v>1963</v>
      </c>
      <c r="F110" s="147">
        <f>F179</f>
        <v>2830</v>
      </c>
      <c r="G110" s="36" t="str">
        <f>HYPERLINK("#G"&amp;ROW(G176),"_x0005_`BDCOD|D00959_x0007_`POSS|"&amp;ROW(G112)&amp;"_x0007_`POSE|"&amp;ROW(G176)&amp;"_x0007_`")</f>
        <v>_x0005_`BDCOD|D00959_x0007_`POSS|112_x0007_`POSE|176_x0007_`</v>
      </c>
    </row>
    <row r="111" spans="1:13" ht="12.6" customHeight="1" x14ac:dyDescent="0.3">
      <c r="A111" s="85"/>
      <c r="B111" s="100" t="s">
        <v>175</v>
      </c>
      <c r="C111" s="137"/>
      <c r="D111" s="137"/>
      <c r="E111" s="137"/>
      <c r="F111" s="137"/>
      <c r="M111" s="20" t="s">
        <v>174</v>
      </c>
    </row>
    <row r="112" spans="1:13" ht="12.6" customHeight="1" x14ac:dyDescent="0.3">
      <c r="A112" s="80"/>
      <c r="B112" s="80"/>
      <c r="C112" s="102"/>
      <c r="D112" s="102"/>
      <c r="E112" s="102"/>
      <c r="F112" s="102"/>
      <c r="G112" s="16" t="s">
        <v>1324</v>
      </c>
    </row>
    <row r="113" spans="1:7" ht="12.6" customHeight="1" x14ac:dyDescent="0.3">
      <c r="A113" s="70"/>
      <c r="B113" s="79" t="s">
        <v>1370</v>
      </c>
      <c r="C113" s="80"/>
      <c r="D113" s="80"/>
      <c r="E113" s="80"/>
      <c r="F113" s="80"/>
      <c r="G113" s="16" t="s">
        <v>1369</v>
      </c>
    </row>
    <row r="114" spans="1:7" ht="12.6" customHeight="1" x14ac:dyDescent="0.3">
      <c r="A114" s="80"/>
      <c r="B114" s="80"/>
      <c r="C114" s="80"/>
      <c r="D114" s="80"/>
      <c r="E114" s="80"/>
      <c r="F114" s="80"/>
      <c r="G114" s="16" t="s">
        <v>1324</v>
      </c>
    </row>
    <row r="115" spans="1:7" ht="12.6" customHeight="1" x14ac:dyDescent="0.3">
      <c r="A115" s="70"/>
      <c r="B115" s="79" t="s">
        <v>1372</v>
      </c>
      <c r="C115" s="80"/>
      <c r="D115" s="80"/>
      <c r="E115" s="80"/>
      <c r="F115" s="80"/>
      <c r="G115" s="16" t="s">
        <v>1371</v>
      </c>
    </row>
    <row r="116" spans="1:7" ht="12.6" customHeight="1" x14ac:dyDescent="0.3">
      <c r="A116" s="80"/>
      <c r="B116" s="80"/>
      <c r="C116" s="80"/>
      <c r="D116" s="80"/>
      <c r="E116" s="80"/>
      <c r="F116" s="80"/>
      <c r="G116" s="16" t="s">
        <v>1324</v>
      </c>
    </row>
    <row r="117" spans="1:7" ht="12.6" customHeight="1" x14ac:dyDescent="0.3">
      <c r="A117" s="70"/>
      <c r="B117" s="79" t="s">
        <v>1374</v>
      </c>
      <c r="C117" s="80"/>
      <c r="D117" s="80"/>
      <c r="E117" s="80"/>
      <c r="F117" s="80"/>
      <c r="G117" s="16" t="s">
        <v>1373</v>
      </c>
    </row>
    <row r="118" spans="1:7" ht="12.6" customHeight="1" x14ac:dyDescent="0.3">
      <c r="A118" s="80"/>
      <c r="B118" s="80"/>
      <c r="C118" s="80"/>
      <c r="D118" s="80"/>
      <c r="E118" s="80"/>
      <c r="F118" s="80"/>
      <c r="G118" s="16" t="s">
        <v>1324</v>
      </c>
    </row>
    <row r="119" spans="1:7" ht="12.6" customHeight="1" x14ac:dyDescent="0.3">
      <c r="A119" s="70"/>
      <c r="B119" s="79" t="s">
        <v>1376</v>
      </c>
      <c r="C119" s="80"/>
      <c r="D119" s="80"/>
      <c r="E119" s="80"/>
      <c r="F119" s="80"/>
      <c r="G119" s="16" t="s">
        <v>1375</v>
      </c>
    </row>
    <row r="120" spans="1:7" ht="12.6" customHeight="1" x14ac:dyDescent="0.3">
      <c r="A120" s="80"/>
      <c r="B120" s="80"/>
      <c r="C120" s="80"/>
      <c r="D120" s="80"/>
      <c r="E120" s="80"/>
      <c r="F120" s="80"/>
      <c r="G120" s="16" t="s">
        <v>1324</v>
      </c>
    </row>
    <row r="121" spans="1:7" ht="12.6" customHeight="1" x14ac:dyDescent="0.3">
      <c r="A121" s="70"/>
      <c r="B121" s="79" t="s">
        <v>1378</v>
      </c>
      <c r="C121" s="80"/>
      <c r="D121" s="80"/>
      <c r="E121" s="80"/>
      <c r="F121" s="80"/>
      <c r="G121" s="16" t="s">
        <v>1377</v>
      </c>
    </row>
    <row r="122" spans="1:7" ht="12.6" customHeight="1" x14ac:dyDescent="0.3">
      <c r="A122" s="80"/>
      <c r="B122" s="80"/>
      <c r="C122" s="80"/>
      <c r="D122" s="80"/>
      <c r="E122" s="80"/>
      <c r="F122" s="80"/>
      <c r="G122" s="16" t="s">
        <v>1324</v>
      </c>
    </row>
    <row r="123" spans="1:7" ht="12.6" customHeight="1" x14ac:dyDescent="0.3">
      <c r="A123" s="70"/>
      <c r="B123" s="79" t="s">
        <v>1380</v>
      </c>
      <c r="C123" s="80"/>
      <c r="D123" s="80"/>
      <c r="E123" s="80"/>
      <c r="F123" s="80"/>
      <c r="G123" s="16" t="s">
        <v>1379</v>
      </c>
    </row>
    <row r="124" spans="1:7" ht="12.6" customHeight="1" x14ac:dyDescent="0.3">
      <c r="A124" s="80"/>
      <c r="B124" s="80"/>
      <c r="C124" s="80"/>
      <c r="D124" s="80"/>
      <c r="E124" s="80"/>
      <c r="F124" s="80"/>
      <c r="G124" s="16" t="s">
        <v>1324</v>
      </c>
    </row>
    <row r="125" spans="1:7" ht="12.6" customHeight="1" x14ac:dyDescent="0.3">
      <c r="A125" s="70"/>
      <c r="B125" s="79" t="s">
        <v>1382</v>
      </c>
      <c r="C125" s="80"/>
      <c r="D125" s="80"/>
      <c r="E125" s="80"/>
      <c r="F125" s="80"/>
      <c r="G125" s="16" t="s">
        <v>1381</v>
      </c>
    </row>
    <row r="126" spans="1:7" ht="12.6" customHeight="1" x14ac:dyDescent="0.3">
      <c r="A126" s="80"/>
      <c r="B126" s="80"/>
      <c r="C126" s="80"/>
      <c r="D126" s="80"/>
      <c r="E126" s="80"/>
      <c r="F126" s="80"/>
      <c r="G126" s="16" t="s">
        <v>1324</v>
      </c>
    </row>
    <row r="127" spans="1:7" ht="12.6" customHeight="1" x14ac:dyDescent="0.3">
      <c r="A127" s="70"/>
      <c r="B127" s="79" t="s">
        <v>1384</v>
      </c>
      <c r="C127" s="80"/>
      <c r="D127" s="80"/>
      <c r="E127" s="80"/>
      <c r="F127" s="80"/>
      <c r="G127" s="16" t="s">
        <v>1383</v>
      </c>
    </row>
    <row r="128" spans="1:7" ht="12.6" customHeight="1" x14ac:dyDescent="0.3">
      <c r="A128" s="80"/>
      <c r="B128" s="80"/>
      <c r="C128" s="80"/>
      <c r="D128" s="80"/>
      <c r="E128" s="80"/>
      <c r="F128" s="80"/>
      <c r="G128" s="16" t="s">
        <v>1324</v>
      </c>
    </row>
    <row r="129" spans="1:25" ht="12.6" customHeight="1" x14ac:dyDescent="0.3">
      <c r="A129" s="70"/>
      <c r="B129" s="79" t="s">
        <v>1386</v>
      </c>
      <c r="C129" s="80"/>
      <c r="D129" s="80"/>
      <c r="E129" s="80"/>
      <c r="F129" s="80"/>
      <c r="G129" s="16" t="s">
        <v>1385</v>
      </c>
    </row>
    <row r="130" spans="1:25" ht="12.6" customHeight="1" x14ac:dyDescent="0.3">
      <c r="A130" s="80"/>
      <c r="B130" s="80"/>
      <c r="C130" s="80"/>
      <c r="D130" s="80"/>
      <c r="E130" s="80"/>
      <c r="F130" s="80"/>
      <c r="G130" s="16" t="s">
        <v>1324</v>
      </c>
    </row>
    <row r="131" spans="1:25" ht="12.6" customHeight="1" x14ac:dyDescent="0.3">
      <c r="A131" s="70"/>
      <c r="B131" s="79" t="s">
        <v>1388</v>
      </c>
      <c r="C131" s="80"/>
      <c r="D131" s="80"/>
      <c r="E131" s="80"/>
      <c r="F131" s="80"/>
      <c r="G131" s="16" t="s">
        <v>1387</v>
      </c>
    </row>
    <row r="132" spans="1:25" ht="12.6" customHeight="1" x14ac:dyDescent="0.3">
      <c r="A132" s="80"/>
      <c r="B132" s="80"/>
      <c r="C132" s="80"/>
      <c r="D132" s="80"/>
      <c r="E132" s="80"/>
      <c r="F132" s="80"/>
      <c r="G132" s="16" t="s">
        <v>1324</v>
      </c>
    </row>
    <row r="133" spans="1:25" ht="12.6" customHeight="1" x14ac:dyDescent="0.3">
      <c r="A133" s="70"/>
      <c r="B133" s="79" t="s">
        <v>1390</v>
      </c>
      <c r="C133" s="80"/>
      <c r="D133" s="80"/>
      <c r="E133" s="80"/>
      <c r="F133" s="80"/>
      <c r="G133" s="16" t="s">
        <v>1389</v>
      </c>
    </row>
    <row r="134" spans="1:25" ht="12.6" customHeight="1" x14ac:dyDescent="0.3">
      <c r="A134" s="80"/>
      <c r="B134" s="80"/>
      <c r="C134" s="80"/>
      <c r="D134" s="80"/>
      <c r="E134" s="80"/>
      <c r="F134" s="80"/>
      <c r="G134" s="16" t="s">
        <v>1324</v>
      </c>
    </row>
    <row r="135" spans="1:25" ht="12.6" customHeight="1" x14ac:dyDescent="0.3">
      <c r="A135" s="70"/>
      <c r="B135" s="79" t="s">
        <v>1392</v>
      </c>
      <c r="C135" s="80"/>
      <c r="D135" s="80"/>
      <c r="E135" s="80"/>
      <c r="F135" s="80"/>
      <c r="G135" s="16" t="s">
        <v>1391</v>
      </c>
    </row>
    <row r="136" spans="1:25" ht="12.6" customHeight="1" x14ac:dyDescent="0.3">
      <c r="A136" s="80"/>
      <c r="B136" s="80"/>
      <c r="C136" s="80"/>
      <c r="D136" s="80"/>
      <c r="E136" s="80"/>
      <c r="F136" s="80"/>
      <c r="G136" s="16" t="s">
        <v>1324</v>
      </c>
    </row>
    <row r="137" spans="1:25" ht="12.6" customHeight="1" x14ac:dyDescent="0.3">
      <c r="A137" s="70" t="s">
        <v>1394</v>
      </c>
      <c r="B137" s="101" t="str">
        <f>" 노 무 비  : "&amp;TEXT(I137,"#,##0"&amp;IF(I137&lt;&gt;INT(I137),".###",""))&amp;" / Q * 2 = "&amp;TEXT(C137,"#,##0.0")&amp;""</f>
        <v xml:space="preserve"> 노 무 비  : 55,700 / Q * 2 = 5,159.7</v>
      </c>
      <c r="C137" s="103">
        <f>E137+D137+F137</f>
        <v>5159.7</v>
      </c>
      <c r="D137" s="103">
        <f>IF(H137=0,0,ROUNDDOWN(J137*H137,1))</f>
        <v>5159.7</v>
      </c>
      <c r="E137" s="103">
        <f>IF(H137=0,0,ROUNDDOWN(K137*H137,1))</f>
        <v>0</v>
      </c>
      <c r="F137" s="103">
        <f>IF(H137=0,0,ROUNDDOWN(L137*H137,1))</f>
        <v>0</v>
      </c>
      <c r="G137" s="16" t="s">
        <v>1393</v>
      </c>
      <c r="H137" s="108">
        <v>9.2635479398699996E-2</v>
      </c>
      <c r="I137" s="109">
        <f>K137+J137+L137</f>
        <v>55700</v>
      </c>
      <c r="J137" s="39">
        <f>중기목록표!F9</f>
        <v>55700</v>
      </c>
      <c r="M137" s="20" t="s">
        <v>1395</v>
      </c>
      <c r="N137" s="20" t="s">
        <v>1345</v>
      </c>
      <c r="X137" s="110" t="str">
        <f>중기목록표!B9&amp;" / "&amp;중기목록표!C9</f>
        <v>굴삭기(0.7m3) / 0.7㎥,(암석)</v>
      </c>
      <c r="Y137" s="19" t="str">
        <f ca="1">HYPERLINK("#"&amp;중기목록표!J2&amp;"!A"&amp;ROW(중기목록표!A9),"중기    6 →")</f>
        <v>중기    6 →</v>
      </c>
    </row>
    <row r="138" spans="1:25" ht="12.6" customHeight="1" x14ac:dyDescent="0.3">
      <c r="A138" s="80"/>
      <c r="B138" s="80"/>
      <c r="C138" s="80"/>
      <c r="D138" s="80"/>
      <c r="E138" s="80"/>
      <c r="F138" s="80"/>
      <c r="G138" s="16" t="s">
        <v>1324</v>
      </c>
    </row>
    <row r="139" spans="1:25" ht="12.6" customHeight="1" x14ac:dyDescent="0.3">
      <c r="A139" s="70" t="s">
        <v>1397</v>
      </c>
      <c r="B139" s="101" t="str">
        <f>" 재 료 비  : "&amp;TEXT(I139,"#,##0"&amp;IF(I139&lt;&gt;INT(I139),".###",""))&amp;" / Q * 2 = "&amp;TEXT(C139,"#,##0.0")&amp;""</f>
        <v xml:space="preserve"> 재 료 비  : 18,001 / Q * 2 = 1,667.5</v>
      </c>
      <c r="C139" s="103">
        <f>E139+D139+F139</f>
        <v>1667.5</v>
      </c>
      <c r="D139" s="103">
        <f>IF(H139=0,0,ROUNDDOWN(J139*H139,1))</f>
        <v>0</v>
      </c>
      <c r="E139" s="103">
        <f>IF(H139=0,0,ROUNDDOWN(K139*H139,1))</f>
        <v>1667.5</v>
      </c>
      <c r="F139" s="103">
        <f>IF(H139=0,0,ROUNDDOWN(L139*H139,1))</f>
        <v>0</v>
      </c>
      <c r="G139" s="16" t="s">
        <v>1396</v>
      </c>
      <c r="H139" s="108">
        <v>9.2635479398699996E-2</v>
      </c>
      <c r="I139" s="109">
        <f>K139+J139+L139</f>
        <v>18001</v>
      </c>
      <c r="K139" s="39">
        <f>중기목록표!G9</f>
        <v>18001</v>
      </c>
      <c r="M139" s="20" t="s">
        <v>1395</v>
      </c>
      <c r="N139" s="20" t="s">
        <v>1345</v>
      </c>
      <c r="X139" s="110" t="str">
        <f>중기목록표!B9&amp;" / "&amp;중기목록표!C9</f>
        <v>굴삭기(0.7m3) / 0.7㎥,(암석)</v>
      </c>
      <c r="Y139" s="19" t="str">
        <f ca="1">HYPERLINK("#"&amp;중기목록표!J2&amp;"!A"&amp;ROW(중기목록표!A9),"중기    6 →")</f>
        <v>중기    6 →</v>
      </c>
    </row>
    <row r="140" spans="1:25" ht="12.6" customHeight="1" x14ac:dyDescent="0.3">
      <c r="A140" s="80"/>
      <c r="B140" s="80"/>
      <c r="C140" s="80"/>
      <c r="D140" s="80"/>
      <c r="E140" s="80"/>
      <c r="F140" s="80"/>
      <c r="G140" s="16" t="s">
        <v>1324</v>
      </c>
    </row>
    <row r="141" spans="1:25" ht="12.6" customHeight="1" x14ac:dyDescent="0.3">
      <c r="A141" s="70" t="s">
        <v>1399</v>
      </c>
      <c r="B141" s="101" t="str">
        <f>" 경    비  : "&amp;TEXT(I141,"#,##0"&amp;IF(I141&lt;&gt;INT(I141),".###",""))&amp;" / Q * 2 = "&amp;TEXT(C141,"#,##0.0")&amp;""</f>
        <v xml:space="preserve"> 경    비  : 26,677 / Q * 2 = 2,471.2</v>
      </c>
      <c r="C141" s="103">
        <f>E141+D141+F141</f>
        <v>2471.1999999999998</v>
      </c>
      <c r="D141" s="103">
        <f>IF(H141=0,0,ROUNDDOWN(J141*H141,1))</f>
        <v>0</v>
      </c>
      <c r="E141" s="103">
        <f>IF(H141=0,0,ROUNDDOWN(K141*H141,1))</f>
        <v>0</v>
      </c>
      <c r="F141" s="103">
        <f>IF(H141=0,0,ROUNDDOWN(L141*H141,1))</f>
        <v>2471.1999999999998</v>
      </c>
      <c r="G141" s="16" t="s">
        <v>1398</v>
      </c>
      <c r="H141" s="108">
        <v>9.2635479398699996E-2</v>
      </c>
      <c r="I141" s="109">
        <f>K141+J141+L141</f>
        <v>26677</v>
      </c>
      <c r="L141" s="39">
        <f>중기목록표!H9</f>
        <v>26677</v>
      </c>
      <c r="M141" s="20" t="s">
        <v>1395</v>
      </c>
      <c r="N141" s="20" t="s">
        <v>1345</v>
      </c>
      <c r="X141" s="110" t="str">
        <f>중기목록표!B9&amp;" / "&amp;중기목록표!C9</f>
        <v>굴삭기(0.7m3) / 0.7㎥,(암석)</v>
      </c>
      <c r="Y141" s="19" t="str">
        <f ca="1">HYPERLINK("#"&amp;중기목록표!J2&amp;"!A"&amp;ROW(중기목록표!A9),"중기    6 →")</f>
        <v>중기    6 →</v>
      </c>
    </row>
    <row r="142" spans="1:25" ht="12.6" customHeight="1" x14ac:dyDescent="0.3">
      <c r="A142" s="80"/>
      <c r="B142" s="80"/>
      <c r="C142" s="80"/>
      <c r="D142" s="80"/>
      <c r="E142" s="80"/>
      <c r="F142" s="80"/>
      <c r="G142" s="16" t="s">
        <v>1324</v>
      </c>
    </row>
    <row r="143" spans="1:25" ht="12.6" customHeight="1" x14ac:dyDescent="0.3">
      <c r="A143" s="70"/>
      <c r="B143" s="79" t="s">
        <v>1344</v>
      </c>
      <c r="C143" s="104">
        <f>E143+D143+F143</f>
        <v>9298.4</v>
      </c>
      <c r="D143" s="104">
        <f>SUMIF(N112:N142,M143,D112:D142)</f>
        <v>5159.7</v>
      </c>
      <c r="E143" s="104">
        <f>SUMIF(N112:N142,M143,E112:E142)</f>
        <v>1667.5</v>
      </c>
      <c r="F143" s="104">
        <f>SUMIF(N112:N142,M143,F112:F142)</f>
        <v>2471.1999999999998</v>
      </c>
      <c r="G143" s="16" t="s">
        <v>1343</v>
      </c>
      <c r="M143" s="20" t="s">
        <v>1345</v>
      </c>
      <c r="N143" s="20" t="s">
        <v>1368</v>
      </c>
    </row>
    <row r="144" spans="1:25" ht="12.6" customHeight="1" x14ac:dyDescent="0.3">
      <c r="A144" s="80"/>
      <c r="B144" s="80"/>
      <c r="C144" s="102"/>
      <c r="D144" s="102"/>
      <c r="E144" s="102"/>
      <c r="F144" s="102"/>
      <c r="G144" s="16" t="s">
        <v>1324</v>
      </c>
    </row>
    <row r="145" spans="1:7" ht="12.6" customHeight="1" x14ac:dyDescent="0.3">
      <c r="A145" s="70"/>
      <c r="B145" s="79" t="s">
        <v>1401</v>
      </c>
      <c r="C145" s="80"/>
      <c r="D145" s="80"/>
      <c r="E145" s="80"/>
      <c r="F145" s="80"/>
      <c r="G145" s="16" t="s">
        <v>1400</v>
      </c>
    </row>
    <row r="146" spans="1:7" ht="12.6" customHeight="1" x14ac:dyDescent="0.3">
      <c r="A146" s="80"/>
      <c r="B146" s="80"/>
      <c r="C146" s="80"/>
      <c r="D146" s="80"/>
      <c r="E146" s="80"/>
      <c r="F146" s="80"/>
      <c r="G146" s="16" t="s">
        <v>1324</v>
      </c>
    </row>
    <row r="147" spans="1:7" ht="12.6" customHeight="1" x14ac:dyDescent="0.3">
      <c r="A147" s="70"/>
      <c r="B147" s="79" t="s">
        <v>1403</v>
      </c>
      <c r="C147" s="80"/>
      <c r="D147" s="80"/>
      <c r="E147" s="80"/>
      <c r="F147" s="80"/>
      <c r="G147" s="16" t="s">
        <v>1402</v>
      </c>
    </row>
    <row r="148" spans="1:7" ht="12.6" customHeight="1" x14ac:dyDescent="0.3">
      <c r="A148" s="80"/>
      <c r="B148" s="80"/>
      <c r="C148" s="80"/>
      <c r="D148" s="80"/>
      <c r="E148" s="80"/>
      <c r="F148" s="80"/>
      <c r="G148" s="16" t="s">
        <v>1324</v>
      </c>
    </row>
    <row r="149" spans="1:7" ht="12.6" customHeight="1" x14ac:dyDescent="0.3">
      <c r="A149" s="70"/>
      <c r="B149" s="79" t="s">
        <v>1405</v>
      </c>
      <c r="C149" s="80"/>
      <c r="D149" s="80"/>
      <c r="E149" s="80"/>
      <c r="F149" s="80"/>
      <c r="G149" s="16" t="s">
        <v>1404</v>
      </c>
    </row>
    <row r="150" spans="1:7" ht="12.6" customHeight="1" x14ac:dyDescent="0.3">
      <c r="A150" s="80"/>
      <c r="B150" s="80"/>
      <c r="C150" s="80"/>
      <c r="D150" s="80"/>
      <c r="E150" s="80"/>
      <c r="F150" s="80"/>
      <c r="G150" s="16" t="s">
        <v>1324</v>
      </c>
    </row>
    <row r="151" spans="1:7" ht="12.6" customHeight="1" x14ac:dyDescent="0.3">
      <c r="A151" s="70"/>
      <c r="B151" s="79" t="s">
        <v>1407</v>
      </c>
      <c r="C151" s="80"/>
      <c r="D151" s="80"/>
      <c r="E151" s="80"/>
      <c r="F151" s="80"/>
      <c r="G151" s="16" t="s">
        <v>1406</v>
      </c>
    </row>
    <row r="152" spans="1:7" ht="12.6" customHeight="1" x14ac:dyDescent="0.3">
      <c r="A152" s="80"/>
      <c r="B152" s="80"/>
      <c r="C152" s="80"/>
      <c r="D152" s="80"/>
      <c r="E152" s="80"/>
      <c r="F152" s="80"/>
      <c r="G152" s="16" t="s">
        <v>1324</v>
      </c>
    </row>
    <row r="153" spans="1:7" ht="12.6" customHeight="1" x14ac:dyDescent="0.3">
      <c r="A153" s="70"/>
      <c r="B153" s="79" t="s">
        <v>1409</v>
      </c>
      <c r="C153" s="80"/>
      <c r="D153" s="80"/>
      <c r="E153" s="80"/>
      <c r="F153" s="80"/>
      <c r="G153" s="16" t="s">
        <v>1408</v>
      </c>
    </row>
    <row r="154" spans="1:7" ht="12.6" customHeight="1" x14ac:dyDescent="0.3">
      <c r="A154" s="80"/>
      <c r="B154" s="80"/>
      <c r="C154" s="80"/>
      <c r="D154" s="80"/>
      <c r="E154" s="80"/>
      <c r="F154" s="80"/>
      <c r="G154" s="16" t="s">
        <v>1324</v>
      </c>
    </row>
    <row r="155" spans="1:7" ht="12.6" customHeight="1" x14ac:dyDescent="0.3">
      <c r="A155" s="70"/>
      <c r="B155" s="79" t="s">
        <v>1411</v>
      </c>
      <c r="C155" s="80"/>
      <c r="D155" s="80"/>
      <c r="E155" s="80"/>
      <c r="F155" s="80"/>
      <c r="G155" s="16" t="s">
        <v>1410</v>
      </c>
    </row>
    <row r="156" spans="1:7" ht="12.6" customHeight="1" x14ac:dyDescent="0.3">
      <c r="A156" s="80"/>
      <c r="B156" s="80"/>
      <c r="C156" s="80"/>
      <c r="D156" s="80"/>
      <c r="E156" s="80"/>
      <c r="F156" s="80"/>
      <c r="G156" s="16" t="s">
        <v>1324</v>
      </c>
    </row>
    <row r="157" spans="1:7" ht="12.6" customHeight="1" x14ac:dyDescent="0.3">
      <c r="A157" s="70"/>
      <c r="B157" s="79" t="s">
        <v>1413</v>
      </c>
      <c r="C157" s="80"/>
      <c r="D157" s="80"/>
      <c r="E157" s="80"/>
      <c r="F157" s="80"/>
      <c r="G157" s="16" t="s">
        <v>1412</v>
      </c>
    </row>
    <row r="158" spans="1:7" ht="12.6" customHeight="1" x14ac:dyDescent="0.3">
      <c r="A158" s="80"/>
      <c r="B158" s="80"/>
      <c r="C158" s="80"/>
      <c r="D158" s="80"/>
      <c r="E158" s="80"/>
      <c r="F158" s="80"/>
      <c r="G158" s="16" t="s">
        <v>1324</v>
      </c>
    </row>
    <row r="159" spans="1:7" ht="12.6" customHeight="1" x14ac:dyDescent="0.3">
      <c r="A159" s="70"/>
      <c r="B159" s="79" t="s">
        <v>1415</v>
      </c>
      <c r="C159" s="80"/>
      <c r="D159" s="80"/>
      <c r="E159" s="80"/>
      <c r="F159" s="80"/>
      <c r="G159" s="16" t="s">
        <v>1414</v>
      </c>
    </row>
    <row r="160" spans="1:7" ht="12.6" customHeight="1" x14ac:dyDescent="0.3">
      <c r="A160" s="80"/>
      <c r="B160" s="80"/>
      <c r="C160" s="80"/>
      <c r="D160" s="80"/>
      <c r="E160" s="80"/>
      <c r="F160" s="80"/>
      <c r="G160" s="16" t="s">
        <v>1324</v>
      </c>
    </row>
    <row r="161" spans="1:25" ht="12.6" customHeight="1" x14ac:dyDescent="0.3">
      <c r="A161" s="70"/>
      <c r="B161" s="79" t="s">
        <v>1417</v>
      </c>
      <c r="C161" s="80"/>
      <c r="D161" s="80"/>
      <c r="E161" s="80"/>
      <c r="F161" s="80"/>
      <c r="G161" s="16" t="s">
        <v>1416</v>
      </c>
    </row>
    <row r="162" spans="1:25" ht="12.6" customHeight="1" x14ac:dyDescent="0.3">
      <c r="A162" s="80"/>
      <c r="B162" s="80"/>
      <c r="C162" s="80"/>
      <c r="D162" s="80"/>
      <c r="E162" s="80"/>
      <c r="F162" s="80"/>
      <c r="G162" s="16" t="s">
        <v>1324</v>
      </c>
    </row>
    <row r="163" spans="1:25" ht="12.6" customHeight="1" x14ac:dyDescent="0.3">
      <c r="A163" s="70"/>
      <c r="B163" s="79" t="s">
        <v>1419</v>
      </c>
      <c r="C163" s="80"/>
      <c r="D163" s="80"/>
      <c r="E163" s="80"/>
      <c r="F163" s="80"/>
      <c r="G163" s="16" t="s">
        <v>1418</v>
      </c>
    </row>
    <row r="164" spans="1:25" ht="12.6" customHeight="1" x14ac:dyDescent="0.3">
      <c r="A164" s="80"/>
      <c r="B164" s="80"/>
      <c r="C164" s="80"/>
      <c r="D164" s="80"/>
      <c r="E164" s="80"/>
      <c r="F164" s="80"/>
      <c r="G164" s="16" t="s">
        <v>1324</v>
      </c>
    </row>
    <row r="165" spans="1:25" ht="12.6" customHeight="1" x14ac:dyDescent="0.3">
      <c r="A165" s="70"/>
      <c r="B165" s="79" t="s">
        <v>1421</v>
      </c>
      <c r="C165" s="80"/>
      <c r="D165" s="80"/>
      <c r="E165" s="80"/>
      <c r="F165" s="80"/>
      <c r="G165" s="16" t="s">
        <v>1420</v>
      </c>
    </row>
    <row r="166" spans="1:25" ht="12.6" customHeight="1" x14ac:dyDescent="0.3">
      <c r="A166" s="80"/>
      <c r="B166" s="80"/>
      <c r="C166" s="80"/>
      <c r="D166" s="80"/>
      <c r="E166" s="80"/>
      <c r="F166" s="80"/>
      <c r="G166" s="16" t="s">
        <v>1324</v>
      </c>
    </row>
    <row r="167" spans="1:25" ht="12.6" customHeight="1" x14ac:dyDescent="0.3">
      <c r="A167" s="70"/>
      <c r="B167" s="79" t="s">
        <v>1423</v>
      </c>
      <c r="C167" s="80"/>
      <c r="D167" s="80"/>
      <c r="E167" s="80"/>
      <c r="F167" s="80"/>
      <c r="G167" s="16" t="s">
        <v>1422</v>
      </c>
    </row>
    <row r="168" spans="1:25" ht="12.6" customHeight="1" x14ac:dyDescent="0.3">
      <c r="A168" s="80"/>
      <c r="B168" s="80"/>
      <c r="C168" s="80"/>
      <c r="D168" s="80"/>
      <c r="E168" s="80"/>
      <c r="F168" s="80"/>
      <c r="G168" s="16" t="s">
        <v>1324</v>
      </c>
    </row>
    <row r="169" spans="1:25" ht="12.6" customHeight="1" x14ac:dyDescent="0.3">
      <c r="A169" s="70" t="s">
        <v>1425</v>
      </c>
      <c r="B169" s="101" t="str">
        <f>" 노 무 비  :   "&amp;TEXT(I169,"#,##0"&amp;IF(I169&lt;&gt;INT(I169),".###",""))&amp;" / Q1 = "&amp;TEXT(C169,"#,##0.0")&amp;""</f>
        <v xml:space="preserve"> 노 무 비  :   47,231 / Q1 = 2,749.1</v>
      </c>
      <c r="C169" s="103">
        <f>E169+D169+F169</f>
        <v>2749.1</v>
      </c>
      <c r="D169" s="103">
        <f>IF(H169=0,0,ROUNDDOWN(J169*H169,1))</f>
        <v>2749.1</v>
      </c>
      <c r="E169" s="103">
        <f>IF(H169=0,0,ROUNDDOWN(K169*H169,1))</f>
        <v>0</v>
      </c>
      <c r="F169" s="103">
        <f>IF(H169=0,0,ROUNDDOWN(L169*H169,1))</f>
        <v>0</v>
      </c>
      <c r="G169" s="16" t="s">
        <v>1424</v>
      </c>
      <c r="H169" s="108">
        <v>5.8207217705099998E-2</v>
      </c>
      <c r="I169" s="109">
        <f>K169+J169+L169</f>
        <v>47231</v>
      </c>
      <c r="J169" s="39">
        <f>중기목록표!F19</f>
        <v>47231</v>
      </c>
      <c r="M169" s="20" t="s">
        <v>1426</v>
      </c>
      <c r="N169" s="20" t="s">
        <v>1345</v>
      </c>
      <c r="X169" s="110" t="str">
        <f>중기목록표!B19&amp;" / "&amp;중기목록표!C19</f>
        <v xml:space="preserve">덤프트럭2.5ton(토사) / </v>
      </c>
      <c r="Y169" s="19" t="str">
        <f ca="1">HYPERLINK("#"&amp;중기목록표!J2&amp;"!A"&amp;ROW(중기목록표!A19),"중기   16 →")</f>
        <v>중기   16 →</v>
      </c>
    </row>
    <row r="170" spans="1:25" ht="12.6" customHeight="1" x14ac:dyDescent="0.3">
      <c r="A170" s="80"/>
      <c r="B170" s="80"/>
      <c r="C170" s="80"/>
      <c r="D170" s="80"/>
      <c r="E170" s="80"/>
      <c r="F170" s="80"/>
      <c r="G170" s="16" t="s">
        <v>1324</v>
      </c>
    </row>
    <row r="171" spans="1:25" ht="12.6" customHeight="1" x14ac:dyDescent="0.3">
      <c r="A171" s="70" t="s">
        <v>1428</v>
      </c>
      <c r="B171" s="101" t="str">
        <f>" 재 료 비  :   "&amp;TEXT(I171,"#,##0"&amp;IF(I171&lt;&gt;INT(I171),".###",""))&amp;" / Q1 = "&amp;TEXT(C171,"#,##0.0")&amp;""</f>
        <v xml:space="preserve"> 재 료 비  :   5,090 / Q1 = 296.2</v>
      </c>
      <c r="C171" s="103">
        <f>E171+D171+F171</f>
        <v>296.2</v>
      </c>
      <c r="D171" s="103">
        <f>IF(H171=0,0,ROUNDDOWN(J171*H171,1))</f>
        <v>0</v>
      </c>
      <c r="E171" s="103">
        <f>IF(H171=0,0,ROUNDDOWN(K171*H171,1))</f>
        <v>296.2</v>
      </c>
      <c r="F171" s="103">
        <f>IF(H171=0,0,ROUNDDOWN(L171*H171,1))</f>
        <v>0</v>
      </c>
      <c r="G171" s="16" t="s">
        <v>1427</v>
      </c>
      <c r="H171" s="108">
        <v>5.8207217705099998E-2</v>
      </c>
      <c r="I171" s="109">
        <f>K171+J171+L171</f>
        <v>5090</v>
      </c>
      <c r="K171" s="39">
        <f>중기목록표!G19</f>
        <v>5090</v>
      </c>
      <c r="M171" s="20" t="s">
        <v>1426</v>
      </c>
      <c r="N171" s="20" t="s">
        <v>1345</v>
      </c>
      <c r="X171" s="110" t="str">
        <f>중기목록표!B19&amp;" / "&amp;중기목록표!C19</f>
        <v xml:space="preserve">덤프트럭2.5ton(토사) / </v>
      </c>
      <c r="Y171" s="19" t="str">
        <f ca="1">HYPERLINK("#"&amp;중기목록표!J2&amp;"!A"&amp;ROW(중기목록표!A19),"중기   16 →")</f>
        <v>중기   16 →</v>
      </c>
    </row>
    <row r="172" spans="1:25" ht="12.6" customHeight="1" x14ac:dyDescent="0.3">
      <c r="A172" s="80"/>
      <c r="B172" s="80"/>
      <c r="C172" s="80"/>
      <c r="D172" s="80"/>
      <c r="E172" s="80"/>
      <c r="F172" s="80"/>
      <c r="G172" s="16" t="s">
        <v>1324</v>
      </c>
    </row>
    <row r="173" spans="1:25" ht="12.6" customHeight="1" x14ac:dyDescent="0.3">
      <c r="A173" s="70" t="s">
        <v>1430</v>
      </c>
      <c r="B173" s="101" t="str">
        <f>" 경    비  :   "&amp;TEXT(I173,"#,##0"&amp;IF(I173&lt;&gt;INT(I173),".###",""))&amp;" / Q1 = "&amp;TEXT(C173,"#,##0.0")&amp;""</f>
        <v xml:space="preserve"> 경    비  :   6,169 / Q1 = 359.0</v>
      </c>
      <c r="C173" s="103">
        <f>E173+D173+F173</f>
        <v>359</v>
      </c>
      <c r="D173" s="103">
        <f>IF(H173=0,0,ROUNDDOWN(J173*H173,1))</f>
        <v>0</v>
      </c>
      <c r="E173" s="103">
        <f>IF(H173=0,0,ROUNDDOWN(K173*H173,1))</f>
        <v>0</v>
      </c>
      <c r="F173" s="103">
        <f>IF(H173=0,0,ROUNDDOWN(L173*H173,1))</f>
        <v>359</v>
      </c>
      <c r="G173" s="16" t="s">
        <v>1429</v>
      </c>
      <c r="H173" s="108">
        <v>5.8207217705099998E-2</v>
      </c>
      <c r="I173" s="109">
        <f>K173+J173+L173</f>
        <v>6169</v>
      </c>
      <c r="L173" s="39">
        <f>중기목록표!H19</f>
        <v>6169</v>
      </c>
      <c r="M173" s="20" t="s">
        <v>1426</v>
      </c>
      <c r="N173" s="20" t="s">
        <v>1345</v>
      </c>
      <c r="X173" s="110" t="str">
        <f>중기목록표!B19&amp;" / "&amp;중기목록표!C19</f>
        <v xml:space="preserve">덤프트럭2.5ton(토사) / </v>
      </c>
      <c r="Y173" s="19" t="str">
        <f ca="1">HYPERLINK("#"&amp;중기목록표!J2&amp;"!A"&amp;ROW(중기목록표!A19),"중기   16 →")</f>
        <v>중기   16 →</v>
      </c>
    </row>
    <row r="174" spans="1:25" ht="12.6" customHeight="1" x14ac:dyDescent="0.3">
      <c r="A174" s="80"/>
      <c r="B174" s="80"/>
      <c r="C174" s="80"/>
      <c r="D174" s="80"/>
      <c r="E174" s="80"/>
      <c r="F174" s="80"/>
      <c r="G174" s="16" t="s">
        <v>1324</v>
      </c>
    </row>
    <row r="175" spans="1:25" ht="12.6" customHeight="1" x14ac:dyDescent="0.3">
      <c r="A175" s="70"/>
      <c r="B175" s="79" t="s">
        <v>1344</v>
      </c>
      <c r="C175" s="104">
        <f>E175+D175+F175</f>
        <v>3404.2999999999997</v>
      </c>
      <c r="D175" s="104">
        <f>SUMIF(N144:N174,M175,D144:D174)</f>
        <v>2749.1</v>
      </c>
      <c r="E175" s="104">
        <f>SUMIF(N144:N174,M175,E144:E174)</f>
        <v>296.2</v>
      </c>
      <c r="F175" s="104">
        <f>SUMIF(N144:N174,M175,F144:F174)</f>
        <v>359</v>
      </c>
      <c r="G175" s="16" t="s">
        <v>1343</v>
      </c>
      <c r="M175" s="20" t="s">
        <v>1345</v>
      </c>
      <c r="N175" s="20" t="s">
        <v>1368</v>
      </c>
    </row>
    <row r="176" spans="1:25" ht="12.6" customHeight="1" x14ac:dyDescent="0.3">
      <c r="A176" s="70"/>
      <c r="B176" s="79" t="s">
        <v>1171</v>
      </c>
      <c r="C176" s="105">
        <f>E176+D176+F176</f>
        <v>12702.7</v>
      </c>
      <c r="D176" s="105">
        <f>SUMIF(N112:N175,M176,D112:D175)</f>
        <v>7908.7999999999993</v>
      </c>
      <c r="E176" s="105">
        <f>SUMIF(N112:N175,M176,E112:E175)</f>
        <v>1963.7</v>
      </c>
      <c r="F176" s="105">
        <f>SUMIF(N112:N175,M176,F112:F175)</f>
        <v>2830.2</v>
      </c>
      <c r="G176" s="16" t="s">
        <v>1367</v>
      </c>
      <c r="M176" s="20" t="s">
        <v>1368</v>
      </c>
      <c r="N176" s="20" t="s">
        <v>1129</v>
      </c>
    </row>
    <row r="177" spans="1:13" ht="12.6" customHeight="1" x14ac:dyDescent="0.3">
      <c r="A177" s="80"/>
      <c r="B177" s="80"/>
      <c r="C177" s="102"/>
      <c r="D177" s="102"/>
      <c r="E177" s="102"/>
      <c r="F177" s="102"/>
    </row>
    <row r="178" spans="1:13" ht="12.6" customHeight="1" x14ac:dyDescent="0.3">
      <c r="A178" s="58"/>
      <c r="B178" s="58"/>
      <c r="C178" s="58"/>
      <c r="D178" s="58"/>
      <c r="E178" s="58"/>
      <c r="F178" s="58"/>
    </row>
    <row r="179" spans="1:13" ht="12.6" customHeight="1" x14ac:dyDescent="0.3">
      <c r="A179" s="141" t="s">
        <v>1346</v>
      </c>
      <c r="B179" s="142"/>
      <c r="C179" s="55">
        <f>E179+D179+F179</f>
        <v>12701</v>
      </c>
      <c r="D179" s="54">
        <f>ROUNDDOWN(SUMIF(N112:N176,M179,D112:D176),0)</f>
        <v>7908</v>
      </c>
      <c r="E179" s="63">
        <f>ROUNDDOWN(SUMIF(N112:N176,M179,E112:E176),0)</f>
        <v>1963</v>
      </c>
      <c r="F179" s="55">
        <f>ROUNDDOWN(SUMIF(N112:N176,M179,F112:F176),0)</f>
        <v>2830</v>
      </c>
      <c r="M179" s="20" t="s">
        <v>1129</v>
      </c>
    </row>
    <row r="180" spans="1:13" ht="12.6" customHeight="1" x14ac:dyDescent="0.3">
      <c r="A180" s="99" t="s">
        <v>29</v>
      </c>
      <c r="B180" s="100" t="s">
        <v>29</v>
      </c>
      <c r="C180" s="147">
        <f>C214</f>
        <v>24816</v>
      </c>
      <c r="D180" s="147">
        <f>D214</f>
        <v>18084</v>
      </c>
      <c r="E180" s="147">
        <f>E214</f>
        <v>2498</v>
      </c>
      <c r="F180" s="147">
        <f>F214</f>
        <v>4234</v>
      </c>
      <c r="G180" s="36" t="str">
        <f>HYPERLINK("#G"&amp;ROW(G207),"_x0005_`BDCOD|D01124_x0007_`POSS|"&amp;ROW(G182)&amp;"_x0007_`POSE|"&amp;ROW(G207)&amp;"_x0007_`")</f>
        <v>_x0005_`BDCOD|D01124_x0007_`POSS|182_x0007_`POSE|207_x0007_`</v>
      </c>
    </row>
    <row r="181" spans="1:13" ht="12.6" customHeight="1" x14ac:dyDescent="0.3">
      <c r="A181" s="85"/>
      <c r="B181" s="100" t="s">
        <v>179</v>
      </c>
      <c r="C181" s="137"/>
      <c r="D181" s="137"/>
      <c r="E181" s="137"/>
      <c r="F181" s="137"/>
      <c r="M181" s="20" t="s">
        <v>178</v>
      </c>
    </row>
    <row r="182" spans="1:13" ht="12.6" customHeight="1" x14ac:dyDescent="0.3">
      <c r="A182" s="70"/>
      <c r="B182" s="79" t="s">
        <v>1432</v>
      </c>
      <c r="C182" s="102"/>
      <c r="D182" s="102"/>
      <c r="E182" s="102"/>
      <c r="F182" s="102"/>
      <c r="G182" s="16" t="s">
        <v>1431</v>
      </c>
    </row>
    <row r="183" spans="1:13" ht="12.6" customHeight="1" x14ac:dyDescent="0.3">
      <c r="A183" s="80"/>
      <c r="B183" s="80"/>
      <c r="C183" s="80"/>
      <c r="D183" s="80"/>
      <c r="E183" s="80"/>
      <c r="F183" s="80"/>
      <c r="G183" s="16" t="s">
        <v>1327</v>
      </c>
    </row>
    <row r="184" spans="1:13" ht="12.6" customHeight="1" x14ac:dyDescent="0.3">
      <c r="A184" s="70"/>
      <c r="B184" s="79" t="s">
        <v>1372</v>
      </c>
      <c r="C184" s="80"/>
      <c r="D184" s="80"/>
      <c r="E184" s="80"/>
      <c r="F184" s="80"/>
      <c r="G184" s="16" t="s">
        <v>1371</v>
      </c>
    </row>
    <row r="185" spans="1:13" ht="12.6" customHeight="1" x14ac:dyDescent="0.3">
      <c r="A185" s="80"/>
      <c r="B185" s="80"/>
      <c r="C185" s="80"/>
      <c r="D185" s="80"/>
      <c r="E185" s="80"/>
      <c r="F185" s="80"/>
      <c r="G185" s="16" t="s">
        <v>1324</v>
      </c>
    </row>
    <row r="186" spans="1:13" ht="12.6" customHeight="1" x14ac:dyDescent="0.3">
      <c r="A186" s="70"/>
      <c r="B186" s="79" t="s">
        <v>1434</v>
      </c>
      <c r="C186" s="80"/>
      <c r="D186" s="80"/>
      <c r="E186" s="80"/>
      <c r="F186" s="80"/>
      <c r="G186" s="16" t="s">
        <v>1433</v>
      </c>
    </row>
    <row r="187" spans="1:13" ht="12.6" customHeight="1" x14ac:dyDescent="0.3">
      <c r="A187" s="80"/>
      <c r="B187" s="80"/>
      <c r="C187" s="80"/>
      <c r="D187" s="80"/>
      <c r="E187" s="80"/>
      <c r="F187" s="80"/>
      <c r="G187" s="16" t="s">
        <v>1324</v>
      </c>
    </row>
    <row r="188" spans="1:13" ht="12.6" customHeight="1" x14ac:dyDescent="0.3">
      <c r="A188" s="80"/>
      <c r="B188" s="80"/>
      <c r="C188" s="80"/>
      <c r="D188" s="80"/>
      <c r="E188" s="80"/>
      <c r="F188" s="80"/>
      <c r="G188" s="16" t="s">
        <v>1324</v>
      </c>
    </row>
    <row r="189" spans="1:13" ht="12.6" customHeight="1" x14ac:dyDescent="0.3">
      <c r="A189" s="70"/>
      <c r="B189" s="79" t="s">
        <v>1380</v>
      </c>
      <c r="C189" s="80"/>
      <c r="D189" s="80"/>
      <c r="E189" s="80"/>
      <c r="F189" s="80"/>
      <c r="G189" s="16" t="s">
        <v>1379</v>
      </c>
    </row>
    <row r="190" spans="1:13" ht="12.6" customHeight="1" x14ac:dyDescent="0.3">
      <c r="A190" s="80"/>
      <c r="B190" s="80"/>
      <c r="C190" s="80"/>
      <c r="D190" s="80"/>
      <c r="E190" s="80"/>
      <c r="F190" s="80"/>
      <c r="G190" s="16" t="s">
        <v>1324</v>
      </c>
    </row>
    <row r="191" spans="1:13" ht="12.6" customHeight="1" x14ac:dyDescent="0.3">
      <c r="A191" s="70"/>
      <c r="B191" s="79" t="s">
        <v>1436</v>
      </c>
      <c r="C191" s="80"/>
      <c r="D191" s="80"/>
      <c r="E191" s="80"/>
      <c r="F191" s="80"/>
      <c r="G191" s="16" t="s">
        <v>1435</v>
      </c>
    </row>
    <row r="192" spans="1:13" ht="12.6" customHeight="1" x14ac:dyDescent="0.3">
      <c r="A192" s="80"/>
      <c r="B192" s="80"/>
      <c r="C192" s="80"/>
      <c r="D192" s="80"/>
      <c r="E192" s="80"/>
      <c r="F192" s="80"/>
      <c r="G192" s="16" t="s">
        <v>1324</v>
      </c>
    </row>
    <row r="193" spans="1:25" ht="12.6" customHeight="1" x14ac:dyDescent="0.3">
      <c r="A193" s="70"/>
      <c r="B193" s="79" t="s">
        <v>1438</v>
      </c>
      <c r="C193" s="80"/>
      <c r="D193" s="80"/>
      <c r="E193" s="80"/>
      <c r="F193" s="80"/>
      <c r="G193" s="16" t="s">
        <v>1437</v>
      </c>
    </row>
    <row r="194" spans="1:25" ht="12.6" customHeight="1" x14ac:dyDescent="0.3">
      <c r="A194" s="80"/>
      <c r="B194" s="80"/>
      <c r="C194" s="80"/>
      <c r="D194" s="80"/>
      <c r="E194" s="80"/>
      <c r="F194" s="80"/>
      <c r="G194" s="16" t="s">
        <v>1324</v>
      </c>
    </row>
    <row r="195" spans="1:25" ht="12.6" customHeight="1" x14ac:dyDescent="0.3">
      <c r="A195" s="70"/>
      <c r="B195" s="79" t="s">
        <v>1386</v>
      </c>
      <c r="C195" s="80"/>
      <c r="D195" s="80"/>
      <c r="E195" s="80"/>
      <c r="F195" s="80"/>
      <c r="G195" s="16" t="s">
        <v>1385</v>
      </c>
    </row>
    <row r="196" spans="1:25" ht="12.6" customHeight="1" x14ac:dyDescent="0.3">
      <c r="A196" s="80"/>
      <c r="B196" s="80"/>
      <c r="C196" s="80"/>
      <c r="D196" s="80"/>
      <c r="E196" s="80"/>
      <c r="F196" s="80"/>
      <c r="G196" s="16" t="s">
        <v>1324</v>
      </c>
    </row>
    <row r="197" spans="1:25" ht="12.6" customHeight="1" x14ac:dyDescent="0.3">
      <c r="A197" s="70"/>
      <c r="B197" s="79" t="s">
        <v>1440</v>
      </c>
      <c r="C197" s="80"/>
      <c r="D197" s="80"/>
      <c r="E197" s="80"/>
      <c r="F197" s="80"/>
      <c r="G197" s="16" t="s">
        <v>1439</v>
      </c>
    </row>
    <row r="198" spans="1:25" ht="12.6" customHeight="1" x14ac:dyDescent="0.3">
      <c r="A198" s="80"/>
      <c r="B198" s="80"/>
      <c r="C198" s="80"/>
      <c r="D198" s="80"/>
      <c r="E198" s="80"/>
      <c r="F198" s="80"/>
      <c r="G198" s="16" t="s">
        <v>1324</v>
      </c>
    </row>
    <row r="199" spans="1:25" ht="12.6" customHeight="1" x14ac:dyDescent="0.3">
      <c r="A199" s="70"/>
      <c r="B199" s="79" t="s">
        <v>1441</v>
      </c>
      <c r="C199" s="80"/>
      <c r="D199" s="80"/>
      <c r="E199" s="80"/>
      <c r="F199" s="80"/>
      <c r="G199" s="16" t="s">
        <v>1391</v>
      </c>
    </row>
    <row r="200" spans="1:25" ht="12.6" customHeight="1" x14ac:dyDescent="0.3">
      <c r="A200" s="80"/>
      <c r="B200" s="80"/>
      <c r="C200" s="80"/>
      <c r="D200" s="80"/>
      <c r="E200" s="80"/>
      <c r="F200" s="80"/>
      <c r="G200" s="16" t="s">
        <v>1324</v>
      </c>
    </row>
    <row r="201" spans="1:25" ht="12.6" customHeight="1" x14ac:dyDescent="0.3">
      <c r="A201" s="70" t="s">
        <v>1361</v>
      </c>
      <c r="B201" s="101" t="str">
        <f>" 노 무 비  : "&amp;TEXT(I201,"#,##0"&amp;IF(I201&lt;&gt;INT(I201),".###",""))&amp;" / Q * 2 = "&amp;TEXT(C201,"#,##0.0")&amp;""</f>
        <v xml:space="preserve"> 노 무 비  : 55,700 / Q * 2 = 18,084.4</v>
      </c>
      <c r="C201" s="103">
        <f>E201+D201+F201</f>
        <v>18084.400000000001</v>
      </c>
      <c r="D201" s="103">
        <f>IF(H201=0,0,ROUNDDOWN(J201*H201,1))</f>
        <v>18084.400000000001</v>
      </c>
      <c r="E201" s="103">
        <f>IF(H201=0,0,ROUNDDOWN(K201*H201,1))</f>
        <v>0</v>
      </c>
      <c r="F201" s="103">
        <f>IF(H201=0,0,ROUNDDOWN(L201*H201,1))</f>
        <v>0</v>
      </c>
      <c r="G201" s="16" t="s">
        <v>1442</v>
      </c>
      <c r="H201" s="108">
        <v>0.3246753246854</v>
      </c>
      <c r="I201" s="109">
        <f>K201+J201+L201</f>
        <v>55700</v>
      </c>
      <c r="J201" s="39">
        <f>중기목록표!F5</f>
        <v>55700</v>
      </c>
      <c r="M201" s="20" t="s">
        <v>1362</v>
      </c>
      <c r="N201" s="20" t="s">
        <v>1345</v>
      </c>
      <c r="X201" s="110" t="str">
        <f>중기목록표!B5&amp;" / "&amp;중기목록표!C5</f>
        <v xml:space="preserve">굴삭기(0.2m3) / </v>
      </c>
      <c r="Y201" s="19" t="str">
        <f ca="1">HYPERLINK("#"&amp;중기목록표!J2&amp;"!A"&amp;ROW(중기목록표!A5),"중기    2 →")</f>
        <v>중기    2 →</v>
      </c>
    </row>
    <row r="202" spans="1:25" ht="12.6" customHeight="1" x14ac:dyDescent="0.3">
      <c r="A202" s="80"/>
      <c r="B202" s="80"/>
      <c r="C202" s="80"/>
      <c r="D202" s="80"/>
      <c r="E202" s="80"/>
      <c r="F202" s="80"/>
      <c r="G202" s="16" t="s">
        <v>1324</v>
      </c>
    </row>
    <row r="203" spans="1:25" ht="12.6" customHeight="1" x14ac:dyDescent="0.3">
      <c r="A203" s="70" t="s">
        <v>1364</v>
      </c>
      <c r="B203" s="101" t="str">
        <f>" 재 료 비  : "&amp;TEXT(I203,"#,##0"&amp;IF(I203&lt;&gt;INT(I203),".###",""))&amp;" / Q * 2 = "&amp;TEXT(C203,"#,##0.0")&amp;""</f>
        <v xml:space="preserve"> 재 료 비  : 7,695 / Q * 2 = 2,498.3</v>
      </c>
      <c r="C203" s="103">
        <f>E203+D203+F203</f>
        <v>2498.3000000000002</v>
      </c>
      <c r="D203" s="103">
        <f>IF(H203=0,0,ROUNDDOWN(J203*H203,1))</f>
        <v>0</v>
      </c>
      <c r="E203" s="103">
        <f>IF(H203=0,0,ROUNDDOWN(K203*H203,1))</f>
        <v>2498.3000000000002</v>
      </c>
      <c r="F203" s="103">
        <f>IF(H203=0,0,ROUNDDOWN(L203*H203,1))</f>
        <v>0</v>
      </c>
      <c r="G203" s="16" t="s">
        <v>1443</v>
      </c>
      <c r="H203" s="108">
        <v>0.3246753246854</v>
      </c>
      <c r="I203" s="109">
        <f>K203+J203+L203</f>
        <v>7695</v>
      </c>
      <c r="K203" s="39">
        <f>중기목록표!G5</f>
        <v>7695</v>
      </c>
      <c r="M203" s="20" t="s">
        <v>1362</v>
      </c>
      <c r="N203" s="20" t="s">
        <v>1345</v>
      </c>
      <c r="X203" s="110" t="str">
        <f>중기목록표!B5&amp;" / "&amp;중기목록표!C5</f>
        <v xml:space="preserve">굴삭기(0.2m3) / </v>
      </c>
      <c r="Y203" s="19" t="str">
        <f ca="1">HYPERLINK("#"&amp;중기목록표!J2&amp;"!A"&amp;ROW(중기목록표!A5),"중기    2 →")</f>
        <v>중기    2 →</v>
      </c>
    </row>
    <row r="204" spans="1:25" ht="12.6" customHeight="1" x14ac:dyDescent="0.3">
      <c r="A204" s="80"/>
      <c r="B204" s="80"/>
      <c r="C204" s="80"/>
      <c r="D204" s="80"/>
      <c r="E204" s="80"/>
      <c r="F204" s="80"/>
      <c r="G204" s="16" t="s">
        <v>1324</v>
      </c>
    </row>
    <row r="205" spans="1:25" ht="12.6" customHeight="1" x14ac:dyDescent="0.3">
      <c r="A205" s="70" t="s">
        <v>1366</v>
      </c>
      <c r="B205" s="101" t="str">
        <f>" 경    비  : "&amp;TEXT(I205,"#,##0"&amp;IF(I205&lt;&gt;INT(I205),".###",""))&amp;" / Q * 2 = "&amp;TEXT(C205,"#,##0.0")&amp;""</f>
        <v xml:space="preserve"> 경    비  : 13,041 / Q * 2 = 4,234.0</v>
      </c>
      <c r="C205" s="103">
        <f>E205+D205+F205</f>
        <v>4234</v>
      </c>
      <c r="D205" s="103">
        <f>IF(H205=0,0,ROUNDDOWN(J205*H205,1))</f>
        <v>0</v>
      </c>
      <c r="E205" s="103">
        <f>IF(H205=0,0,ROUNDDOWN(K205*H205,1))</f>
        <v>0</v>
      </c>
      <c r="F205" s="103">
        <f>IF(H205=0,0,ROUNDDOWN(L205*H205,1))</f>
        <v>4234</v>
      </c>
      <c r="G205" s="16" t="s">
        <v>1444</v>
      </c>
      <c r="H205" s="108">
        <v>0.3246753246854</v>
      </c>
      <c r="I205" s="109">
        <f>K205+J205+L205</f>
        <v>13041</v>
      </c>
      <c r="L205" s="39">
        <f>중기목록표!H5</f>
        <v>13041</v>
      </c>
      <c r="M205" s="20" t="s">
        <v>1362</v>
      </c>
      <c r="N205" s="20" t="s">
        <v>1345</v>
      </c>
      <c r="X205" s="110" t="str">
        <f>중기목록표!B5&amp;" / "&amp;중기목록표!C5</f>
        <v xml:space="preserve">굴삭기(0.2m3) / </v>
      </c>
      <c r="Y205" s="19" t="str">
        <f ca="1">HYPERLINK("#"&amp;중기목록표!J2&amp;"!A"&amp;ROW(중기목록표!A5),"중기    2 →")</f>
        <v>중기    2 →</v>
      </c>
    </row>
    <row r="206" spans="1:25" ht="12.6" customHeight="1" x14ac:dyDescent="0.3">
      <c r="A206" s="80"/>
      <c r="B206" s="80"/>
      <c r="C206" s="80"/>
      <c r="D206" s="80"/>
      <c r="E206" s="80"/>
      <c r="F206" s="80"/>
      <c r="G206" s="16" t="s">
        <v>1324</v>
      </c>
    </row>
    <row r="207" spans="1:25" ht="12.6" customHeight="1" x14ac:dyDescent="0.3">
      <c r="A207" s="70"/>
      <c r="B207" s="79" t="s">
        <v>1344</v>
      </c>
      <c r="C207" s="104">
        <f>E207+D207+F207</f>
        <v>24816.7</v>
      </c>
      <c r="D207" s="104">
        <f>SUMIF(N182:N206,M207,D182:D206)</f>
        <v>18084.400000000001</v>
      </c>
      <c r="E207" s="104">
        <f>SUMIF(N182:N206,M207,E182:E206)</f>
        <v>2498.3000000000002</v>
      </c>
      <c r="F207" s="104">
        <f>SUMIF(N182:N206,M207,F182:F206)</f>
        <v>4234</v>
      </c>
      <c r="G207" s="16" t="s">
        <v>1343</v>
      </c>
      <c r="M207" s="20" t="s">
        <v>1345</v>
      </c>
      <c r="N207" s="20" t="s">
        <v>1129</v>
      </c>
    </row>
    <row r="208" spans="1:25" ht="12.6" customHeight="1" x14ac:dyDescent="0.3">
      <c r="A208" s="80"/>
      <c r="B208" s="80"/>
      <c r="C208" s="102"/>
      <c r="D208" s="102"/>
      <c r="E208" s="102"/>
      <c r="F208" s="102"/>
    </row>
    <row r="209" spans="1:13" ht="12.6" customHeight="1" x14ac:dyDescent="0.3">
      <c r="A209" s="80"/>
      <c r="B209" s="80"/>
      <c r="C209" s="80"/>
      <c r="D209" s="80"/>
      <c r="E209" s="80"/>
      <c r="F209" s="80"/>
    </row>
    <row r="210" spans="1:13" ht="12.6" customHeight="1" x14ac:dyDescent="0.3">
      <c r="A210" s="80"/>
      <c r="B210" s="80"/>
      <c r="C210" s="80"/>
      <c r="D210" s="80"/>
      <c r="E210" s="80"/>
      <c r="F210" s="80"/>
    </row>
    <row r="211" spans="1:13" ht="12.6" customHeight="1" x14ac:dyDescent="0.3">
      <c r="A211" s="80"/>
      <c r="B211" s="80"/>
      <c r="C211" s="80"/>
      <c r="D211" s="80"/>
      <c r="E211" s="80"/>
      <c r="F211" s="80"/>
    </row>
    <row r="212" spans="1:13" ht="12.6" customHeight="1" x14ac:dyDescent="0.3">
      <c r="A212" s="80"/>
      <c r="B212" s="80"/>
      <c r="C212" s="80"/>
      <c r="D212" s="80"/>
      <c r="E212" s="80"/>
      <c r="F212" s="80"/>
    </row>
    <row r="213" spans="1:13" ht="12.6" customHeight="1" x14ac:dyDescent="0.3">
      <c r="A213" s="58"/>
      <c r="B213" s="58"/>
      <c r="C213" s="58"/>
      <c r="D213" s="58"/>
      <c r="E213" s="58"/>
      <c r="F213" s="58"/>
    </row>
    <row r="214" spans="1:13" ht="12.6" customHeight="1" x14ac:dyDescent="0.3">
      <c r="A214" s="141" t="s">
        <v>1346</v>
      </c>
      <c r="B214" s="142"/>
      <c r="C214" s="55">
        <f>E214+D214+F214</f>
        <v>24816</v>
      </c>
      <c r="D214" s="54">
        <f>ROUNDDOWN(SUMIF(N182:N207,M214,D182:D207),0)</f>
        <v>18084</v>
      </c>
      <c r="E214" s="63">
        <f>ROUNDDOWN(SUMIF(N182:N207,M214,E182:E207),0)</f>
        <v>2498</v>
      </c>
      <c r="F214" s="55">
        <f>ROUNDDOWN(SUMIF(N182:N207,M214,F182:F207),0)</f>
        <v>4234</v>
      </c>
      <c r="M214" s="20" t="s">
        <v>1129</v>
      </c>
    </row>
    <row r="215" spans="1:13" ht="12.6" customHeight="1" x14ac:dyDescent="0.3">
      <c r="A215" s="99" t="s">
        <v>33</v>
      </c>
      <c r="B215" s="100" t="s">
        <v>33</v>
      </c>
      <c r="C215" s="147">
        <f>C319</f>
        <v>30398</v>
      </c>
      <c r="D215" s="147">
        <f>D319</f>
        <v>18289</v>
      </c>
      <c r="E215" s="147">
        <f>E319</f>
        <v>5101</v>
      </c>
      <c r="F215" s="147">
        <f>F319</f>
        <v>7008</v>
      </c>
      <c r="G215" s="36" t="str">
        <f>HYPERLINK("#G"&amp;ROW(G307),"_x0005_`BDCOD|D01129_x0007_`POSS|"&amp;ROW(G217)&amp;"_x0007_`POSE|"&amp;ROW(G307)&amp;"_x0007_`")</f>
        <v>_x0005_`BDCOD|D01129_x0007_`POSS|217_x0007_`POSE|307_x0007_`</v>
      </c>
    </row>
    <row r="216" spans="1:13" ht="12.6" customHeight="1" x14ac:dyDescent="0.3">
      <c r="A216" s="85"/>
      <c r="B216" s="100" t="s">
        <v>182</v>
      </c>
      <c r="C216" s="137"/>
      <c r="D216" s="137"/>
      <c r="E216" s="137"/>
      <c r="F216" s="137"/>
      <c r="M216" s="20" t="s">
        <v>181</v>
      </c>
    </row>
    <row r="217" spans="1:13" ht="12.6" customHeight="1" x14ac:dyDescent="0.3">
      <c r="A217" s="70"/>
      <c r="B217" s="79" t="s">
        <v>1446</v>
      </c>
      <c r="C217" s="102"/>
      <c r="D217" s="102"/>
      <c r="E217" s="102"/>
      <c r="F217" s="102"/>
      <c r="G217" s="16" t="s">
        <v>1445</v>
      </c>
    </row>
    <row r="218" spans="1:13" ht="12.6" customHeight="1" x14ac:dyDescent="0.3">
      <c r="A218" s="80"/>
      <c r="B218" s="80"/>
      <c r="C218" s="80"/>
      <c r="D218" s="80"/>
      <c r="E218" s="80"/>
      <c r="F218" s="80"/>
      <c r="G218" s="16" t="s">
        <v>1324</v>
      </c>
    </row>
    <row r="219" spans="1:13" ht="12.6" customHeight="1" x14ac:dyDescent="0.3">
      <c r="A219" s="70"/>
      <c r="B219" s="79" t="s">
        <v>1448</v>
      </c>
      <c r="C219" s="80"/>
      <c r="D219" s="80"/>
      <c r="E219" s="80"/>
      <c r="F219" s="80"/>
      <c r="G219" s="16" t="s">
        <v>1447</v>
      </c>
    </row>
    <row r="220" spans="1:13" ht="12.6" customHeight="1" x14ac:dyDescent="0.3">
      <c r="A220" s="80"/>
      <c r="B220" s="80"/>
      <c r="C220" s="80"/>
      <c r="D220" s="80"/>
      <c r="E220" s="80"/>
      <c r="F220" s="80"/>
      <c r="G220" s="16" t="s">
        <v>1324</v>
      </c>
    </row>
    <row r="221" spans="1:13" ht="12.6" customHeight="1" x14ac:dyDescent="0.3">
      <c r="A221" s="70"/>
      <c r="B221" s="79" t="s">
        <v>1450</v>
      </c>
      <c r="C221" s="80"/>
      <c r="D221" s="80"/>
      <c r="E221" s="80"/>
      <c r="F221" s="80"/>
      <c r="G221" s="16" t="s">
        <v>1449</v>
      </c>
    </row>
    <row r="222" spans="1:13" ht="12.6" customHeight="1" x14ac:dyDescent="0.3">
      <c r="A222" s="80"/>
      <c r="B222" s="80"/>
      <c r="C222" s="80"/>
      <c r="D222" s="80"/>
      <c r="E222" s="80"/>
      <c r="F222" s="80"/>
      <c r="G222" s="16" t="s">
        <v>1324</v>
      </c>
    </row>
    <row r="223" spans="1:13" ht="12.6" customHeight="1" x14ac:dyDescent="0.3">
      <c r="A223" s="70"/>
      <c r="B223" s="79" t="s">
        <v>1452</v>
      </c>
      <c r="C223" s="80"/>
      <c r="D223" s="80"/>
      <c r="E223" s="80"/>
      <c r="F223" s="80"/>
      <c r="G223" s="16" t="s">
        <v>1451</v>
      </c>
    </row>
    <row r="224" spans="1:13" ht="12.6" customHeight="1" x14ac:dyDescent="0.3">
      <c r="A224" s="80"/>
      <c r="B224" s="80"/>
      <c r="C224" s="80"/>
      <c r="D224" s="80"/>
      <c r="E224" s="80"/>
      <c r="F224" s="80"/>
      <c r="G224" s="16" t="s">
        <v>1324</v>
      </c>
    </row>
    <row r="225" spans="1:25" ht="12.6" customHeight="1" x14ac:dyDescent="0.3">
      <c r="A225" s="80"/>
      <c r="B225" s="80"/>
      <c r="C225" s="80"/>
      <c r="D225" s="80"/>
      <c r="E225" s="80"/>
      <c r="F225" s="80"/>
      <c r="G225" s="16" t="s">
        <v>1324</v>
      </c>
    </row>
    <row r="226" spans="1:25" ht="12.6" customHeight="1" x14ac:dyDescent="0.3">
      <c r="A226" s="80"/>
      <c r="B226" s="80"/>
      <c r="C226" s="80"/>
      <c r="D226" s="80"/>
      <c r="E226" s="80"/>
      <c r="F226" s="80"/>
      <c r="G226" s="16" t="s">
        <v>1324</v>
      </c>
    </row>
    <row r="227" spans="1:25" ht="12.6" customHeight="1" x14ac:dyDescent="0.3">
      <c r="A227" s="70"/>
      <c r="B227" s="79" t="s">
        <v>1454</v>
      </c>
      <c r="C227" s="80"/>
      <c r="D227" s="80"/>
      <c r="E227" s="80"/>
      <c r="F227" s="80"/>
      <c r="G227" s="16" t="s">
        <v>1453</v>
      </c>
    </row>
    <row r="228" spans="1:25" ht="12.6" customHeight="1" x14ac:dyDescent="0.3">
      <c r="A228" s="80"/>
      <c r="B228" s="80"/>
      <c r="C228" s="80"/>
      <c r="D228" s="80"/>
      <c r="E228" s="80"/>
      <c r="F228" s="80"/>
      <c r="G228" s="16" t="s">
        <v>1324</v>
      </c>
    </row>
    <row r="229" spans="1:25" ht="12.6" customHeight="1" x14ac:dyDescent="0.3">
      <c r="A229" s="70"/>
      <c r="B229" s="79" t="s">
        <v>1456</v>
      </c>
      <c r="C229" s="80"/>
      <c r="D229" s="80"/>
      <c r="E229" s="80"/>
      <c r="F229" s="80"/>
      <c r="G229" s="16" t="s">
        <v>1455</v>
      </c>
    </row>
    <row r="230" spans="1:25" ht="12.6" customHeight="1" x14ac:dyDescent="0.3">
      <c r="A230" s="80"/>
      <c r="B230" s="80"/>
      <c r="C230" s="80"/>
      <c r="D230" s="80"/>
      <c r="E230" s="80"/>
      <c r="F230" s="80"/>
      <c r="G230" s="16" t="s">
        <v>1324</v>
      </c>
    </row>
    <row r="231" spans="1:25" ht="12.6" customHeight="1" x14ac:dyDescent="0.3">
      <c r="A231" s="70"/>
      <c r="B231" s="79" t="s">
        <v>1458</v>
      </c>
      <c r="C231" s="80"/>
      <c r="D231" s="80"/>
      <c r="E231" s="80"/>
      <c r="F231" s="80"/>
      <c r="G231" s="16" t="s">
        <v>1457</v>
      </c>
    </row>
    <row r="232" spans="1:25" ht="12.6" customHeight="1" x14ac:dyDescent="0.3">
      <c r="A232" s="80"/>
      <c r="B232" s="80"/>
      <c r="C232" s="80"/>
      <c r="D232" s="80"/>
      <c r="E232" s="80"/>
      <c r="F232" s="80"/>
      <c r="G232" s="16" t="s">
        <v>1324</v>
      </c>
    </row>
    <row r="233" spans="1:25" ht="12.6" customHeight="1" x14ac:dyDescent="0.3">
      <c r="A233" s="70"/>
      <c r="B233" s="79" t="s">
        <v>1386</v>
      </c>
      <c r="C233" s="80"/>
      <c r="D233" s="80"/>
      <c r="E233" s="80"/>
      <c r="F233" s="80"/>
      <c r="G233" s="16" t="s">
        <v>1385</v>
      </c>
    </row>
    <row r="234" spans="1:25" ht="12.6" customHeight="1" x14ac:dyDescent="0.3">
      <c r="A234" s="80"/>
      <c r="B234" s="80"/>
      <c r="C234" s="80"/>
      <c r="D234" s="80"/>
      <c r="E234" s="80"/>
      <c r="F234" s="80"/>
      <c r="G234" s="16" t="s">
        <v>1324</v>
      </c>
    </row>
    <row r="235" spans="1:25" ht="12.6" customHeight="1" x14ac:dyDescent="0.3">
      <c r="A235" s="70"/>
      <c r="B235" s="79" t="s">
        <v>1460</v>
      </c>
      <c r="C235" s="80"/>
      <c r="D235" s="80"/>
      <c r="E235" s="80"/>
      <c r="F235" s="80"/>
      <c r="G235" s="16" t="s">
        <v>1459</v>
      </c>
    </row>
    <row r="236" spans="1:25" ht="12.6" customHeight="1" x14ac:dyDescent="0.3">
      <c r="A236" s="80"/>
      <c r="B236" s="80"/>
      <c r="C236" s="80"/>
      <c r="D236" s="80"/>
      <c r="E236" s="80"/>
      <c r="F236" s="80"/>
      <c r="G236" s="16" t="s">
        <v>1324</v>
      </c>
    </row>
    <row r="237" spans="1:25" ht="12.6" customHeight="1" x14ac:dyDescent="0.3">
      <c r="A237" s="70"/>
      <c r="B237" s="79" t="s">
        <v>1462</v>
      </c>
      <c r="C237" s="80"/>
      <c r="D237" s="80"/>
      <c r="E237" s="80"/>
      <c r="F237" s="80"/>
      <c r="G237" s="16" t="s">
        <v>1461</v>
      </c>
    </row>
    <row r="238" spans="1:25" ht="12.6" customHeight="1" x14ac:dyDescent="0.3">
      <c r="A238" s="80"/>
      <c r="B238" s="80"/>
      <c r="C238" s="80"/>
      <c r="D238" s="80"/>
      <c r="E238" s="80"/>
      <c r="F238" s="80"/>
      <c r="G238" s="16" t="s">
        <v>1324</v>
      </c>
    </row>
    <row r="239" spans="1:25" ht="12.6" customHeight="1" x14ac:dyDescent="0.3">
      <c r="A239" s="70" t="s">
        <v>1394</v>
      </c>
      <c r="B239" s="101" t="str">
        <f>" 노 무 비  : "&amp;TEXT(I239,"#,##0"&amp;IF(I239&lt;&gt;INT(I239),".###",""))&amp;" / Q = "&amp;TEXT(C239,"#,##0.0")&amp;""</f>
        <v xml:space="preserve"> 노 무 비  : 55,700 / Q = 6,945.1</v>
      </c>
      <c r="C239" s="103">
        <f>E239+D239+F239</f>
        <v>6945.1</v>
      </c>
      <c r="D239" s="103">
        <f>IF(H239=0,0,ROUNDDOWN(J239*H239,1))</f>
        <v>6945.1</v>
      </c>
      <c r="E239" s="103">
        <f>IF(H239=0,0,ROUNDDOWN(K239*H239,1))</f>
        <v>0</v>
      </c>
      <c r="F239" s="103">
        <f>IF(H239=0,0,ROUNDDOWN(L239*H239,1))</f>
        <v>0</v>
      </c>
      <c r="G239" s="16" t="s">
        <v>1463</v>
      </c>
      <c r="H239" s="108">
        <v>0.1246882793119</v>
      </c>
      <c r="I239" s="109">
        <f>K239+J239+L239</f>
        <v>55700</v>
      </c>
      <c r="J239" s="39">
        <f>중기목록표!F9</f>
        <v>55700</v>
      </c>
      <c r="M239" s="20" t="s">
        <v>1395</v>
      </c>
      <c r="N239" s="20" t="s">
        <v>1345</v>
      </c>
      <c r="X239" s="110" t="str">
        <f>중기목록표!B9&amp;" / "&amp;중기목록표!C9</f>
        <v>굴삭기(0.7m3) / 0.7㎥,(암석)</v>
      </c>
      <c r="Y239" s="19" t="str">
        <f ca="1">HYPERLINK("#"&amp;중기목록표!J2&amp;"!A"&amp;ROW(중기목록표!A9),"중기    6 →")</f>
        <v>중기    6 →</v>
      </c>
    </row>
    <row r="240" spans="1:25" ht="12.6" customHeight="1" x14ac:dyDescent="0.3">
      <c r="A240" s="80"/>
      <c r="B240" s="80"/>
      <c r="C240" s="80"/>
      <c r="D240" s="80"/>
      <c r="E240" s="80"/>
      <c r="F240" s="80"/>
      <c r="G240" s="16" t="s">
        <v>1324</v>
      </c>
    </row>
    <row r="241" spans="1:25" ht="12.6" customHeight="1" x14ac:dyDescent="0.3">
      <c r="A241" s="70" t="s">
        <v>1397</v>
      </c>
      <c r="B241" s="101" t="str">
        <f>" 재 료 비  : "&amp;TEXT(I241,"#,##0"&amp;IF(I241&lt;&gt;INT(I241),".###",""))&amp;" / Q = "&amp;TEXT(C241,"#,##0.0")&amp;""</f>
        <v xml:space="preserve"> 재 료 비  : 18,001 / Q = 2,244.5</v>
      </c>
      <c r="C241" s="103">
        <f>E241+D241+F241</f>
        <v>2244.5</v>
      </c>
      <c r="D241" s="103">
        <f>IF(H241=0,0,ROUNDDOWN(J241*H241,1))</f>
        <v>0</v>
      </c>
      <c r="E241" s="103">
        <f>IF(H241=0,0,ROUNDDOWN(K241*H241,1))</f>
        <v>2244.5</v>
      </c>
      <c r="F241" s="103">
        <f>IF(H241=0,0,ROUNDDOWN(L241*H241,1))</f>
        <v>0</v>
      </c>
      <c r="G241" s="16" t="s">
        <v>1464</v>
      </c>
      <c r="H241" s="108">
        <v>0.1246882793119</v>
      </c>
      <c r="I241" s="109">
        <f>K241+J241+L241</f>
        <v>18001</v>
      </c>
      <c r="K241" s="39">
        <f>중기목록표!G9</f>
        <v>18001</v>
      </c>
      <c r="M241" s="20" t="s">
        <v>1395</v>
      </c>
      <c r="N241" s="20" t="s">
        <v>1345</v>
      </c>
      <c r="X241" s="110" t="str">
        <f>중기목록표!B9&amp;" / "&amp;중기목록표!C9</f>
        <v>굴삭기(0.7m3) / 0.7㎥,(암석)</v>
      </c>
      <c r="Y241" s="19" t="str">
        <f ca="1">HYPERLINK("#"&amp;중기목록표!J2&amp;"!A"&amp;ROW(중기목록표!A9),"중기    6 →")</f>
        <v>중기    6 →</v>
      </c>
    </row>
    <row r="242" spans="1:25" ht="12.6" customHeight="1" x14ac:dyDescent="0.3">
      <c r="A242" s="80"/>
      <c r="B242" s="80"/>
      <c r="C242" s="80"/>
      <c r="D242" s="80"/>
      <c r="E242" s="80"/>
      <c r="F242" s="80"/>
      <c r="G242" s="16" t="s">
        <v>1324</v>
      </c>
    </row>
    <row r="243" spans="1:25" ht="12.6" customHeight="1" x14ac:dyDescent="0.3">
      <c r="A243" s="70" t="s">
        <v>1399</v>
      </c>
      <c r="B243" s="101" t="str">
        <f>" 경    비  : "&amp;TEXT(I243,"#,##0"&amp;IF(I243&lt;&gt;INT(I243),".###",""))&amp;" / Q = "&amp;TEXT(C243,"#,##0.0")&amp;""</f>
        <v xml:space="preserve"> 경    비  : 26,677 / Q = 3,326.3</v>
      </c>
      <c r="C243" s="103">
        <f>E243+D243+F243</f>
        <v>3326.3</v>
      </c>
      <c r="D243" s="103">
        <f>IF(H243=0,0,ROUNDDOWN(J243*H243,1))</f>
        <v>0</v>
      </c>
      <c r="E243" s="103">
        <f>IF(H243=0,0,ROUNDDOWN(K243*H243,1))</f>
        <v>0</v>
      </c>
      <c r="F243" s="103">
        <f>IF(H243=0,0,ROUNDDOWN(L243*H243,1))</f>
        <v>3326.3</v>
      </c>
      <c r="G243" s="16" t="s">
        <v>1465</v>
      </c>
      <c r="H243" s="108">
        <v>0.1246882793119</v>
      </c>
      <c r="I243" s="109">
        <f>K243+J243+L243</f>
        <v>26677</v>
      </c>
      <c r="L243" s="39">
        <f>중기목록표!H9</f>
        <v>26677</v>
      </c>
      <c r="M243" s="20" t="s">
        <v>1395</v>
      </c>
      <c r="N243" s="20" t="s">
        <v>1345</v>
      </c>
      <c r="X243" s="110" t="str">
        <f>중기목록표!B9&amp;" / "&amp;중기목록표!C9</f>
        <v>굴삭기(0.7m3) / 0.7㎥,(암석)</v>
      </c>
      <c r="Y243" s="19" t="str">
        <f ca="1">HYPERLINK("#"&amp;중기목록표!J2&amp;"!A"&amp;ROW(중기목록표!A9),"중기    6 →")</f>
        <v>중기    6 →</v>
      </c>
    </row>
    <row r="244" spans="1:25" ht="12.6" customHeight="1" x14ac:dyDescent="0.3">
      <c r="A244" s="80"/>
      <c r="B244" s="80"/>
      <c r="C244" s="80"/>
      <c r="D244" s="80"/>
      <c r="E244" s="80"/>
      <c r="F244" s="80"/>
      <c r="G244" s="16" t="s">
        <v>1324</v>
      </c>
    </row>
    <row r="245" spans="1:25" ht="12.6" customHeight="1" x14ac:dyDescent="0.3">
      <c r="A245" s="70"/>
      <c r="B245" s="79" t="s">
        <v>1344</v>
      </c>
      <c r="C245" s="104">
        <f>E245+D245+F245</f>
        <v>12515.900000000001</v>
      </c>
      <c r="D245" s="104">
        <f>SUMIF(N217:N244,M245,D217:D244)</f>
        <v>6945.1</v>
      </c>
      <c r="E245" s="104">
        <f>SUMIF(N217:N244,M245,E217:E244)</f>
        <v>2244.5</v>
      </c>
      <c r="F245" s="104">
        <f>SUMIF(N217:N244,M245,F217:F244)</f>
        <v>3326.3</v>
      </c>
      <c r="G245" s="16" t="s">
        <v>1343</v>
      </c>
      <c r="M245" s="20" t="s">
        <v>1345</v>
      </c>
      <c r="N245" s="20" t="s">
        <v>1368</v>
      </c>
    </row>
    <row r="246" spans="1:25" ht="12.6" customHeight="1" x14ac:dyDescent="0.3">
      <c r="A246" s="80"/>
      <c r="B246" s="80"/>
      <c r="C246" s="102"/>
      <c r="D246" s="102"/>
      <c r="E246" s="102"/>
      <c r="F246" s="102"/>
      <c r="G246" s="16" t="s">
        <v>1324</v>
      </c>
    </row>
    <row r="247" spans="1:25" ht="12.6" customHeight="1" x14ac:dyDescent="0.3">
      <c r="A247" s="70"/>
      <c r="B247" s="79" t="s">
        <v>1171</v>
      </c>
      <c r="C247" s="104">
        <f>E247+D247+F247</f>
        <v>12515.900000000001</v>
      </c>
      <c r="D247" s="104">
        <f>SUMIF(N217:N246,M247,D217:D246)</f>
        <v>6945.1</v>
      </c>
      <c r="E247" s="104">
        <f>SUMIF(N217:N246,M247,E217:E246)</f>
        <v>2244.5</v>
      </c>
      <c r="F247" s="104">
        <f>SUMIF(N217:N246,M247,F217:F246)</f>
        <v>3326.3</v>
      </c>
      <c r="G247" s="16" t="s">
        <v>1367</v>
      </c>
      <c r="M247" s="20" t="s">
        <v>1368</v>
      </c>
      <c r="N247" s="20" t="s">
        <v>1129</v>
      </c>
    </row>
    <row r="248" spans="1:25" ht="12.6" customHeight="1" x14ac:dyDescent="0.3">
      <c r="A248" s="80"/>
      <c r="B248" s="80"/>
      <c r="C248" s="102"/>
      <c r="D248" s="102"/>
      <c r="E248" s="102"/>
      <c r="F248" s="102"/>
      <c r="G248" s="16" t="s">
        <v>1324</v>
      </c>
    </row>
    <row r="249" spans="1:25" ht="12.6" customHeight="1" x14ac:dyDescent="0.3">
      <c r="A249" s="80"/>
      <c r="B249" s="80"/>
      <c r="C249" s="80"/>
      <c r="D249" s="80"/>
      <c r="E249" s="80"/>
      <c r="F249" s="80"/>
      <c r="G249" s="16" t="s">
        <v>1324</v>
      </c>
    </row>
    <row r="250" spans="1:25" ht="12.6" customHeight="1" x14ac:dyDescent="0.3">
      <c r="A250" s="80"/>
      <c r="B250" s="80"/>
      <c r="C250" s="80"/>
      <c r="D250" s="80"/>
      <c r="E250" s="80"/>
      <c r="F250" s="80"/>
      <c r="G250" s="16" t="s">
        <v>1324</v>
      </c>
    </row>
    <row r="251" spans="1:25" ht="12.6" customHeight="1" x14ac:dyDescent="0.3">
      <c r="A251" s="70"/>
      <c r="B251" s="79" t="s">
        <v>1467</v>
      </c>
      <c r="C251" s="80"/>
      <c r="D251" s="80"/>
      <c r="E251" s="80"/>
      <c r="F251" s="80"/>
      <c r="G251" s="16" t="s">
        <v>1466</v>
      </c>
    </row>
    <row r="252" spans="1:25" ht="12.6" customHeight="1" x14ac:dyDescent="0.3">
      <c r="A252" s="80"/>
      <c r="B252" s="80"/>
      <c r="C252" s="80"/>
      <c r="D252" s="80"/>
      <c r="E252" s="80"/>
      <c r="F252" s="80"/>
      <c r="G252" s="16" t="s">
        <v>1324</v>
      </c>
    </row>
    <row r="253" spans="1:25" ht="12.6" customHeight="1" x14ac:dyDescent="0.3">
      <c r="A253" s="70"/>
      <c r="B253" s="79" t="s">
        <v>1469</v>
      </c>
      <c r="C253" s="80"/>
      <c r="D253" s="80"/>
      <c r="E253" s="80"/>
      <c r="F253" s="80"/>
      <c r="G253" s="16" t="s">
        <v>1468</v>
      </c>
    </row>
    <row r="254" spans="1:25" ht="12.6" customHeight="1" x14ac:dyDescent="0.3">
      <c r="A254" s="80"/>
      <c r="B254" s="80"/>
      <c r="C254" s="80"/>
      <c r="D254" s="80"/>
      <c r="E254" s="80"/>
      <c r="F254" s="80"/>
      <c r="G254" s="16" t="s">
        <v>1324</v>
      </c>
    </row>
    <row r="255" spans="1:25" ht="12.6" customHeight="1" x14ac:dyDescent="0.3">
      <c r="A255" s="70"/>
      <c r="B255" s="79" t="s">
        <v>1471</v>
      </c>
      <c r="C255" s="80"/>
      <c r="D255" s="80"/>
      <c r="E255" s="80"/>
      <c r="F255" s="80"/>
      <c r="G255" s="16" t="s">
        <v>1470</v>
      </c>
    </row>
    <row r="256" spans="1:25" ht="12.6" customHeight="1" x14ac:dyDescent="0.3">
      <c r="A256" s="80"/>
      <c r="B256" s="80"/>
      <c r="C256" s="80"/>
      <c r="D256" s="80"/>
      <c r="E256" s="80"/>
      <c r="F256" s="80"/>
      <c r="G256" s="16" t="s">
        <v>1324</v>
      </c>
    </row>
    <row r="257" spans="1:25" ht="12.6" customHeight="1" x14ac:dyDescent="0.3">
      <c r="A257" s="70"/>
      <c r="B257" s="79" t="s">
        <v>1473</v>
      </c>
      <c r="C257" s="80"/>
      <c r="D257" s="80"/>
      <c r="E257" s="80"/>
      <c r="F257" s="80"/>
      <c r="G257" s="16" t="s">
        <v>1472</v>
      </c>
    </row>
    <row r="258" spans="1:25" ht="12.6" customHeight="1" x14ac:dyDescent="0.3">
      <c r="A258" s="80"/>
      <c r="B258" s="80"/>
      <c r="C258" s="80"/>
      <c r="D258" s="80"/>
      <c r="E258" s="80"/>
      <c r="F258" s="80"/>
      <c r="G258" s="16" t="s">
        <v>1324</v>
      </c>
    </row>
    <row r="259" spans="1:25" ht="12.6" customHeight="1" x14ac:dyDescent="0.3">
      <c r="A259" s="70"/>
      <c r="B259" s="79" t="s">
        <v>1475</v>
      </c>
      <c r="C259" s="80"/>
      <c r="D259" s="80"/>
      <c r="E259" s="80"/>
      <c r="F259" s="80"/>
      <c r="G259" s="16" t="s">
        <v>1474</v>
      </c>
    </row>
    <row r="260" spans="1:25" ht="12.6" customHeight="1" x14ac:dyDescent="0.3">
      <c r="A260" s="80"/>
      <c r="B260" s="80"/>
      <c r="C260" s="80"/>
      <c r="D260" s="80"/>
      <c r="E260" s="80"/>
      <c r="F260" s="80"/>
      <c r="G260" s="16" t="s">
        <v>1324</v>
      </c>
    </row>
    <row r="261" spans="1:25" ht="12.6" customHeight="1" x14ac:dyDescent="0.3">
      <c r="A261" s="70"/>
      <c r="B261" s="79" t="s">
        <v>1477</v>
      </c>
      <c r="C261" s="80"/>
      <c r="D261" s="80"/>
      <c r="E261" s="80"/>
      <c r="F261" s="80"/>
      <c r="G261" s="16" t="s">
        <v>1476</v>
      </c>
    </row>
    <row r="262" spans="1:25" ht="12.6" customHeight="1" x14ac:dyDescent="0.3">
      <c r="A262" s="80"/>
      <c r="B262" s="80"/>
      <c r="C262" s="80"/>
      <c r="D262" s="80"/>
      <c r="E262" s="80"/>
      <c r="F262" s="80"/>
      <c r="G262" s="16" t="s">
        <v>1324</v>
      </c>
    </row>
    <row r="263" spans="1:25" ht="12.6" customHeight="1" x14ac:dyDescent="0.3">
      <c r="A263" s="70" t="s">
        <v>1394</v>
      </c>
      <c r="B263" s="101" t="str">
        <f>" 노 무 비  : "&amp;TEXT(I263,"#,##0"&amp;IF(I263&lt;&gt;INT(I263),".###",""))&amp;" / Q  = "&amp;TEXT(C263,"#,##0.0")&amp;""</f>
        <v xml:space="preserve"> 노 무 비  : 55,700 / Q  = 5,455.4</v>
      </c>
      <c r="C263" s="103">
        <f>E263+D263+F263</f>
        <v>5455.4</v>
      </c>
      <c r="D263" s="103">
        <f>IF(H263=0,0,ROUNDDOWN(J263*H263,1))</f>
        <v>5455.4</v>
      </c>
      <c r="E263" s="103">
        <f>IF(H263=0,0,ROUNDDOWN(K263*H263,1))</f>
        <v>0</v>
      </c>
      <c r="F263" s="103">
        <f>IF(H263=0,0,ROUNDDOWN(L263*H263,1))</f>
        <v>0</v>
      </c>
      <c r="G263" s="16" t="s">
        <v>1478</v>
      </c>
      <c r="H263" s="108">
        <v>9.7943192958200004E-2</v>
      </c>
      <c r="I263" s="109">
        <f>K263+J263+L263</f>
        <v>55700</v>
      </c>
      <c r="J263" s="39">
        <f>중기목록표!F9</f>
        <v>55700</v>
      </c>
      <c r="M263" s="20" t="s">
        <v>1395</v>
      </c>
      <c r="N263" s="20" t="s">
        <v>1345</v>
      </c>
      <c r="X263" s="110" t="str">
        <f>중기목록표!B9&amp;" / "&amp;중기목록표!C9</f>
        <v>굴삭기(0.7m3) / 0.7㎥,(암석)</v>
      </c>
      <c r="Y263" s="19" t="str">
        <f ca="1">HYPERLINK("#"&amp;중기목록표!J2&amp;"!A"&amp;ROW(중기목록표!A9),"중기    6 →")</f>
        <v>중기    6 →</v>
      </c>
    </row>
    <row r="264" spans="1:25" ht="12.6" customHeight="1" x14ac:dyDescent="0.3">
      <c r="A264" s="80"/>
      <c r="B264" s="80"/>
      <c r="C264" s="80"/>
      <c r="D264" s="80"/>
      <c r="E264" s="80"/>
      <c r="F264" s="80"/>
      <c r="G264" s="16" t="s">
        <v>1324</v>
      </c>
    </row>
    <row r="265" spans="1:25" ht="12.6" customHeight="1" x14ac:dyDescent="0.3">
      <c r="A265" s="70" t="s">
        <v>1397</v>
      </c>
      <c r="B265" s="101" t="str">
        <f>" 재 료 비  : "&amp;TEXT(I265,"#,##0"&amp;IF(I265&lt;&gt;INT(I265),".###",""))&amp;" / Q  = "&amp;TEXT(C265,"#,##0.0")&amp;""</f>
        <v xml:space="preserve"> 재 료 비  : 18,001 / Q  = 1,763.0</v>
      </c>
      <c r="C265" s="103">
        <f>E265+D265+F265</f>
        <v>1763</v>
      </c>
      <c r="D265" s="103">
        <f>IF(H265=0,0,ROUNDDOWN(J265*H265,1))</f>
        <v>0</v>
      </c>
      <c r="E265" s="103">
        <f>IF(H265=0,0,ROUNDDOWN(K265*H265,1))</f>
        <v>1763</v>
      </c>
      <c r="F265" s="103">
        <f>IF(H265=0,0,ROUNDDOWN(L265*H265,1))</f>
        <v>0</v>
      </c>
      <c r="G265" s="16" t="s">
        <v>1479</v>
      </c>
      <c r="H265" s="108">
        <v>9.7943192958200004E-2</v>
      </c>
      <c r="I265" s="109">
        <f>K265+J265+L265</f>
        <v>18001</v>
      </c>
      <c r="K265" s="39">
        <f>중기목록표!G9</f>
        <v>18001</v>
      </c>
      <c r="M265" s="20" t="s">
        <v>1395</v>
      </c>
      <c r="N265" s="20" t="s">
        <v>1345</v>
      </c>
      <c r="X265" s="110" t="str">
        <f>중기목록표!B9&amp;" / "&amp;중기목록표!C9</f>
        <v>굴삭기(0.7m3) / 0.7㎥,(암석)</v>
      </c>
      <c r="Y265" s="19" t="str">
        <f ca="1">HYPERLINK("#"&amp;중기목록표!J2&amp;"!A"&amp;ROW(중기목록표!A9),"중기    6 →")</f>
        <v>중기    6 →</v>
      </c>
    </row>
    <row r="266" spans="1:25" ht="12.6" customHeight="1" x14ac:dyDescent="0.3">
      <c r="A266" s="80"/>
      <c r="B266" s="80"/>
      <c r="C266" s="80"/>
      <c r="D266" s="80"/>
      <c r="E266" s="80"/>
      <c r="F266" s="80"/>
      <c r="G266" s="16" t="s">
        <v>1324</v>
      </c>
    </row>
    <row r="267" spans="1:25" ht="12.6" customHeight="1" x14ac:dyDescent="0.3">
      <c r="A267" s="70" t="s">
        <v>1399</v>
      </c>
      <c r="B267" s="101" t="str">
        <f>" 경    비  : "&amp;TEXT(I267,"#,##0"&amp;IF(I267&lt;&gt;INT(I267),".###",""))&amp;" / Q  = "&amp;TEXT(C267,"#,##0.0")&amp;""</f>
        <v xml:space="preserve"> 경    비  : 26,677 / Q  = 2,612.8</v>
      </c>
      <c r="C267" s="103">
        <f>E267+D267+F267</f>
        <v>2612.8000000000002</v>
      </c>
      <c r="D267" s="103">
        <f>IF(H267=0,0,ROUNDDOWN(J267*H267,1))</f>
        <v>0</v>
      </c>
      <c r="E267" s="103">
        <f>IF(H267=0,0,ROUNDDOWN(K267*H267,1))</f>
        <v>0</v>
      </c>
      <c r="F267" s="103">
        <f>IF(H267=0,0,ROUNDDOWN(L267*H267,1))</f>
        <v>2612.8000000000002</v>
      </c>
      <c r="G267" s="16" t="s">
        <v>1480</v>
      </c>
      <c r="H267" s="108">
        <v>9.7943192958200004E-2</v>
      </c>
      <c r="I267" s="109">
        <f>K267+J267+L267</f>
        <v>26677</v>
      </c>
      <c r="L267" s="39">
        <f>중기목록표!H9</f>
        <v>26677</v>
      </c>
      <c r="M267" s="20" t="s">
        <v>1395</v>
      </c>
      <c r="N267" s="20" t="s">
        <v>1345</v>
      </c>
      <c r="X267" s="110" t="str">
        <f>중기목록표!B9&amp;" / "&amp;중기목록표!C9</f>
        <v>굴삭기(0.7m3) / 0.7㎥,(암석)</v>
      </c>
      <c r="Y267" s="19" t="str">
        <f ca="1">HYPERLINK("#"&amp;중기목록표!J2&amp;"!A"&amp;ROW(중기목록표!A9),"중기    6 →")</f>
        <v>중기    6 →</v>
      </c>
    </row>
    <row r="268" spans="1:25" ht="12.6" customHeight="1" x14ac:dyDescent="0.3">
      <c r="A268" s="80"/>
      <c r="B268" s="80"/>
      <c r="C268" s="80"/>
      <c r="D268" s="80"/>
      <c r="E268" s="80"/>
      <c r="F268" s="80"/>
      <c r="G268" s="16" t="s">
        <v>1324</v>
      </c>
    </row>
    <row r="269" spans="1:25" ht="12.6" customHeight="1" x14ac:dyDescent="0.3">
      <c r="A269" s="70"/>
      <c r="B269" s="79" t="s">
        <v>1344</v>
      </c>
      <c r="C269" s="104">
        <f>E269+D269+F269</f>
        <v>9831.2000000000007</v>
      </c>
      <c r="D269" s="104">
        <f>SUMIF(N248:N268,M269,D248:D268)</f>
        <v>5455.4</v>
      </c>
      <c r="E269" s="104">
        <f>SUMIF(N248:N268,M269,E248:E268)</f>
        <v>1763</v>
      </c>
      <c r="F269" s="104">
        <f>SUMIF(N248:N268,M269,F248:F268)</f>
        <v>2612.8000000000002</v>
      </c>
      <c r="G269" s="16" t="s">
        <v>1343</v>
      </c>
      <c r="M269" s="20" t="s">
        <v>1345</v>
      </c>
      <c r="N269" s="20" t="s">
        <v>1368</v>
      </c>
    </row>
    <row r="270" spans="1:25" ht="12.6" customHeight="1" x14ac:dyDescent="0.3">
      <c r="A270" s="80"/>
      <c r="B270" s="80"/>
      <c r="C270" s="102"/>
      <c r="D270" s="102"/>
      <c r="E270" s="102"/>
      <c r="F270" s="102"/>
      <c r="G270" s="16" t="s">
        <v>1324</v>
      </c>
    </row>
    <row r="271" spans="1:25" ht="12.6" customHeight="1" x14ac:dyDescent="0.3">
      <c r="A271" s="80"/>
      <c r="B271" s="80"/>
      <c r="C271" s="80"/>
      <c r="D271" s="80"/>
      <c r="E271" s="80"/>
      <c r="F271" s="80"/>
      <c r="G271" s="16" t="s">
        <v>1324</v>
      </c>
    </row>
    <row r="272" spans="1:25" ht="12.6" customHeight="1" x14ac:dyDescent="0.3">
      <c r="A272" s="70"/>
      <c r="B272" s="79" t="s">
        <v>1482</v>
      </c>
      <c r="C272" s="80"/>
      <c r="D272" s="80"/>
      <c r="E272" s="80"/>
      <c r="F272" s="80"/>
      <c r="G272" s="16" t="s">
        <v>1481</v>
      </c>
    </row>
    <row r="273" spans="1:7" ht="12.6" customHeight="1" x14ac:dyDescent="0.3">
      <c r="A273" s="80"/>
      <c r="B273" s="80"/>
      <c r="C273" s="80"/>
      <c r="D273" s="80"/>
      <c r="E273" s="80"/>
      <c r="F273" s="80"/>
      <c r="G273" s="16" t="s">
        <v>1324</v>
      </c>
    </row>
    <row r="274" spans="1:7" ht="12.6" customHeight="1" x14ac:dyDescent="0.3">
      <c r="A274" s="70"/>
      <c r="B274" s="79" t="s">
        <v>1403</v>
      </c>
      <c r="C274" s="80"/>
      <c r="D274" s="80"/>
      <c r="E274" s="80"/>
      <c r="F274" s="80"/>
      <c r="G274" s="16" t="s">
        <v>1402</v>
      </c>
    </row>
    <row r="275" spans="1:7" ht="12.6" customHeight="1" x14ac:dyDescent="0.3">
      <c r="A275" s="80"/>
      <c r="B275" s="80"/>
      <c r="C275" s="80"/>
      <c r="D275" s="80"/>
      <c r="E275" s="80"/>
      <c r="F275" s="80"/>
      <c r="G275" s="16" t="s">
        <v>1324</v>
      </c>
    </row>
    <row r="276" spans="1:7" ht="12.6" customHeight="1" x14ac:dyDescent="0.3">
      <c r="A276" s="70"/>
      <c r="B276" s="79" t="s">
        <v>1484</v>
      </c>
      <c r="C276" s="80"/>
      <c r="D276" s="80"/>
      <c r="E276" s="80"/>
      <c r="F276" s="80"/>
      <c r="G276" s="16" t="s">
        <v>1483</v>
      </c>
    </row>
    <row r="277" spans="1:7" ht="12.6" customHeight="1" x14ac:dyDescent="0.3">
      <c r="A277" s="80"/>
      <c r="B277" s="80"/>
      <c r="C277" s="80"/>
      <c r="D277" s="80"/>
      <c r="E277" s="80"/>
      <c r="F277" s="80"/>
      <c r="G277" s="16" t="s">
        <v>1324</v>
      </c>
    </row>
    <row r="278" spans="1:7" ht="12.6" customHeight="1" x14ac:dyDescent="0.3">
      <c r="A278" s="70"/>
      <c r="B278" s="79" t="s">
        <v>1486</v>
      </c>
      <c r="C278" s="80"/>
      <c r="D278" s="80"/>
      <c r="E278" s="80"/>
      <c r="F278" s="80"/>
      <c r="G278" s="16" t="s">
        <v>1485</v>
      </c>
    </row>
    <row r="279" spans="1:7" ht="12.6" customHeight="1" x14ac:dyDescent="0.3">
      <c r="A279" s="80"/>
      <c r="B279" s="80"/>
      <c r="C279" s="80"/>
      <c r="D279" s="80"/>
      <c r="E279" s="80"/>
      <c r="F279" s="80"/>
      <c r="G279" s="16" t="s">
        <v>1324</v>
      </c>
    </row>
    <row r="280" spans="1:7" ht="12.6" customHeight="1" x14ac:dyDescent="0.3">
      <c r="A280" s="70"/>
      <c r="B280" s="79" t="s">
        <v>1488</v>
      </c>
      <c r="C280" s="80"/>
      <c r="D280" s="80"/>
      <c r="E280" s="80"/>
      <c r="F280" s="80"/>
      <c r="G280" s="16" t="s">
        <v>1487</v>
      </c>
    </row>
    <row r="281" spans="1:7" ht="12.6" customHeight="1" x14ac:dyDescent="0.3">
      <c r="A281" s="80"/>
      <c r="B281" s="80"/>
      <c r="C281" s="80"/>
      <c r="D281" s="80"/>
      <c r="E281" s="80"/>
      <c r="F281" s="80"/>
      <c r="G281" s="16" t="s">
        <v>1324</v>
      </c>
    </row>
    <row r="282" spans="1:7" ht="12.6" customHeight="1" x14ac:dyDescent="0.3">
      <c r="A282" s="70"/>
      <c r="B282" s="79" t="s">
        <v>1490</v>
      </c>
      <c r="C282" s="80"/>
      <c r="D282" s="80"/>
      <c r="E282" s="80"/>
      <c r="F282" s="80"/>
      <c r="G282" s="16" t="s">
        <v>1489</v>
      </c>
    </row>
    <row r="283" spans="1:7" ht="12.6" customHeight="1" x14ac:dyDescent="0.3">
      <c r="A283" s="80"/>
      <c r="B283" s="80"/>
      <c r="C283" s="80"/>
      <c r="D283" s="80"/>
      <c r="E283" s="80"/>
      <c r="F283" s="80"/>
      <c r="G283" s="16" t="s">
        <v>1324</v>
      </c>
    </row>
    <row r="284" spans="1:7" ht="12.6" customHeight="1" x14ac:dyDescent="0.3">
      <c r="A284" s="70"/>
      <c r="B284" s="79" t="s">
        <v>1492</v>
      </c>
      <c r="C284" s="80"/>
      <c r="D284" s="80"/>
      <c r="E284" s="80"/>
      <c r="F284" s="80"/>
      <c r="G284" s="16" t="s">
        <v>1491</v>
      </c>
    </row>
    <row r="285" spans="1:7" ht="12.6" customHeight="1" x14ac:dyDescent="0.3">
      <c r="A285" s="80"/>
      <c r="B285" s="80"/>
      <c r="C285" s="80"/>
      <c r="D285" s="80"/>
      <c r="E285" s="80"/>
      <c r="F285" s="80"/>
      <c r="G285" s="16" t="s">
        <v>1324</v>
      </c>
    </row>
    <row r="286" spans="1:7" ht="12.6" customHeight="1" x14ac:dyDescent="0.3">
      <c r="A286" s="70"/>
      <c r="B286" s="79" t="s">
        <v>1494</v>
      </c>
      <c r="C286" s="80"/>
      <c r="D286" s="80"/>
      <c r="E286" s="80"/>
      <c r="F286" s="80"/>
      <c r="G286" s="16" t="s">
        <v>1493</v>
      </c>
    </row>
    <row r="287" spans="1:7" ht="12.6" customHeight="1" x14ac:dyDescent="0.3">
      <c r="A287" s="80"/>
      <c r="B287" s="80"/>
      <c r="C287" s="80"/>
      <c r="D287" s="80"/>
      <c r="E287" s="80"/>
      <c r="F287" s="80"/>
      <c r="G287" s="16" t="s">
        <v>1324</v>
      </c>
    </row>
    <row r="288" spans="1:7" ht="12.6" customHeight="1" x14ac:dyDescent="0.3">
      <c r="A288" s="70"/>
      <c r="B288" s="79" t="s">
        <v>1417</v>
      </c>
      <c r="C288" s="80"/>
      <c r="D288" s="80"/>
      <c r="E288" s="80"/>
      <c r="F288" s="80"/>
      <c r="G288" s="16" t="s">
        <v>1416</v>
      </c>
    </row>
    <row r="289" spans="1:25" ht="12.6" customHeight="1" x14ac:dyDescent="0.3">
      <c r="A289" s="80"/>
      <c r="B289" s="80"/>
      <c r="C289" s="80"/>
      <c r="D289" s="80"/>
      <c r="E289" s="80"/>
      <c r="F289" s="80"/>
      <c r="G289" s="16" t="s">
        <v>1324</v>
      </c>
    </row>
    <row r="290" spans="1:25" ht="12.6" customHeight="1" x14ac:dyDescent="0.3">
      <c r="A290" s="70"/>
      <c r="B290" s="79" t="s">
        <v>1496</v>
      </c>
      <c r="C290" s="80"/>
      <c r="D290" s="80"/>
      <c r="E290" s="80"/>
      <c r="F290" s="80"/>
      <c r="G290" s="16" t="s">
        <v>1495</v>
      </c>
    </row>
    <row r="291" spans="1:25" ht="12.6" customHeight="1" x14ac:dyDescent="0.3">
      <c r="A291" s="80"/>
      <c r="B291" s="80"/>
      <c r="C291" s="80"/>
      <c r="D291" s="80"/>
      <c r="E291" s="80"/>
      <c r="F291" s="80"/>
      <c r="G291" s="16" t="s">
        <v>1324</v>
      </c>
    </row>
    <row r="292" spans="1:25" ht="12.6" customHeight="1" x14ac:dyDescent="0.3">
      <c r="A292" s="70"/>
      <c r="B292" s="79" t="s">
        <v>1497</v>
      </c>
      <c r="C292" s="80"/>
      <c r="D292" s="80"/>
      <c r="E292" s="80"/>
      <c r="F292" s="80"/>
      <c r="G292" s="16" t="s">
        <v>1420</v>
      </c>
    </row>
    <row r="293" spans="1:25" ht="12.6" customHeight="1" x14ac:dyDescent="0.3">
      <c r="A293" s="80"/>
      <c r="B293" s="80"/>
      <c r="C293" s="80"/>
      <c r="D293" s="80"/>
      <c r="E293" s="80"/>
      <c r="F293" s="80"/>
      <c r="G293" s="16" t="s">
        <v>1324</v>
      </c>
    </row>
    <row r="294" spans="1:25" ht="12.6" customHeight="1" x14ac:dyDescent="0.3">
      <c r="A294" s="70"/>
      <c r="B294" s="79" t="s">
        <v>1499</v>
      </c>
      <c r="C294" s="80"/>
      <c r="D294" s="80"/>
      <c r="E294" s="80"/>
      <c r="F294" s="80"/>
      <c r="G294" s="16" t="s">
        <v>1498</v>
      </c>
    </row>
    <row r="295" spans="1:25" ht="12.6" customHeight="1" x14ac:dyDescent="0.3">
      <c r="A295" s="80"/>
      <c r="B295" s="80"/>
      <c r="C295" s="80"/>
      <c r="D295" s="80"/>
      <c r="E295" s="80"/>
      <c r="F295" s="80"/>
      <c r="G295" s="16" t="s">
        <v>1324</v>
      </c>
    </row>
    <row r="296" spans="1:25" ht="12.6" customHeight="1" x14ac:dyDescent="0.3">
      <c r="A296" s="80"/>
      <c r="B296" s="80"/>
      <c r="C296" s="80"/>
      <c r="D296" s="80"/>
      <c r="E296" s="80"/>
      <c r="F296" s="80"/>
      <c r="G296" s="16" t="s">
        <v>1324</v>
      </c>
    </row>
    <row r="297" spans="1:25" ht="12.6" customHeight="1" x14ac:dyDescent="0.3">
      <c r="A297" s="70" t="s">
        <v>1501</v>
      </c>
      <c r="B297" s="101" t="str">
        <f>" 노 무 비  :   "&amp;TEXT(I297,"#,##0"&amp;IF(I297&lt;&gt;INT(I297),".###",""))&amp;" / Q  = "&amp;TEXT(C297,"#,##0.0")&amp;""</f>
        <v xml:space="preserve"> 노 무 비  :   47,231 / Q  = 5,889.1</v>
      </c>
      <c r="C297" s="103">
        <f>E297+D297+F297</f>
        <v>5889.1</v>
      </c>
      <c r="D297" s="103">
        <f>IF(H297=0,0,ROUNDDOWN(J297*H297,1))</f>
        <v>5889.1</v>
      </c>
      <c r="E297" s="103">
        <f>IF(H297=0,0,ROUNDDOWN(K297*H297,1))</f>
        <v>0</v>
      </c>
      <c r="F297" s="103">
        <f>IF(H297=0,0,ROUNDDOWN(L297*H297,1))</f>
        <v>0</v>
      </c>
      <c r="G297" s="16" t="s">
        <v>1500</v>
      </c>
      <c r="H297" s="108">
        <v>0.1246882793119</v>
      </c>
      <c r="I297" s="109">
        <f>K297+J297+L297</f>
        <v>47231</v>
      </c>
      <c r="J297" s="39">
        <f>중기목록표!F24</f>
        <v>47231</v>
      </c>
      <c r="M297" s="20" t="s">
        <v>1502</v>
      </c>
      <c r="N297" s="20" t="s">
        <v>1345</v>
      </c>
      <c r="X297" s="110" t="str">
        <f>중기목록표!B24&amp;" / "&amp;중기목록표!C24</f>
        <v xml:space="preserve">덤프트럭4.5ton(암) / </v>
      </c>
      <c r="Y297" s="19" t="str">
        <f ca="1">HYPERLINK("#"&amp;중기목록표!J2&amp;"!A"&amp;ROW(중기목록표!A24),"중기   21 →")</f>
        <v>중기   21 →</v>
      </c>
    </row>
    <row r="298" spans="1:25" ht="12.6" customHeight="1" x14ac:dyDescent="0.3">
      <c r="A298" s="80"/>
      <c r="B298" s="80"/>
      <c r="C298" s="80"/>
      <c r="D298" s="80"/>
      <c r="E298" s="80"/>
      <c r="F298" s="80"/>
      <c r="G298" s="16" t="s">
        <v>1324</v>
      </c>
    </row>
    <row r="299" spans="1:25" ht="12.6" customHeight="1" x14ac:dyDescent="0.3">
      <c r="A299" s="70" t="s">
        <v>1504</v>
      </c>
      <c r="B299" s="101" t="str">
        <f>" 재 료 비  :   "&amp;TEXT(I299,"#,##0"&amp;IF(I299&lt;&gt;INT(I299),".###",""))&amp;" / Q  = "&amp;TEXT(C299,"#,##0.0")&amp;""</f>
        <v xml:space="preserve"> 재 료 비  :   8,776 / Q  = 1,094.2</v>
      </c>
      <c r="C299" s="103">
        <f>E299+D299+F299</f>
        <v>1094.2</v>
      </c>
      <c r="D299" s="103">
        <f>IF(H299=0,0,ROUNDDOWN(J299*H299,1))</f>
        <v>0</v>
      </c>
      <c r="E299" s="103">
        <f>IF(H299=0,0,ROUNDDOWN(K299*H299,1))</f>
        <v>1094.2</v>
      </c>
      <c r="F299" s="103">
        <f>IF(H299=0,0,ROUNDDOWN(L299*H299,1))</f>
        <v>0</v>
      </c>
      <c r="G299" s="16" t="s">
        <v>1503</v>
      </c>
      <c r="H299" s="108">
        <v>0.1246882793119</v>
      </c>
      <c r="I299" s="109">
        <f>K299+J299+L299</f>
        <v>8776</v>
      </c>
      <c r="K299" s="39">
        <f>중기목록표!G24</f>
        <v>8776</v>
      </c>
      <c r="M299" s="20" t="s">
        <v>1502</v>
      </c>
      <c r="N299" s="20" t="s">
        <v>1345</v>
      </c>
      <c r="X299" s="110" t="str">
        <f>중기목록표!B24&amp;" / "&amp;중기목록표!C24</f>
        <v xml:space="preserve">덤프트럭4.5ton(암) / </v>
      </c>
      <c r="Y299" s="19" t="str">
        <f ca="1">HYPERLINK("#"&amp;중기목록표!J2&amp;"!A"&amp;ROW(중기목록표!A24),"중기   21 →")</f>
        <v>중기   21 →</v>
      </c>
    </row>
    <row r="300" spans="1:25" ht="12.6" customHeight="1" x14ac:dyDescent="0.3">
      <c r="A300" s="80"/>
      <c r="B300" s="80"/>
      <c r="C300" s="80"/>
      <c r="D300" s="80"/>
      <c r="E300" s="80"/>
      <c r="F300" s="80"/>
      <c r="G300" s="16" t="s">
        <v>1324</v>
      </c>
    </row>
    <row r="301" spans="1:25" ht="12.6" customHeight="1" x14ac:dyDescent="0.3">
      <c r="A301" s="70" t="s">
        <v>1506</v>
      </c>
      <c r="B301" s="101" t="str">
        <f>" 경    비  :   "&amp;TEXT(I301,"#,##0"&amp;IF(I301&lt;&gt;INT(I301),".###",""))&amp;" / Q  = "&amp;TEXT(C301,"#,##0.0")&amp;""</f>
        <v xml:space="preserve"> 경    비  :   8,576 / Q  = 1,069.3</v>
      </c>
      <c r="C301" s="103">
        <f>E301+D301+F301</f>
        <v>1069.3</v>
      </c>
      <c r="D301" s="103">
        <f>IF(H301=0,0,ROUNDDOWN(J301*H301,1))</f>
        <v>0</v>
      </c>
      <c r="E301" s="103">
        <f>IF(H301=0,0,ROUNDDOWN(K301*H301,1))</f>
        <v>0</v>
      </c>
      <c r="F301" s="103">
        <f>IF(H301=0,0,ROUNDDOWN(L301*H301,1))</f>
        <v>1069.3</v>
      </c>
      <c r="G301" s="16" t="s">
        <v>1505</v>
      </c>
      <c r="H301" s="108">
        <v>0.1246882793119</v>
      </c>
      <c r="I301" s="109">
        <f>K301+J301+L301</f>
        <v>8576</v>
      </c>
      <c r="L301" s="39">
        <f>중기목록표!H24</f>
        <v>8576</v>
      </c>
      <c r="M301" s="20" t="s">
        <v>1502</v>
      </c>
      <c r="N301" s="20" t="s">
        <v>1345</v>
      </c>
      <c r="X301" s="110" t="str">
        <f>중기목록표!B24&amp;" / "&amp;중기목록표!C24</f>
        <v xml:space="preserve">덤프트럭4.5ton(암) / </v>
      </c>
      <c r="Y301" s="19" t="str">
        <f ca="1">HYPERLINK("#"&amp;중기목록표!J2&amp;"!A"&amp;ROW(중기목록표!A24),"중기   21 →")</f>
        <v>중기   21 →</v>
      </c>
    </row>
    <row r="302" spans="1:25" ht="12.6" customHeight="1" x14ac:dyDescent="0.3">
      <c r="A302" s="80"/>
      <c r="B302" s="80"/>
      <c r="C302" s="80"/>
      <c r="D302" s="80"/>
      <c r="E302" s="80"/>
      <c r="F302" s="80"/>
      <c r="G302" s="16" t="s">
        <v>1324</v>
      </c>
    </row>
    <row r="303" spans="1:25" ht="12.6" customHeight="1" x14ac:dyDescent="0.3">
      <c r="A303" s="80"/>
      <c r="B303" s="80"/>
      <c r="C303" s="80"/>
      <c r="D303" s="80"/>
      <c r="E303" s="80"/>
      <c r="F303" s="80"/>
      <c r="G303" s="16" t="s">
        <v>1324</v>
      </c>
    </row>
    <row r="304" spans="1:25" ht="12.6" customHeight="1" x14ac:dyDescent="0.3">
      <c r="A304" s="70"/>
      <c r="B304" s="79" t="s">
        <v>1344</v>
      </c>
      <c r="C304" s="104">
        <f>E304+D304+F304</f>
        <v>8052.6</v>
      </c>
      <c r="D304" s="104">
        <f>SUMIF(N270:N303,M304,D270:D303)</f>
        <v>5889.1</v>
      </c>
      <c r="E304" s="104">
        <f>SUMIF(N270:N303,M304,E270:E303)</f>
        <v>1094.2</v>
      </c>
      <c r="F304" s="104">
        <f>SUMIF(N270:N303,M304,F270:F303)</f>
        <v>1069.3</v>
      </c>
      <c r="G304" s="16" t="s">
        <v>1343</v>
      </c>
      <c r="M304" s="20" t="s">
        <v>1345</v>
      </c>
      <c r="N304" s="20" t="s">
        <v>1368</v>
      </c>
    </row>
    <row r="305" spans="1:14" ht="12.6" customHeight="1" x14ac:dyDescent="0.3">
      <c r="A305" s="80"/>
      <c r="B305" s="80"/>
      <c r="C305" s="102"/>
      <c r="D305" s="102"/>
      <c r="E305" s="102"/>
      <c r="F305" s="102"/>
      <c r="G305" s="16" t="s">
        <v>1324</v>
      </c>
    </row>
    <row r="306" spans="1:14" ht="12.6" customHeight="1" x14ac:dyDescent="0.3">
      <c r="A306" s="80"/>
      <c r="B306" s="80"/>
      <c r="C306" s="80"/>
      <c r="D306" s="80"/>
      <c r="E306" s="80"/>
      <c r="F306" s="80"/>
      <c r="G306" s="16" t="s">
        <v>1324</v>
      </c>
    </row>
    <row r="307" spans="1:14" ht="12.6" customHeight="1" x14ac:dyDescent="0.3">
      <c r="A307" s="70"/>
      <c r="B307" s="79" t="s">
        <v>1171</v>
      </c>
      <c r="C307" s="104">
        <f>E307+D307+F307</f>
        <v>17883.800000000003</v>
      </c>
      <c r="D307" s="104">
        <f>SUMIF(N248:N306,M307,D248:D306)</f>
        <v>11344.5</v>
      </c>
      <c r="E307" s="104">
        <f>SUMIF(N248:N306,M307,E248:E306)</f>
        <v>2857.2</v>
      </c>
      <c r="F307" s="104">
        <f>SUMIF(N248:N306,M307,F248:F306)</f>
        <v>3682.1000000000004</v>
      </c>
      <c r="G307" s="16" t="s">
        <v>1367</v>
      </c>
      <c r="M307" s="20" t="s">
        <v>1368</v>
      </c>
      <c r="N307" s="20" t="s">
        <v>1129</v>
      </c>
    </row>
    <row r="308" spans="1:14" ht="12.6" customHeight="1" x14ac:dyDescent="0.3">
      <c r="A308" s="80"/>
      <c r="B308" s="80"/>
      <c r="C308" s="102"/>
      <c r="D308" s="102"/>
      <c r="E308" s="102"/>
      <c r="F308" s="102"/>
    </row>
    <row r="309" spans="1:14" ht="12.6" customHeight="1" x14ac:dyDescent="0.3">
      <c r="A309" s="80"/>
      <c r="B309" s="80"/>
      <c r="C309" s="80"/>
      <c r="D309" s="80"/>
      <c r="E309" s="80"/>
      <c r="F309" s="80"/>
    </row>
    <row r="310" spans="1:14" ht="12.6" customHeight="1" x14ac:dyDescent="0.3">
      <c r="A310" s="80"/>
      <c r="B310" s="80"/>
      <c r="C310" s="80"/>
      <c r="D310" s="80"/>
      <c r="E310" s="80"/>
      <c r="F310" s="80"/>
    </row>
    <row r="311" spans="1:14" ht="12.6" customHeight="1" x14ac:dyDescent="0.3">
      <c r="A311" s="80"/>
      <c r="B311" s="80"/>
      <c r="C311" s="80"/>
      <c r="D311" s="80"/>
      <c r="E311" s="80"/>
      <c r="F311" s="80"/>
    </row>
    <row r="312" spans="1:14" ht="12.6" customHeight="1" x14ac:dyDescent="0.3">
      <c r="A312" s="80"/>
      <c r="B312" s="80"/>
      <c r="C312" s="80"/>
      <c r="D312" s="80"/>
      <c r="E312" s="80"/>
      <c r="F312" s="80"/>
    </row>
    <row r="313" spans="1:14" ht="12.6" customHeight="1" x14ac:dyDescent="0.3">
      <c r="A313" s="80"/>
      <c r="B313" s="80"/>
      <c r="C313" s="80"/>
      <c r="D313" s="80"/>
      <c r="E313" s="80"/>
      <c r="F313" s="80"/>
    </row>
    <row r="314" spans="1:14" ht="12.6" customHeight="1" x14ac:dyDescent="0.3">
      <c r="A314" s="80"/>
      <c r="B314" s="80"/>
      <c r="C314" s="80"/>
      <c r="D314" s="80"/>
      <c r="E314" s="80"/>
      <c r="F314" s="80"/>
    </row>
    <row r="315" spans="1:14" ht="12.6" customHeight="1" x14ac:dyDescent="0.3">
      <c r="A315" s="80"/>
      <c r="B315" s="80"/>
      <c r="C315" s="80"/>
      <c r="D315" s="80"/>
      <c r="E315" s="80"/>
      <c r="F315" s="80"/>
    </row>
    <row r="316" spans="1:14" ht="12.6" customHeight="1" x14ac:dyDescent="0.3">
      <c r="A316" s="80"/>
      <c r="B316" s="80"/>
      <c r="C316" s="80"/>
      <c r="D316" s="80"/>
      <c r="E316" s="80"/>
      <c r="F316" s="80"/>
    </row>
    <row r="317" spans="1:14" ht="12.6" customHeight="1" x14ac:dyDescent="0.3">
      <c r="A317" s="80"/>
      <c r="B317" s="80"/>
      <c r="C317" s="80"/>
      <c r="D317" s="80"/>
      <c r="E317" s="80"/>
      <c r="F317" s="80"/>
    </row>
    <row r="318" spans="1:14" ht="12.6" customHeight="1" x14ac:dyDescent="0.3">
      <c r="A318" s="58"/>
      <c r="B318" s="58"/>
      <c r="C318" s="58"/>
      <c r="D318" s="58"/>
      <c r="E318" s="58"/>
      <c r="F318" s="58"/>
    </row>
    <row r="319" spans="1:14" ht="12.6" customHeight="1" x14ac:dyDescent="0.3">
      <c r="A319" s="141" t="s">
        <v>1346</v>
      </c>
      <c r="B319" s="142"/>
      <c r="C319" s="55">
        <f>E319+D319+F319</f>
        <v>30398</v>
      </c>
      <c r="D319" s="54">
        <f>ROUNDDOWN(SUMIF(N217:N307,M319,D217:D307),0)</f>
        <v>18289</v>
      </c>
      <c r="E319" s="63">
        <f>ROUNDDOWN(SUMIF(N217:N307,M319,E217:E307),0)</f>
        <v>5101</v>
      </c>
      <c r="F319" s="55">
        <f>ROUNDDOWN(SUMIF(N217:N307,M319,F217:F307),0)</f>
        <v>7008</v>
      </c>
      <c r="M319" s="20" t="s">
        <v>1129</v>
      </c>
    </row>
    <row r="320" spans="1:14" ht="12.6" customHeight="1" x14ac:dyDescent="0.3">
      <c r="A320" s="99" t="s">
        <v>37</v>
      </c>
      <c r="B320" s="100" t="s">
        <v>37</v>
      </c>
      <c r="C320" s="147">
        <f>C354</f>
        <v>1641</v>
      </c>
      <c r="D320" s="147">
        <f>D354</f>
        <v>944</v>
      </c>
      <c r="E320" s="147">
        <f>E354</f>
        <v>305</v>
      </c>
      <c r="F320" s="147">
        <f>F354</f>
        <v>392</v>
      </c>
      <c r="G320" s="36" t="str">
        <f>HYPERLINK("#G"&amp;ROW(G347),"_x0005_`BDCOD|D01343_x0007_`POSS|"&amp;ROW(G322)&amp;"_x0007_`POSE|"&amp;ROW(G347)&amp;"_x0007_`")</f>
        <v>_x0005_`BDCOD|D01343_x0007_`POSS|322_x0007_`POSE|347_x0007_`</v>
      </c>
    </row>
    <row r="321" spans="1:13" ht="12.6" customHeight="1" x14ac:dyDescent="0.3">
      <c r="A321" s="85"/>
      <c r="B321" s="100" t="s">
        <v>186</v>
      </c>
      <c r="C321" s="137"/>
      <c r="D321" s="137"/>
      <c r="E321" s="137"/>
      <c r="F321" s="137"/>
      <c r="M321" s="20" t="s">
        <v>185</v>
      </c>
    </row>
    <row r="322" spans="1:13" ht="12.6" customHeight="1" x14ac:dyDescent="0.3">
      <c r="A322" s="80"/>
      <c r="B322" s="80"/>
      <c r="C322" s="102"/>
      <c r="D322" s="102"/>
      <c r="E322" s="102"/>
      <c r="F322" s="102"/>
      <c r="G322" s="16" t="s">
        <v>1324</v>
      </c>
    </row>
    <row r="323" spans="1:13" ht="12.6" customHeight="1" x14ac:dyDescent="0.3">
      <c r="A323" s="70"/>
      <c r="B323" s="79" t="s">
        <v>1508</v>
      </c>
      <c r="C323" s="80"/>
      <c r="D323" s="80"/>
      <c r="E323" s="80"/>
      <c r="F323" s="80"/>
      <c r="G323" s="16" t="s">
        <v>1507</v>
      </c>
    </row>
    <row r="324" spans="1:13" ht="12.6" customHeight="1" x14ac:dyDescent="0.3">
      <c r="A324" s="80"/>
      <c r="B324" s="80"/>
      <c r="C324" s="80"/>
      <c r="D324" s="80"/>
      <c r="E324" s="80"/>
      <c r="F324" s="80"/>
      <c r="G324" s="16" t="s">
        <v>1324</v>
      </c>
    </row>
    <row r="325" spans="1:13" ht="12.6" customHeight="1" x14ac:dyDescent="0.3">
      <c r="A325" s="70"/>
      <c r="B325" s="79" t="s">
        <v>1510</v>
      </c>
      <c r="C325" s="80"/>
      <c r="D325" s="80"/>
      <c r="E325" s="80"/>
      <c r="F325" s="80"/>
      <c r="G325" s="16" t="s">
        <v>1509</v>
      </c>
    </row>
    <row r="326" spans="1:13" ht="12.6" customHeight="1" x14ac:dyDescent="0.3">
      <c r="A326" s="80"/>
      <c r="B326" s="80"/>
      <c r="C326" s="80"/>
      <c r="D326" s="80"/>
      <c r="E326" s="80"/>
      <c r="F326" s="80"/>
      <c r="G326" s="16" t="s">
        <v>1324</v>
      </c>
    </row>
    <row r="327" spans="1:13" ht="12.6" customHeight="1" x14ac:dyDescent="0.3">
      <c r="A327" s="80"/>
      <c r="B327" s="80"/>
      <c r="C327" s="80"/>
      <c r="D327" s="80"/>
      <c r="E327" s="80"/>
      <c r="F327" s="80"/>
      <c r="G327" s="16" t="s">
        <v>1324</v>
      </c>
    </row>
    <row r="328" spans="1:13" ht="12.6" customHeight="1" x14ac:dyDescent="0.3">
      <c r="A328" s="70"/>
      <c r="B328" s="79" t="s">
        <v>1512</v>
      </c>
      <c r="C328" s="80"/>
      <c r="D328" s="80"/>
      <c r="E328" s="80"/>
      <c r="F328" s="80"/>
      <c r="G328" s="16" t="s">
        <v>1511</v>
      </c>
    </row>
    <row r="329" spans="1:13" ht="12.6" customHeight="1" x14ac:dyDescent="0.3">
      <c r="A329" s="80"/>
      <c r="B329" s="80"/>
      <c r="C329" s="80"/>
      <c r="D329" s="80"/>
      <c r="E329" s="80"/>
      <c r="F329" s="80"/>
      <c r="G329" s="16" t="s">
        <v>1324</v>
      </c>
    </row>
    <row r="330" spans="1:13" ht="12.6" customHeight="1" x14ac:dyDescent="0.3">
      <c r="A330" s="70"/>
      <c r="B330" s="79" t="s">
        <v>1514</v>
      </c>
      <c r="C330" s="80"/>
      <c r="D330" s="80"/>
      <c r="E330" s="80"/>
      <c r="F330" s="80"/>
      <c r="G330" s="16" t="s">
        <v>1513</v>
      </c>
    </row>
    <row r="331" spans="1:13" ht="12.6" customHeight="1" x14ac:dyDescent="0.3">
      <c r="A331" s="80"/>
      <c r="B331" s="80"/>
      <c r="C331" s="80"/>
      <c r="D331" s="80"/>
      <c r="E331" s="80"/>
      <c r="F331" s="80"/>
      <c r="G331" s="16" t="s">
        <v>1324</v>
      </c>
    </row>
    <row r="332" spans="1:13" ht="12.6" customHeight="1" x14ac:dyDescent="0.3">
      <c r="A332" s="70"/>
      <c r="B332" s="79" t="s">
        <v>1516</v>
      </c>
      <c r="C332" s="80"/>
      <c r="D332" s="80"/>
      <c r="E332" s="80"/>
      <c r="F332" s="80"/>
      <c r="G332" s="16" t="s">
        <v>1515</v>
      </c>
    </row>
    <row r="333" spans="1:13" ht="12.6" customHeight="1" x14ac:dyDescent="0.3">
      <c r="A333" s="80"/>
      <c r="B333" s="80"/>
      <c r="C333" s="80"/>
      <c r="D333" s="80"/>
      <c r="E333" s="80"/>
      <c r="F333" s="80"/>
      <c r="G333" s="16" t="s">
        <v>1324</v>
      </c>
    </row>
    <row r="334" spans="1:13" ht="12.6" customHeight="1" x14ac:dyDescent="0.3">
      <c r="A334" s="70"/>
      <c r="B334" s="79" t="s">
        <v>1518</v>
      </c>
      <c r="C334" s="80"/>
      <c r="D334" s="80"/>
      <c r="E334" s="80"/>
      <c r="F334" s="80"/>
      <c r="G334" s="16" t="s">
        <v>1517</v>
      </c>
    </row>
    <row r="335" spans="1:13" ht="12.6" customHeight="1" x14ac:dyDescent="0.3">
      <c r="A335" s="80"/>
      <c r="B335" s="80"/>
      <c r="C335" s="80"/>
      <c r="D335" s="80"/>
      <c r="E335" s="80"/>
      <c r="F335" s="80"/>
      <c r="G335" s="16" t="s">
        <v>1324</v>
      </c>
    </row>
    <row r="336" spans="1:13" ht="12.6" customHeight="1" x14ac:dyDescent="0.3">
      <c r="A336" s="70"/>
      <c r="B336" s="79" t="s">
        <v>1520</v>
      </c>
      <c r="C336" s="80"/>
      <c r="D336" s="80"/>
      <c r="E336" s="80"/>
      <c r="F336" s="80"/>
      <c r="G336" s="16" t="s">
        <v>1519</v>
      </c>
    </row>
    <row r="337" spans="1:25" ht="12.6" customHeight="1" x14ac:dyDescent="0.3">
      <c r="A337" s="80"/>
      <c r="B337" s="80"/>
      <c r="C337" s="80"/>
      <c r="D337" s="80"/>
      <c r="E337" s="80"/>
      <c r="F337" s="80"/>
      <c r="G337" s="16" t="s">
        <v>1324</v>
      </c>
    </row>
    <row r="338" spans="1:25" ht="12.6" customHeight="1" x14ac:dyDescent="0.3">
      <c r="A338" s="70"/>
      <c r="B338" s="79" t="s">
        <v>1522</v>
      </c>
      <c r="C338" s="80"/>
      <c r="D338" s="80"/>
      <c r="E338" s="80"/>
      <c r="F338" s="80"/>
      <c r="G338" s="16" t="s">
        <v>1521</v>
      </c>
    </row>
    <row r="339" spans="1:25" ht="12.6" customHeight="1" x14ac:dyDescent="0.3">
      <c r="A339" s="80"/>
      <c r="B339" s="80"/>
      <c r="C339" s="80"/>
      <c r="D339" s="80"/>
      <c r="E339" s="80"/>
      <c r="F339" s="80"/>
      <c r="G339" s="16" t="s">
        <v>1324</v>
      </c>
    </row>
    <row r="340" spans="1:25" ht="12.6" customHeight="1" x14ac:dyDescent="0.3">
      <c r="A340" s="80"/>
      <c r="B340" s="80"/>
      <c r="C340" s="80"/>
      <c r="D340" s="80"/>
      <c r="E340" s="80"/>
      <c r="F340" s="80"/>
      <c r="G340" s="16" t="s">
        <v>1324</v>
      </c>
    </row>
    <row r="341" spans="1:25" ht="12.6" customHeight="1" x14ac:dyDescent="0.3">
      <c r="A341" s="70" t="s">
        <v>1524</v>
      </c>
      <c r="B341" s="101" t="str">
        <f>" 노 무 비  : "&amp;TEXT(I341,"#,##0"&amp;IF(I341&lt;&gt;INT(I341),".###",""))&amp;" / Q  = "&amp;TEXT(C341,"#,##0.0")&amp;""</f>
        <v xml:space="preserve"> 노 무 비  : 55,700 / Q  = 944.5</v>
      </c>
      <c r="C341" s="103">
        <f>E341+D341+F341</f>
        <v>944.5</v>
      </c>
      <c r="D341" s="103">
        <f>IF(H341=0,0,ROUNDDOWN(J341*H341,1))</f>
        <v>944.5</v>
      </c>
      <c r="E341" s="103">
        <f>IF(H341=0,0,ROUNDDOWN(K341*H341,1))</f>
        <v>0</v>
      </c>
      <c r="F341" s="103">
        <f>IF(H341=0,0,ROUNDDOWN(L341*H341,1))</f>
        <v>0</v>
      </c>
      <c r="G341" s="16" t="s">
        <v>1523</v>
      </c>
      <c r="H341" s="108">
        <v>1.695777515E-2</v>
      </c>
      <c r="I341" s="109">
        <f>K341+J341+L341</f>
        <v>55700</v>
      </c>
      <c r="J341" s="39">
        <f>중기목록표!F7</f>
        <v>55700</v>
      </c>
      <c r="M341" s="20" t="s">
        <v>1179</v>
      </c>
      <c r="N341" s="20" t="s">
        <v>1345</v>
      </c>
      <c r="X341" s="110" t="str">
        <f>중기목록표!B7&amp;" / "&amp;중기목록표!C7</f>
        <v xml:space="preserve">굴삭기(0.7m3) / </v>
      </c>
      <c r="Y341" s="19" t="str">
        <f ca="1">HYPERLINK("#"&amp;중기목록표!J2&amp;"!A"&amp;ROW(중기목록표!A7),"중기    4 →")</f>
        <v>중기    4 →</v>
      </c>
    </row>
    <row r="342" spans="1:25" ht="12.6" customHeight="1" x14ac:dyDescent="0.3">
      <c r="A342" s="80"/>
      <c r="B342" s="80"/>
      <c r="C342" s="80"/>
      <c r="D342" s="80"/>
      <c r="E342" s="80"/>
      <c r="F342" s="80"/>
      <c r="G342" s="16" t="s">
        <v>1324</v>
      </c>
    </row>
    <row r="343" spans="1:25" ht="12.6" customHeight="1" x14ac:dyDescent="0.3">
      <c r="A343" s="70" t="s">
        <v>1526</v>
      </c>
      <c r="B343" s="101" t="str">
        <f>" 재 료 비  : "&amp;TEXT(I343,"#,##0"&amp;IF(I343&lt;&gt;INT(I343),".###",""))&amp;" / Q  = "&amp;TEXT(C343,"#,##0.0")&amp;""</f>
        <v xml:space="preserve"> 재 료 비  : 18,001 / Q  = 305.2</v>
      </c>
      <c r="C343" s="103">
        <f>E343+D343+F343</f>
        <v>305.2</v>
      </c>
      <c r="D343" s="103">
        <f>IF(H343=0,0,ROUNDDOWN(J343*H343,1))</f>
        <v>0</v>
      </c>
      <c r="E343" s="103">
        <f>IF(H343=0,0,ROUNDDOWN(K343*H343,1))</f>
        <v>305.2</v>
      </c>
      <c r="F343" s="103">
        <f>IF(H343=0,0,ROUNDDOWN(L343*H343,1))</f>
        <v>0</v>
      </c>
      <c r="G343" s="16" t="s">
        <v>1525</v>
      </c>
      <c r="H343" s="108">
        <v>1.695777515E-2</v>
      </c>
      <c r="I343" s="109">
        <f>K343+J343+L343</f>
        <v>18001</v>
      </c>
      <c r="K343" s="39">
        <f>중기목록표!G7</f>
        <v>18001</v>
      </c>
      <c r="M343" s="20" t="s">
        <v>1179</v>
      </c>
      <c r="N343" s="20" t="s">
        <v>1345</v>
      </c>
      <c r="X343" s="110" t="str">
        <f>중기목록표!B7&amp;" / "&amp;중기목록표!C7</f>
        <v xml:space="preserve">굴삭기(0.7m3) / </v>
      </c>
      <c r="Y343" s="19" t="str">
        <f ca="1">HYPERLINK("#"&amp;중기목록표!J2&amp;"!A"&amp;ROW(중기목록표!A7),"중기    4 →")</f>
        <v>중기    4 →</v>
      </c>
    </row>
    <row r="344" spans="1:25" ht="12.6" customHeight="1" x14ac:dyDescent="0.3">
      <c r="A344" s="80"/>
      <c r="B344" s="80"/>
      <c r="C344" s="80"/>
      <c r="D344" s="80"/>
      <c r="E344" s="80"/>
      <c r="F344" s="80"/>
      <c r="G344" s="16" t="s">
        <v>1324</v>
      </c>
    </row>
    <row r="345" spans="1:25" ht="12.6" customHeight="1" x14ac:dyDescent="0.3">
      <c r="A345" s="70" t="s">
        <v>1528</v>
      </c>
      <c r="B345" s="101" t="str">
        <f>" 경    비  : "&amp;TEXT(I345,"#,##0"&amp;IF(I345&lt;&gt;INT(I345),".###",""))&amp;" / Q  = "&amp;TEXT(C345,"#,##0.0")&amp;""</f>
        <v xml:space="preserve"> 경    비  : 23,128 / Q  = 392.1</v>
      </c>
      <c r="C345" s="103">
        <f>E345+D345+F345</f>
        <v>392.1</v>
      </c>
      <c r="D345" s="103">
        <f>IF(H345=0,0,ROUNDDOWN(J345*H345,1))</f>
        <v>0</v>
      </c>
      <c r="E345" s="103">
        <f>IF(H345=0,0,ROUNDDOWN(K345*H345,1))</f>
        <v>0</v>
      </c>
      <c r="F345" s="103">
        <f>IF(H345=0,0,ROUNDDOWN(L345*H345,1))</f>
        <v>392.1</v>
      </c>
      <c r="G345" s="16" t="s">
        <v>1527</v>
      </c>
      <c r="H345" s="108">
        <v>1.695777515E-2</v>
      </c>
      <c r="I345" s="109">
        <f>K345+J345+L345</f>
        <v>23128</v>
      </c>
      <c r="L345" s="39">
        <f>중기목록표!H7</f>
        <v>23128</v>
      </c>
      <c r="M345" s="20" t="s">
        <v>1179</v>
      </c>
      <c r="N345" s="20" t="s">
        <v>1345</v>
      </c>
      <c r="X345" s="110" t="str">
        <f>중기목록표!B7&amp;" / "&amp;중기목록표!C7</f>
        <v xml:space="preserve">굴삭기(0.7m3) / </v>
      </c>
      <c r="Y345" s="19" t="str">
        <f ca="1">HYPERLINK("#"&amp;중기목록표!J2&amp;"!A"&amp;ROW(중기목록표!A7),"중기    4 →")</f>
        <v>중기    4 →</v>
      </c>
    </row>
    <row r="346" spans="1:25" ht="12.6" customHeight="1" x14ac:dyDescent="0.3">
      <c r="A346" s="80"/>
      <c r="B346" s="80"/>
      <c r="C346" s="80"/>
      <c r="D346" s="80"/>
      <c r="E346" s="80"/>
      <c r="F346" s="80"/>
      <c r="G346" s="16" t="s">
        <v>1324</v>
      </c>
    </row>
    <row r="347" spans="1:25" ht="12.6" customHeight="1" x14ac:dyDescent="0.3">
      <c r="A347" s="70"/>
      <c r="B347" s="79" t="s">
        <v>1344</v>
      </c>
      <c r="C347" s="104">
        <f>E347+D347+F347</f>
        <v>1641.8000000000002</v>
      </c>
      <c r="D347" s="104">
        <f>SUMIF(N322:N346,M347,D322:D346)</f>
        <v>944.5</v>
      </c>
      <c r="E347" s="104">
        <f>SUMIF(N322:N346,M347,E322:E346)</f>
        <v>305.2</v>
      </c>
      <c r="F347" s="104">
        <f>SUMIF(N322:N346,M347,F322:F346)</f>
        <v>392.1</v>
      </c>
      <c r="G347" s="16" t="s">
        <v>1343</v>
      </c>
      <c r="M347" s="20" t="s">
        <v>1345</v>
      </c>
      <c r="N347" s="20" t="s">
        <v>1129</v>
      </c>
    </row>
    <row r="348" spans="1:25" ht="12.6" customHeight="1" x14ac:dyDescent="0.3">
      <c r="A348" s="80"/>
      <c r="B348" s="80"/>
      <c r="C348" s="102"/>
      <c r="D348" s="102"/>
      <c r="E348" s="102"/>
      <c r="F348" s="102"/>
    </row>
    <row r="349" spans="1:25" ht="12.6" customHeight="1" x14ac:dyDescent="0.3">
      <c r="A349" s="80"/>
      <c r="B349" s="80"/>
      <c r="C349" s="80"/>
      <c r="D349" s="80"/>
      <c r="E349" s="80"/>
      <c r="F349" s="80"/>
    </row>
    <row r="350" spans="1:25" ht="12.6" customHeight="1" x14ac:dyDescent="0.3">
      <c r="A350" s="80"/>
      <c r="B350" s="80"/>
      <c r="C350" s="80"/>
      <c r="D350" s="80"/>
      <c r="E350" s="80"/>
      <c r="F350" s="80"/>
    </row>
    <row r="351" spans="1:25" ht="12.6" customHeight="1" x14ac:dyDescent="0.3">
      <c r="A351" s="80"/>
      <c r="B351" s="80"/>
      <c r="C351" s="80"/>
      <c r="D351" s="80"/>
      <c r="E351" s="80"/>
      <c r="F351" s="80"/>
    </row>
    <row r="352" spans="1:25" ht="12.6" customHeight="1" x14ac:dyDescent="0.3">
      <c r="A352" s="80"/>
      <c r="B352" s="80"/>
      <c r="C352" s="80"/>
      <c r="D352" s="80"/>
      <c r="E352" s="80"/>
      <c r="F352" s="80"/>
    </row>
    <row r="353" spans="1:13" ht="12.6" customHeight="1" x14ac:dyDescent="0.3">
      <c r="A353" s="58"/>
      <c r="B353" s="58"/>
      <c r="C353" s="58"/>
      <c r="D353" s="58"/>
      <c r="E353" s="58"/>
      <c r="F353" s="58"/>
    </row>
    <row r="354" spans="1:13" ht="12.6" customHeight="1" x14ac:dyDescent="0.3">
      <c r="A354" s="141" t="s">
        <v>1346</v>
      </c>
      <c r="B354" s="142"/>
      <c r="C354" s="55">
        <f>E354+D354+F354</f>
        <v>1641</v>
      </c>
      <c r="D354" s="54">
        <f>ROUNDDOWN(SUMIF(N322:N347,M354,D322:D347),0)</f>
        <v>944</v>
      </c>
      <c r="E354" s="63">
        <f>ROUNDDOWN(SUMIF(N322:N347,M354,E322:E347),0)</f>
        <v>305</v>
      </c>
      <c r="F354" s="55">
        <f>ROUNDDOWN(SUMIF(N322:N347,M354,F322:F347),0)</f>
        <v>392</v>
      </c>
      <c r="M354" s="20" t="s">
        <v>1129</v>
      </c>
    </row>
    <row r="355" spans="1:13" ht="12.6" customHeight="1" x14ac:dyDescent="0.3">
      <c r="A355" s="99" t="s">
        <v>41</v>
      </c>
      <c r="B355" s="100" t="s">
        <v>41</v>
      </c>
      <c r="C355" s="147">
        <f>C459</f>
        <v>29098</v>
      </c>
      <c r="D355" s="147">
        <f>D459</f>
        <v>17543</v>
      </c>
      <c r="E355" s="147">
        <f>E459</f>
        <v>4874</v>
      </c>
      <c r="F355" s="147">
        <f>F459</f>
        <v>6681</v>
      </c>
      <c r="G355" s="36" t="str">
        <f>HYPERLINK("#G"&amp;ROW(G447),"_x0005_`BDCOD|D02119_x0007_`POSS|"&amp;ROW(G357)&amp;"_x0007_`POSE|"&amp;ROW(G447)&amp;"_x0007_`")</f>
        <v>_x0005_`BDCOD|D02119_x0007_`POSS|357_x0007_`POSE|447_x0007_`</v>
      </c>
    </row>
    <row r="356" spans="1:13" ht="12.6" customHeight="1" x14ac:dyDescent="0.3">
      <c r="A356" s="85"/>
      <c r="B356" s="100" t="s">
        <v>190</v>
      </c>
      <c r="C356" s="137"/>
      <c r="D356" s="137"/>
      <c r="E356" s="137"/>
      <c r="F356" s="137"/>
      <c r="M356" s="20" t="s">
        <v>189</v>
      </c>
    </row>
    <row r="357" spans="1:13" ht="12.6" customHeight="1" x14ac:dyDescent="0.3">
      <c r="A357" s="70"/>
      <c r="B357" s="79" t="s">
        <v>1530</v>
      </c>
      <c r="C357" s="102"/>
      <c r="D357" s="102"/>
      <c r="E357" s="102"/>
      <c r="F357" s="102"/>
      <c r="G357" s="16" t="s">
        <v>1529</v>
      </c>
    </row>
    <row r="358" spans="1:13" ht="12.6" customHeight="1" x14ac:dyDescent="0.3">
      <c r="A358" s="80"/>
      <c r="B358" s="80"/>
      <c r="C358" s="80"/>
      <c r="D358" s="80"/>
      <c r="E358" s="80"/>
      <c r="F358" s="80"/>
      <c r="G358" s="16" t="s">
        <v>1324</v>
      </c>
    </row>
    <row r="359" spans="1:13" ht="12.6" customHeight="1" x14ac:dyDescent="0.3">
      <c r="A359" s="70"/>
      <c r="B359" s="79" t="s">
        <v>1448</v>
      </c>
      <c r="C359" s="80"/>
      <c r="D359" s="80"/>
      <c r="E359" s="80"/>
      <c r="F359" s="80"/>
      <c r="G359" s="16" t="s">
        <v>1447</v>
      </c>
    </row>
    <row r="360" spans="1:13" ht="12.6" customHeight="1" x14ac:dyDescent="0.3">
      <c r="A360" s="80"/>
      <c r="B360" s="80"/>
      <c r="C360" s="80"/>
      <c r="D360" s="80"/>
      <c r="E360" s="80"/>
      <c r="F360" s="80"/>
      <c r="G360" s="16" t="s">
        <v>1324</v>
      </c>
    </row>
    <row r="361" spans="1:13" ht="12.6" customHeight="1" x14ac:dyDescent="0.3">
      <c r="A361" s="70"/>
      <c r="B361" s="79" t="s">
        <v>1450</v>
      </c>
      <c r="C361" s="80"/>
      <c r="D361" s="80"/>
      <c r="E361" s="80"/>
      <c r="F361" s="80"/>
      <c r="G361" s="16" t="s">
        <v>1449</v>
      </c>
    </row>
    <row r="362" spans="1:13" ht="12.6" customHeight="1" x14ac:dyDescent="0.3">
      <c r="A362" s="80"/>
      <c r="B362" s="80"/>
      <c r="C362" s="80"/>
      <c r="D362" s="80"/>
      <c r="E362" s="80"/>
      <c r="F362" s="80"/>
      <c r="G362" s="16" t="s">
        <v>1324</v>
      </c>
    </row>
    <row r="363" spans="1:13" ht="12.6" customHeight="1" x14ac:dyDescent="0.3">
      <c r="A363" s="70"/>
      <c r="B363" s="79" t="s">
        <v>1532</v>
      </c>
      <c r="C363" s="80"/>
      <c r="D363" s="80"/>
      <c r="E363" s="80"/>
      <c r="F363" s="80"/>
      <c r="G363" s="16" t="s">
        <v>1531</v>
      </c>
    </row>
    <row r="364" spans="1:13" ht="12.6" customHeight="1" x14ac:dyDescent="0.3">
      <c r="A364" s="80"/>
      <c r="B364" s="80"/>
      <c r="C364" s="80"/>
      <c r="D364" s="80"/>
      <c r="E364" s="80"/>
      <c r="F364" s="80"/>
      <c r="G364" s="16" t="s">
        <v>1324</v>
      </c>
    </row>
    <row r="365" spans="1:13" ht="12.6" customHeight="1" x14ac:dyDescent="0.3">
      <c r="A365" s="80"/>
      <c r="B365" s="80"/>
      <c r="C365" s="80"/>
      <c r="D365" s="80"/>
      <c r="E365" s="80"/>
      <c r="F365" s="80"/>
      <c r="G365" s="16" t="s">
        <v>1324</v>
      </c>
    </row>
    <row r="366" spans="1:13" ht="12.6" customHeight="1" x14ac:dyDescent="0.3">
      <c r="A366" s="80"/>
      <c r="B366" s="80"/>
      <c r="C366" s="80"/>
      <c r="D366" s="80"/>
      <c r="E366" s="80"/>
      <c r="F366" s="80"/>
      <c r="G366" s="16" t="s">
        <v>1324</v>
      </c>
    </row>
    <row r="367" spans="1:13" ht="12.6" customHeight="1" x14ac:dyDescent="0.3">
      <c r="A367" s="70"/>
      <c r="B367" s="79" t="s">
        <v>1454</v>
      </c>
      <c r="C367" s="80"/>
      <c r="D367" s="80"/>
      <c r="E367" s="80"/>
      <c r="F367" s="80"/>
      <c r="G367" s="16" t="s">
        <v>1453</v>
      </c>
    </row>
    <row r="368" spans="1:13" ht="12.6" customHeight="1" x14ac:dyDescent="0.3">
      <c r="A368" s="80"/>
      <c r="B368" s="80"/>
      <c r="C368" s="80"/>
      <c r="D368" s="80"/>
      <c r="E368" s="80"/>
      <c r="F368" s="80"/>
      <c r="G368" s="16" t="s">
        <v>1324</v>
      </c>
    </row>
    <row r="369" spans="1:25" ht="12.6" customHeight="1" x14ac:dyDescent="0.3">
      <c r="A369" s="70"/>
      <c r="B369" s="79" t="s">
        <v>1456</v>
      </c>
      <c r="C369" s="80"/>
      <c r="D369" s="80"/>
      <c r="E369" s="80"/>
      <c r="F369" s="80"/>
      <c r="G369" s="16" t="s">
        <v>1455</v>
      </c>
    </row>
    <row r="370" spans="1:25" ht="12.6" customHeight="1" x14ac:dyDescent="0.3">
      <c r="A370" s="80"/>
      <c r="B370" s="80"/>
      <c r="C370" s="80"/>
      <c r="D370" s="80"/>
      <c r="E370" s="80"/>
      <c r="F370" s="80"/>
      <c r="G370" s="16" t="s">
        <v>1324</v>
      </c>
    </row>
    <row r="371" spans="1:25" ht="12.6" customHeight="1" x14ac:dyDescent="0.3">
      <c r="A371" s="70"/>
      <c r="B371" s="79" t="s">
        <v>1534</v>
      </c>
      <c r="C371" s="80"/>
      <c r="D371" s="80"/>
      <c r="E371" s="80"/>
      <c r="F371" s="80"/>
      <c r="G371" s="16" t="s">
        <v>1533</v>
      </c>
    </row>
    <row r="372" spans="1:25" ht="12.6" customHeight="1" x14ac:dyDescent="0.3">
      <c r="A372" s="80"/>
      <c r="B372" s="80"/>
      <c r="C372" s="80"/>
      <c r="D372" s="80"/>
      <c r="E372" s="80"/>
      <c r="F372" s="80"/>
      <c r="G372" s="16" t="s">
        <v>1324</v>
      </c>
    </row>
    <row r="373" spans="1:25" ht="12.6" customHeight="1" x14ac:dyDescent="0.3">
      <c r="A373" s="70"/>
      <c r="B373" s="79" t="s">
        <v>1386</v>
      </c>
      <c r="C373" s="80"/>
      <c r="D373" s="80"/>
      <c r="E373" s="80"/>
      <c r="F373" s="80"/>
      <c r="G373" s="16" t="s">
        <v>1385</v>
      </c>
    </row>
    <row r="374" spans="1:25" ht="12.6" customHeight="1" x14ac:dyDescent="0.3">
      <c r="A374" s="80"/>
      <c r="B374" s="80"/>
      <c r="C374" s="80"/>
      <c r="D374" s="80"/>
      <c r="E374" s="80"/>
      <c r="F374" s="80"/>
      <c r="G374" s="16" t="s">
        <v>1324</v>
      </c>
    </row>
    <row r="375" spans="1:25" ht="12.6" customHeight="1" x14ac:dyDescent="0.3">
      <c r="A375" s="70"/>
      <c r="B375" s="79" t="s">
        <v>1460</v>
      </c>
      <c r="C375" s="80"/>
      <c r="D375" s="80"/>
      <c r="E375" s="80"/>
      <c r="F375" s="80"/>
      <c r="G375" s="16" t="s">
        <v>1459</v>
      </c>
    </row>
    <row r="376" spans="1:25" ht="12.6" customHeight="1" x14ac:dyDescent="0.3">
      <c r="A376" s="80"/>
      <c r="B376" s="80"/>
      <c r="C376" s="80"/>
      <c r="D376" s="80"/>
      <c r="E376" s="80"/>
      <c r="F376" s="80"/>
      <c r="G376" s="16" t="s">
        <v>1324</v>
      </c>
    </row>
    <row r="377" spans="1:25" ht="12.6" customHeight="1" x14ac:dyDescent="0.3">
      <c r="A377" s="70"/>
      <c r="B377" s="79" t="s">
        <v>1535</v>
      </c>
      <c r="C377" s="80"/>
      <c r="D377" s="80"/>
      <c r="E377" s="80"/>
      <c r="F377" s="80"/>
      <c r="G377" s="16" t="s">
        <v>1461</v>
      </c>
    </row>
    <row r="378" spans="1:25" ht="12.6" customHeight="1" x14ac:dyDescent="0.3">
      <c r="A378" s="80"/>
      <c r="B378" s="80"/>
      <c r="C378" s="80"/>
      <c r="D378" s="80"/>
      <c r="E378" s="80"/>
      <c r="F378" s="80"/>
      <c r="G378" s="16" t="s">
        <v>1324</v>
      </c>
    </row>
    <row r="379" spans="1:25" ht="12.6" customHeight="1" x14ac:dyDescent="0.3">
      <c r="A379" s="70" t="s">
        <v>1394</v>
      </c>
      <c r="B379" s="101" t="str">
        <f>" 노 무 비  : "&amp;TEXT(I379,"#,##0"&amp;IF(I379&lt;&gt;INT(I379),".###",""))&amp;" / Q = "&amp;TEXT(C379,"#,##0.0")&amp;""</f>
        <v xml:space="preserve"> 노 무 비  : 55,700 / Q = 6,583.9</v>
      </c>
      <c r="C379" s="103">
        <f>E379+D379+F379</f>
        <v>6583.9</v>
      </c>
      <c r="D379" s="103">
        <f>IF(H379=0,0,ROUNDDOWN(J379*H379,1))</f>
        <v>6583.9</v>
      </c>
      <c r="E379" s="103">
        <f>IF(H379=0,0,ROUNDDOWN(K379*H379,1))</f>
        <v>0</v>
      </c>
      <c r="F379" s="103">
        <f>IF(H379=0,0,ROUNDDOWN(L379*H379,1))</f>
        <v>0</v>
      </c>
      <c r="G379" s="16" t="s">
        <v>1463</v>
      </c>
      <c r="H379" s="108">
        <v>0.11820330970280001</v>
      </c>
      <c r="I379" s="109">
        <f>K379+J379+L379</f>
        <v>55700</v>
      </c>
      <c r="J379" s="39">
        <f>중기목록표!F9</f>
        <v>55700</v>
      </c>
      <c r="M379" s="20" t="s">
        <v>1395</v>
      </c>
      <c r="N379" s="20" t="s">
        <v>1345</v>
      </c>
      <c r="X379" s="110" t="str">
        <f>중기목록표!B9&amp;" / "&amp;중기목록표!C9</f>
        <v>굴삭기(0.7m3) / 0.7㎥,(암석)</v>
      </c>
      <c r="Y379" s="19" t="str">
        <f ca="1">HYPERLINK("#"&amp;중기목록표!J2&amp;"!A"&amp;ROW(중기목록표!A9),"중기    6 →")</f>
        <v>중기    6 →</v>
      </c>
    </row>
    <row r="380" spans="1:25" ht="12.6" customHeight="1" x14ac:dyDescent="0.3">
      <c r="A380" s="80"/>
      <c r="B380" s="80"/>
      <c r="C380" s="80"/>
      <c r="D380" s="80"/>
      <c r="E380" s="80"/>
      <c r="F380" s="80"/>
      <c r="G380" s="16" t="s">
        <v>1324</v>
      </c>
    </row>
    <row r="381" spans="1:25" ht="12.6" customHeight="1" x14ac:dyDescent="0.3">
      <c r="A381" s="70" t="s">
        <v>1397</v>
      </c>
      <c r="B381" s="101" t="str">
        <f>" 재 료 비  : "&amp;TEXT(I381,"#,##0"&amp;IF(I381&lt;&gt;INT(I381),".###",""))&amp;" / Q = "&amp;TEXT(C381,"#,##0.0")&amp;""</f>
        <v xml:space="preserve"> 재 료 비  : 18,001 / Q = 2,127.7</v>
      </c>
      <c r="C381" s="103">
        <f>E381+D381+F381</f>
        <v>2127.6999999999998</v>
      </c>
      <c r="D381" s="103">
        <f>IF(H381=0,0,ROUNDDOWN(J381*H381,1))</f>
        <v>0</v>
      </c>
      <c r="E381" s="103">
        <f>IF(H381=0,0,ROUNDDOWN(K381*H381,1))</f>
        <v>2127.6999999999998</v>
      </c>
      <c r="F381" s="103">
        <f>IF(H381=0,0,ROUNDDOWN(L381*H381,1))</f>
        <v>0</v>
      </c>
      <c r="G381" s="16" t="s">
        <v>1464</v>
      </c>
      <c r="H381" s="108">
        <v>0.11820330970280001</v>
      </c>
      <c r="I381" s="109">
        <f>K381+J381+L381</f>
        <v>18001</v>
      </c>
      <c r="K381" s="39">
        <f>중기목록표!G9</f>
        <v>18001</v>
      </c>
      <c r="M381" s="20" t="s">
        <v>1395</v>
      </c>
      <c r="N381" s="20" t="s">
        <v>1345</v>
      </c>
      <c r="X381" s="110" t="str">
        <f>중기목록표!B9&amp;" / "&amp;중기목록표!C9</f>
        <v>굴삭기(0.7m3) / 0.7㎥,(암석)</v>
      </c>
      <c r="Y381" s="19" t="str">
        <f ca="1">HYPERLINK("#"&amp;중기목록표!J2&amp;"!A"&amp;ROW(중기목록표!A9),"중기    6 →")</f>
        <v>중기    6 →</v>
      </c>
    </row>
    <row r="382" spans="1:25" ht="12.6" customHeight="1" x14ac:dyDescent="0.3">
      <c r="A382" s="80"/>
      <c r="B382" s="80"/>
      <c r="C382" s="80"/>
      <c r="D382" s="80"/>
      <c r="E382" s="80"/>
      <c r="F382" s="80"/>
      <c r="G382" s="16" t="s">
        <v>1324</v>
      </c>
    </row>
    <row r="383" spans="1:25" ht="12.6" customHeight="1" x14ac:dyDescent="0.3">
      <c r="A383" s="70" t="s">
        <v>1399</v>
      </c>
      <c r="B383" s="101" t="str">
        <f>" 경    비  : "&amp;TEXT(I383,"#,##0"&amp;IF(I383&lt;&gt;INT(I383),".###",""))&amp;" / Q = "&amp;TEXT(C383,"#,##0.0")&amp;""</f>
        <v xml:space="preserve"> 경    비  : 26,677 / Q = 3,153.3</v>
      </c>
      <c r="C383" s="103">
        <f>E383+D383+F383</f>
        <v>3153.3</v>
      </c>
      <c r="D383" s="103">
        <f>IF(H383=0,0,ROUNDDOWN(J383*H383,1))</f>
        <v>0</v>
      </c>
      <c r="E383" s="103">
        <f>IF(H383=0,0,ROUNDDOWN(K383*H383,1))</f>
        <v>0</v>
      </c>
      <c r="F383" s="103">
        <f>IF(H383=0,0,ROUNDDOWN(L383*H383,1))</f>
        <v>3153.3</v>
      </c>
      <c r="G383" s="16" t="s">
        <v>1465</v>
      </c>
      <c r="H383" s="108">
        <v>0.11820330970280001</v>
      </c>
      <c r="I383" s="109">
        <f>K383+J383+L383</f>
        <v>26677</v>
      </c>
      <c r="L383" s="39">
        <f>중기목록표!H9</f>
        <v>26677</v>
      </c>
      <c r="M383" s="20" t="s">
        <v>1395</v>
      </c>
      <c r="N383" s="20" t="s">
        <v>1345</v>
      </c>
      <c r="X383" s="110" t="str">
        <f>중기목록표!B9&amp;" / "&amp;중기목록표!C9</f>
        <v>굴삭기(0.7m3) / 0.7㎥,(암석)</v>
      </c>
      <c r="Y383" s="19" t="str">
        <f ca="1">HYPERLINK("#"&amp;중기목록표!J2&amp;"!A"&amp;ROW(중기목록표!A9),"중기    6 →")</f>
        <v>중기    6 →</v>
      </c>
    </row>
    <row r="384" spans="1:25" ht="12.6" customHeight="1" x14ac:dyDescent="0.3">
      <c r="A384" s="80"/>
      <c r="B384" s="80"/>
      <c r="C384" s="80"/>
      <c r="D384" s="80"/>
      <c r="E384" s="80"/>
      <c r="F384" s="80"/>
      <c r="G384" s="16" t="s">
        <v>1324</v>
      </c>
    </row>
    <row r="385" spans="1:14" ht="12.6" customHeight="1" x14ac:dyDescent="0.3">
      <c r="A385" s="70"/>
      <c r="B385" s="79" t="s">
        <v>1344</v>
      </c>
      <c r="C385" s="104">
        <f>E385+D385+F385</f>
        <v>11864.899999999998</v>
      </c>
      <c r="D385" s="104">
        <f>SUMIF(N357:N384,M385,D357:D384)</f>
        <v>6583.9</v>
      </c>
      <c r="E385" s="104">
        <f>SUMIF(N357:N384,M385,E357:E384)</f>
        <v>2127.6999999999998</v>
      </c>
      <c r="F385" s="104">
        <f>SUMIF(N357:N384,M385,F357:F384)</f>
        <v>3153.3</v>
      </c>
      <c r="G385" s="16" t="s">
        <v>1343</v>
      </c>
      <c r="M385" s="20" t="s">
        <v>1345</v>
      </c>
      <c r="N385" s="20" t="s">
        <v>1368</v>
      </c>
    </row>
    <row r="386" spans="1:14" ht="12.6" customHeight="1" x14ac:dyDescent="0.3">
      <c r="A386" s="80"/>
      <c r="B386" s="80"/>
      <c r="C386" s="102"/>
      <c r="D386" s="102"/>
      <c r="E386" s="102"/>
      <c r="F386" s="102"/>
      <c r="G386" s="16" t="s">
        <v>1324</v>
      </c>
    </row>
    <row r="387" spans="1:14" ht="12.6" customHeight="1" x14ac:dyDescent="0.3">
      <c r="A387" s="70"/>
      <c r="B387" s="79" t="s">
        <v>1171</v>
      </c>
      <c r="C387" s="104">
        <f>E387+D387+F387</f>
        <v>11864.899999999998</v>
      </c>
      <c r="D387" s="104">
        <f>SUMIF(N357:N386,M387,D357:D386)</f>
        <v>6583.9</v>
      </c>
      <c r="E387" s="104">
        <f>SUMIF(N357:N386,M387,E357:E386)</f>
        <v>2127.6999999999998</v>
      </c>
      <c r="F387" s="104">
        <f>SUMIF(N357:N386,M387,F357:F386)</f>
        <v>3153.3</v>
      </c>
      <c r="G387" s="16" t="s">
        <v>1367</v>
      </c>
      <c r="M387" s="20" t="s">
        <v>1368</v>
      </c>
      <c r="N387" s="20" t="s">
        <v>1129</v>
      </c>
    </row>
    <row r="388" spans="1:14" ht="12.6" customHeight="1" x14ac:dyDescent="0.3">
      <c r="A388" s="80"/>
      <c r="B388" s="80"/>
      <c r="C388" s="102"/>
      <c r="D388" s="102"/>
      <c r="E388" s="102"/>
      <c r="F388" s="102"/>
      <c r="G388" s="16" t="s">
        <v>1324</v>
      </c>
    </row>
    <row r="389" spans="1:14" ht="12.6" customHeight="1" x14ac:dyDescent="0.3">
      <c r="A389" s="80"/>
      <c r="B389" s="80"/>
      <c r="C389" s="80"/>
      <c r="D389" s="80"/>
      <c r="E389" s="80"/>
      <c r="F389" s="80"/>
      <c r="G389" s="16" t="s">
        <v>1324</v>
      </c>
    </row>
    <row r="390" spans="1:14" ht="12.6" customHeight="1" x14ac:dyDescent="0.3">
      <c r="A390" s="80"/>
      <c r="B390" s="80"/>
      <c r="C390" s="80"/>
      <c r="D390" s="80"/>
      <c r="E390" s="80"/>
      <c r="F390" s="80"/>
      <c r="G390" s="16" t="s">
        <v>1324</v>
      </c>
    </row>
    <row r="391" spans="1:14" ht="12.6" customHeight="1" x14ac:dyDescent="0.3">
      <c r="A391" s="70"/>
      <c r="B391" s="79" t="s">
        <v>1467</v>
      </c>
      <c r="C391" s="80"/>
      <c r="D391" s="80"/>
      <c r="E391" s="80"/>
      <c r="F391" s="80"/>
      <c r="G391" s="16" t="s">
        <v>1466</v>
      </c>
    </row>
    <row r="392" spans="1:14" ht="12.6" customHeight="1" x14ac:dyDescent="0.3">
      <c r="A392" s="80"/>
      <c r="B392" s="80"/>
      <c r="C392" s="80"/>
      <c r="D392" s="80"/>
      <c r="E392" s="80"/>
      <c r="F392" s="80"/>
      <c r="G392" s="16" t="s">
        <v>1324</v>
      </c>
    </row>
    <row r="393" spans="1:14" ht="12.6" customHeight="1" x14ac:dyDescent="0.3">
      <c r="A393" s="70"/>
      <c r="B393" s="79" t="s">
        <v>1537</v>
      </c>
      <c r="C393" s="80"/>
      <c r="D393" s="80"/>
      <c r="E393" s="80"/>
      <c r="F393" s="80"/>
      <c r="G393" s="16" t="s">
        <v>1536</v>
      </c>
    </row>
    <row r="394" spans="1:14" ht="12.6" customHeight="1" x14ac:dyDescent="0.3">
      <c r="A394" s="80"/>
      <c r="B394" s="80"/>
      <c r="C394" s="80"/>
      <c r="D394" s="80"/>
      <c r="E394" s="80"/>
      <c r="F394" s="80"/>
      <c r="G394" s="16" t="s">
        <v>1324</v>
      </c>
    </row>
    <row r="395" spans="1:14" ht="12.6" customHeight="1" x14ac:dyDescent="0.3">
      <c r="A395" s="70"/>
      <c r="B395" s="79" t="s">
        <v>1471</v>
      </c>
      <c r="C395" s="80"/>
      <c r="D395" s="80"/>
      <c r="E395" s="80"/>
      <c r="F395" s="80"/>
      <c r="G395" s="16" t="s">
        <v>1470</v>
      </c>
    </row>
    <row r="396" spans="1:14" ht="12.6" customHeight="1" x14ac:dyDescent="0.3">
      <c r="A396" s="80"/>
      <c r="B396" s="80"/>
      <c r="C396" s="80"/>
      <c r="D396" s="80"/>
      <c r="E396" s="80"/>
      <c r="F396" s="80"/>
      <c r="G396" s="16" t="s">
        <v>1324</v>
      </c>
    </row>
    <row r="397" spans="1:14" ht="12.6" customHeight="1" x14ac:dyDescent="0.3">
      <c r="A397" s="70"/>
      <c r="B397" s="79" t="s">
        <v>1473</v>
      </c>
      <c r="C397" s="80"/>
      <c r="D397" s="80"/>
      <c r="E397" s="80"/>
      <c r="F397" s="80"/>
      <c r="G397" s="16" t="s">
        <v>1472</v>
      </c>
    </row>
    <row r="398" spans="1:14" ht="12.6" customHeight="1" x14ac:dyDescent="0.3">
      <c r="A398" s="80"/>
      <c r="B398" s="80"/>
      <c r="C398" s="80"/>
      <c r="D398" s="80"/>
      <c r="E398" s="80"/>
      <c r="F398" s="80"/>
      <c r="G398" s="16" t="s">
        <v>1324</v>
      </c>
    </row>
    <row r="399" spans="1:14" ht="12.6" customHeight="1" x14ac:dyDescent="0.3">
      <c r="A399" s="70"/>
      <c r="B399" s="79" t="s">
        <v>1475</v>
      </c>
      <c r="C399" s="80"/>
      <c r="D399" s="80"/>
      <c r="E399" s="80"/>
      <c r="F399" s="80"/>
      <c r="G399" s="16" t="s">
        <v>1474</v>
      </c>
    </row>
    <row r="400" spans="1:14" ht="12.6" customHeight="1" x14ac:dyDescent="0.3">
      <c r="A400" s="80"/>
      <c r="B400" s="80"/>
      <c r="C400" s="80"/>
      <c r="D400" s="80"/>
      <c r="E400" s="80"/>
      <c r="F400" s="80"/>
      <c r="G400" s="16" t="s">
        <v>1324</v>
      </c>
    </row>
    <row r="401" spans="1:25" ht="12.6" customHeight="1" x14ac:dyDescent="0.3">
      <c r="A401" s="70"/>
      <c r="B401" s="79" t="s">
        <v>1538</v>
      </c>
      <c r="C401" s="80"/>
      <c r="D401" s="80"/>
      <c r="E401" s="80"/>
      <c r="F401" s="80"/>
      <c r="G401" s="16" t="s">
        <v>1476</v>
      </c>
    </row>
    <row r="402" spans="1:25" ht="12.6" customHeight="1" x14ac:dyDescent="0.3">
      <c r="A402" s="80"/>
      <c r="B402" s="80"/>
      <c r="C402" s="80"/>
      <c r="D402" s="80"/>
      <c r="E402" s="80"/>
      <c r="F402" s="80"/>
      <c r="G402" s="16" t="s">
        <v>1324</v>
      </c>
    </row>
    <row r="403" spans="1:25" ht="12.6" customHeight="1" x14ac:dyDescent="0.3">
      <c r="A403" s="70" t="s">
        <v>1394</v>
      </c>
      <c r="B403" s="101" t="str">
        <f>" 노 무 비  : "&amp;TEXT(I403,"#,##0"&amp;IF(I403&lt;&gt;INT(I403),".###",""))&amp;" / Q  = "&amp;TEXT(C403,"#,##0.0")&amp;""</f>
        <v xml:space="preserve"> 노 무 비  : 55,700 / Q  = 5,171.7</v>
      </c>
      <c r="C403" s="103">
        <f>E403+D403+F403</f>
        <v>5171.7</v>
      </c>
      <c r="D403" s="103">
        <f>IF(H403=0,0,ROUNDDOWN(J403*H403,1))</f>
        <v>5171.7</v>
      </c>
      <c r="E403" s="103">
        <f>IF(H403=0,0,ROUNDDOWN(K403*H403,1))</f>
        <v>0</v>
      </c>
      <c r="F403" s="103">
        <f>IF(H403=0,0,ROUNDDOWN(L403*H403,1))</f>
        <v>0</v>
      </c>
      <c r="G403" s="16" t="s">
        <v>1478</v>
      </c>
      <c r="H403" s="108">
        <v>9.2850510687899998E-2</v>
      </c>
      <c r="I403" s="109">
        <f>K403+J403+L403</f>
        <v>55700</v>
      </c>
      <c r="J403" s="39">
        <f>중기목록표!F9</f>
        <v>55700</v>
      </c>
      <c r="M403" s="20" t="s">
        <v>1395</v>
      </c>
      <c r="N403" s="20" t="s">
        <v>1345</v>
      </c>
      <c r="X403" s="110" t="str">
        <f>중기목록표!B9&amp;" / "&amp;중기목록표!C9</f>
        <v>굴삭기(0.7m3) / 0.7㎥,(암석)</v>
      </c>
      <c r="Y403" s="19" t="str">
        <f ca="1">HYPERLINK("#"&amp;중기목록표!J2&amp;"!A"&amp;ROW(중기목록표!A9),"중기    6 →")</f>
        <v>중기    6 →</v>
      </c>
    </row>
    <row r="404" spans="1:25" ht="12.6" customHeight="1" x14ac:dyDescent="0.3">
      <c r="A404" s="80"/>
      <c r="B404" s="80"/>
      <c r="C404" s="80"/>
      <c r="D404" s="80"/>
      <c r="E404" s="80"/>
      <c r="F404" s="80"/>
      <c r="G404" s="16" t="s">
        <v>1324</v>
      </c>
    </row>
    <row r="405" spans="1:25" ht="12.6" customHeight="1" x14ac:dyDescent="0.3">
      <c r="A405" s="70" t="s">
        <v>1397</v>
      </c>
      <c r="B405" s="101" t="str">
        <f>" 재 료 비  : "&amp;TEXT(I405,"#,##0"&amp;IF(I405&lt;&gt;INT(I405),".###",""))&amp;" / Q  = "&amp;TEXT(C405,"#,##0.0")&amp;""</f>
        <v xml:space="preserve"> 재 료 비  : 18,001 / Q  = 1,671.4</v>
      </c>
      <c r="C405" s="103">
        <f>E405+D405+F405</f>
        <v>1671.4</v>
      </c>
      <c r="D405" s="103">
        <f>IF(H405=0,0,ROUNDDOWN(J405*H405,1))</f>
        <v>0</v>
      </c>
      <c r="E405" s="103">
        <f>IF(H405=0,0,ROUNDDOWN(K405*H405,1))</f>
        <v>1671.4</v>
      </c>
      <c r="F405" s="103">
        <f>IF(H405=0,0,ROUNDDOWN(L405*H405,1))</f>
        <v>0</v>
      </c>
      <c r="G405" s="16" t="s">
        <v>1479</v>
      </c>
      <c r="H405" s="108">
        <v>9.2850510687899998E-2</v>
      </c>
      <c r="I405" s="109">
        <f>K405+J405+L405</f>
        <v>18001</v>
      </c>
      <c r="K405" s="39">
        <f>중기목록표!G9</f>
        <v>18001</v>
      </c>
      <c r="M405" s="20" t="s">
        <v>1395</v>
      </c>
      <c r="N405" s="20" t="s">
        <v>1345</v>
      </c>
      <c r="X405" s="110" t="str">
        <f>중기목록표!B9&amp;" / "&amp;중기목록표!C9</f>
        <v>굴삭기(0.7m3) / 0.7㎥,(암석)</v>
      </c>
      <c r="Y405" s="19" t="str">
        <f ca="1">HYPERLINK("#"&amp;중기목록표!J2&amp;"!A"&amp;ROW(중기목록표!A9),"중기    6 →")</f>
        <v>중기    6 →</v>
      </c>
    </row>
    <row r="406" spans="1:25" ht="12.6" customHeight="1" x14ac:dyDescent="0.3">
      <c r="A406" s="80"/>
      <c r="B406" s="80"/>
      <c r="C406" s="80"/>
      <c r="D406" s="80"/>
      <c r="E406" s="80"/>
      <c r="F406" s="80"/>
      <c r="G406" s="16" t="s">
        <v>1324</v>
      </c>
    </row>
    <row r="407" spans="1:25" ht="12.6" customHeight="1" x14ac:dyDescent="0.3">
      <c r="A407" s="70" t="s">
        <v>1399</v>
      </c>
      <c r="B407" s="101" t="str">
        <f>" 경    비  : "&amp;TEXT(I407,"#,##0"&amp;IF(I407&lt;&gt;INT(I407),".###",""))&amp;" / Q  = "&amp;TEXT(C407,"#,##0.0")&amp;""</f>
        <v xml:space="preserve"> 경    비  : 26,677 / Q  = 2,476.9</v>
      </c>
      <c r="C407" s="103">
        <f>E407+D407+F407</f>
        <v>2476.9</v>
      </c>
      <c r="D407" s="103">
        <f>IF(H407=0,0,ROUNDDOWN(J407*H407,1))</f>
        <v>0</v>
      </c>
      <c r="E407" s="103">
        <f>IF(H407=0,0,ROUNDDOWN(K407*H407,1))</f>
        <v>0</v>
      </c>
      <c r="F407" s="103">
        <f>IF(H407=0,0,ROUNDDOWN(L407*H407,1))</f>
        <v>2476.9</v>
      </c>
      <c r="G407" s="16" t="s">
        <v>1480</v>
      </c>
      <c r="H407" s="108">
        <v>9.2850510687899998E-2</v>
      </c>
      <c r="I407" s="109">
        <f>K407+J407+L407</f>
        <v>26677</v>
      </c>
      <c r="L407" s="39">
        <f>중기목록표!H9</f>
        <v>26677</v>
      </c>
      <c r="M407" s="20" t="s">
        <v>1395</v>
      </c>
      <c r="N407" s="20" t="s">
        <v>1345</v>
      </c>
      <c r="X407" s="110" t="str">
        <f>중기목록표!B9&amp;" / "&amp;중기목록표!C9</f>
        <v>굴삭기(0.7m3) / 0.7㎥,(암석)</v>
      </c>
      <c r="Y407" s="19" t="str">
        <f ca="1">HYPERLINK("#"&amp;중기목록표!J2&amp;"!A"&amp;ROW(중기목록표!A9),"중기    6 →")</f>
        <v>중기    6 →</v>
      </c>
    </row>
    <row r="408" spans="1:25" ht="12.6" customHeight="1" x14ac:dyDescent="0.3">
      <c r="A408" s="80"/>
      <c r="B408" s="80"/>
      <c r="C408" s="80"/>
      <c r="D408" s="80"/>
      <c r="E408" s="80"/>
      <c r="F408" s="80"/>
      <c r="G408" s="16" t="s">
        <v>1324</v>
      </c>
    </row>
    <row r="409" spans="1:25" ht="12.6" customHeight="1" x14ac:dyDescent="0.3">
      <c r="A409" s="70"/>
      <c r="B409" s="79" t="s">
        <v>1344</v>
      </c>
      <c r="C409" s="104">
        <f>E409+D409+F409</f>
        <v>9320</v>
      </c>
      <c r="D409" s="104">
        <f>SUMIF(N388:N408,M409,D388:D408)</f>
        <v>5171.7</v>
      </c>
      <c r="E409" s="104">
        <f>SUMIF(N388:N408,M409,E388:E408)</f>
        <v>1671.4</v>
      </c>
      <c r="F409" s="104">
        <f>SUMIF(N388:N408,M409,F388:F408)</f>
        <v>2476.9</v>
      </c>
      <c r="G409" s="16" t="s">
        <v>1343</v>
      </c>
      <c r="M409" s="20" t="s">
        <v>1345</v>
      </c>
      <c r="N409" s="20" t="s">
        <v>1368</v>
      </c>
    </row>
    <row r="410" spans="1:25" ht="12.6" customHeight="1" x14ac:dyDescent="0.3">
      <c r="A410" s="80"/>
      <c r="B410" s="80"/>
      <c r="C410" s="102"/>
      <c r="D410" s="102"/>
      <c r="E410" s="102"/>
      <c r="F410" s="102"/>
      <c r="G410" s="16" t="s">
        <v>1324</v>
      </c>
    </row>
    <row r="411" spans="1:25" ht="12.6" customHeight="1" x14ac:dyDescent="0.3">
      <c r="A411" s="80"/>
      <c r="B411" s="80"/>
      <c r="C411" s="80"/>
      <c r="D411" s="80"/>
      <c r="E411" s="80"/>
      <c r="F411" s="80"/>
      <c r="G411" s="16" t="s">
        <v>1324</v>
      </c>
    </row>
    <row r="412" spans="1:25" ht="12.6" customHeight="1" x14ac:dyDescent="0.3">
      <c r="A412" s="70"/>
      <c r="B412" s="79" t="s">
        <v>1482</v>
      </c>
      <c r="C412" s="80"/>
      <c r="D412" s="80"/>
      <c r="E412" s="80"/>
      <c r="F412" s="80"/>
      <c r="G412" s="16" t="s">
        <v>1481</v>
      </c>
    </row>
    <row r="413" spans="1:25" ht="12.6" customHeight="1" x14ac:dyDescent="0.3">
      <c r="A413" s="80"/>
      <c r="B413" s="80"/>
      <c r="C413" s="80"/>
      <c r="D413" s="80"/>
      <c r="E413" s="80"/>
      <c r="F413" s="80"/>
      <c r="G413" s="16" t="s">
        <v>1324</v>
      </c>
    </row>
    <row r="414" spans="1:25" ht="12.6" customHeight="1" x14ac:dyDescent="0.3">
      <c r="A414" s="70"/>
      <c r="B414" s="79" t="s">
        <v>1403</v>
      </c>
      <c r="C414" s="80"/>
      <c r="D414" s="80"/>
      <c r="E414" s="80"/>
      <c r="F414" s="80"/>
      <c r="G414" s="16" t="s">
        <v>1402</v>
      </c>
    </row>
    <row r="415" spans="1:25" ht="12.6" customHeight="1" x14ac:dyDescent="0.3">
      <c r="A415" s="80"/>
      <c r="B415" s="80"/>
      <c r="C415" s="80"/>
      <c r="D415" s="80"/>
      <c r="E415" s="80"/>
      <c r="F415" s="80"/>
      <c r="G415" s="16" t="s">
        <v>1324</v>
      </c>
    </row>
    <row r="416" spans="1:25" ht="12.6" customHeight="1" x14ac:dyDescent="0.3">
      <c r="A416" s="70"/>
      <c r="B416" s="79" t="s">
        <v>1540</v>
      </c>
      <c r="C416" s="80"/>
      <c r="D416" s="80"/>
      <c r="E416" s="80"/>
      <c r="F416" s="80"/>
      <c r="G416" s="16" t="s">
        <v>1539</v>
      </c>
    </row>
    <row r="417" spans="1:7" ht="12.6" customHeight="1" x14ac:dyDescent="0.3">
      <c r="A417" s="80"/>
      <c r="B417" s="80"/>
      <c r="C417" s="80"/>
      <c r="D417" s="80"/>
      <c r="E417" s="80"/>
      <c r="F417" s="80"/>
      <c r="G417" s="16" t="s">
        <v>1324</v>
      </c>
    </row>
    <row r="418" spans="1:7" ht="12.6" customHeight="1" x14ac:dyDescent="0.3">
      <c r="A418" s="70"/>
      <c r="B418" s="79" t="s">
        <v>1486</v>
      </c>
      <c r="C418" s="80"/>
      <c r="D418" s="80"/>
      <c r="E418" s="80"/>
      <c r="F418" s="80"/>
      <c r="G418" s="16" t="s">
        <v>1485</v>
      </c>
    </row>
    <row r="419" spans="1:7" ht="12.6" customHeight="1" x14ac:dyDescent="0.3">
      <c r="A419" s="80"/>
      <c r="B419" s="80"/>
      <c r="C419" s="80"/>
      <c r="D419" s="80"/>
      <c r="E419" s="80"/>
      <c r="F419" s="80"/>
      <c r="G419" s="16" t="s">
        <v>1324</v>
      </c>
    </row>
    <row r="420" spans="1:7" ht="12.6" customHeight="1" x14ac:dyDescent="0.3">
      <c r="A420" s="70"/>
      <c r="B420" s="79" t="s">
        <v>1488</v>
      </c>
      <c r="C420" s="80"/>
      <c r="D420" s="80"/>
      <c r="E420" s="80"/>
      <c r="F420" s="80"/>
      <c r="G420" s="16" t="s">
        <v>1487</v>
      </c>
    </row>
    <row r="421" spans="1:7" ht="12.6" customHeight="1" x14ac:dyDescent="0.3">
      <c r="A421" s="80"/>
      <c r="B421" s="80"/>
      <c r="C421" s="80"/>
      <c r="D421" s="80"/>
      <c r="E421" s="80"/>
      <c r="F421" s="80"/>
      <c r="G421" s="16" t="s">
        <v>1324</v>
      </c>
    </row>
    <row r="422" spans="1:7" ht="12.6" customHeight="1" x14ac:dyDescent="0.3">
      <c r="A422" s="70"/>
      <c r="B422" s="79" t="s">
        <v>1541</v>
      </c>
      <c r="C422" s="80"/>
      <c r="D422" s="80"/>
      <c r="E422" s="80"/>
      <c r="F422" s="80"/>
      <c r="G422" s="16" t="s">
        <v>1489</v>
      </c>
    </row>
    <row r="423" spans="1:7" ht="12.6" customHeight="1" x14ac:dyDescent="0.3">
      <c r="A423" s="80"/>
      <c r="B423" s="80"/>
      <c r="C423" s="80"/>
      <c r="D423" s="80"/>
      <c r="E423" s="80"/>
      <c r="F423" s="80"/>
      <c r="G423" s="16" t="s">
        <v>1324</v>
      </c>
    </row>
    <row r="424" spans="1:7" ht="12.6" customHeight="1" x14ac:dyDescent="0.3">
      <c r="A424" s="70"/>
      <c r="B424" s="79" t="s">
        <v>1542</v>
      </c>
      <c r="C424" s="80"/>
      <c r="D424" s="80"/>
      <c r="E424" s="80"/>
      <c r="F424" s="80"/>
      <c r="G424" s="16" t="s">
        <v>1491</v>
      </c>
    </row>
    <row r="425" spans="1:7" ht="12.6" customHeight="1" x14ac:dyDescent="0.3">
      <c r="A425" s="80"/>
      <c r="B425" s="80"/>
      <c r="C425" s="80"/>
      <c r="D425" s="80"/>
      <c r="E425" s="80"/>
      <c r="F425" s="80"/>
      <c r="G425" s="16" t="s">
        <v>1324</v>
      </c>
    </row>
    <row r="426" spans="1:7" ht="12.6" customHeight="1" x14ac:dyDescent="0.3">
      <c r="A426" s="70"/>
      <c r="B426" s="79" t="s">
        <v>1494</v>
      </c>
      <c r="C426" s="80"/>
      <c r="D426" s="80"/>
      <c r="E426" s="80"/>
      <c r="F426" s="80"/>
      <c r="G426" s="16" t="s">
        <v>1493</v>
      </c>
    </row>
    <row r="427" spans="1:7" ht="12.6" customHeight="1" x14ac:dyDescent="0.3">
      <c r="A427" s="80"/>
      <c r="B427" s="80"/>
      <c r="C427" s="80"/>
      <c r="D427" s="80"/>
      <c r="E427" s="80"/>
      <c r="F427" s="80"/>
      <c r="G427" s="16" t="s">
        <v>1324</v>
      </c>
    </row>
    <row r="428" spans="1:7" ht="12.6" customHeight="1" x14ac:dyDescent="0.3">
      <c r="A428" s="70"/>
      <c r="B428" s="79" t="s">
        <v>1417</v>
      </c>
      <c r="C428" s="80"/>
      <c r="D428" s="80"/>
      <c r="E428" s="80"/>
      <c r="F428" s="80"/>
      <c r="G428" s="16" t="s">
        <v>1416</v>
      </c>
    </row>
    <row r="429" spans="1:7" ht="12.6" customHeight="1" x14ac:dyDescent="0.3">
      <c r="A429" s="80"/>
      <c r="B429" s="80"/>
      <c r="C429" s="80"/>
      <c r="D429" s="80"/>
      <c r="E429" s="80"/>
      <c r="F429" s="80"/>
      <c r="G429" s="16" t="s">
        <v>1324</v>
      </c>
    </row>
    <row r="430" spans="1:7" ht="12.6" customHeight="1" x14ac:dyDescent="0.3">
      <c r="A430" s="70"/>
      <c r="B430" s="79" t="s">
        <v>1496</v>
      </c>
      <c r="C430" s="80"/>
      <c r="D430" s="80"/>
      <c r="E430" s="80"/>
      <c r="F430" s="80"/>
      <c r="G430" s="16" t="s">
        <v>1495</v>
      </c>
    </row>
    <row r="431" spans="1:7" ht="12.6" customHeight="1" x14ac:dyDescent="0.3">
      <c r="A431" s="80"/>
      <c r="B431" s="80"/>
      <c r="C431" s="80"/>
      <c r="D431" s="80"/>
      <c r="E431" s="80"/>
      <c r="F431" s="80"/>
      <c r="G431" s="16" t="s">
        <v>1324</v>
      </c>
    </row>
    <row r="432" spans="1:7" ht="12.6" customHeight="1" x14ac:dyDescent="0.3">
      <c r="A432" s="70"/>
      <c r="B432" s="79" t="s">
        <v>1543</v>
      </c>
      <c r="C432" s="80"/>
      <c r="D432" s="80"/>
      <c r="E432" s="80"/>
      <c r="F432" s="80"/>
      <c r="G432" s="16" t="s">
        <v>1420</v>
      </c>
    </row>
    <row r="433" spans="1:25" ht="12.6" customHeight="1" x14ac:dyDescent="0.3">
      <c r="A433" s="80"/>
      <c r="B433" s="80"/>
      <c r="C433" s="80"/>
      <c r="D433" s="80"/>
      <c r="E433" s="80"/>
      <c r="F433" s="80"/>
      <c r="G433" s="16" t="s">
        <v>1324</v>
      </c>
    </row>
    <row r="434" spans="1:25" ht="12.6" customHeight="1" x14ac:dyDescent="0.3">
      <c r="A434" s="70"/>
      <c r="B434" s="79" t="s">
        <v>1544</v>
      </c>
      <c r="C434" s="80"/>
      <c r="D434" s="80"/>
      <c r="E434" s="80"/>
      <c r="F434" s="80"/>
      <c r="G434" s="16" t="s">
        <v>1498</v>
      </c>
    </row>
    <row r="435" spans="1:25" ht="12.6" customHeight="1" x14ac:dyDescent="0.3">
      <c r="A435" s="80"/>
      <c r="B435" s="80"/>
      <c r="C435" s="80"/>
      <c r="D435" s="80"/>
      <c r="E435" s="80"/>
      <c r="F435" s="80"/>
      <c r="G435" s="16" t="s">
        <v>1324</v>
      </c>
    </row>
    <row r="436" spans="1:25" ht="12.6" customHeight="1" x14ac:dyDescent="0.3">
      <c r="A436" s="80"/>
      <c r="B436" s="80"/>
      <c r="C436" s="80"/>
      <c r="D436" s="80"/>
      <c r="E436" s="80"/>
      <c r="F436" s="80"/>
      <c r="G436" s="16" t="s">
        <v>1324</v>
      </c>
    </row>
    <row r="437" spans="1:25" ht="12.6" customHeight="1" x14ac:dyDescent="0.3">
      <c r="A437" s="70" t="s">
        <v>1501</v>
      </c>
      <c r="B437" s="101" t="str">
        <f>" 노 무 비  :   "&amp;TEXT(I437,"#,##0"&amp;IF(I437&lt;&gt;INT(I437),".###",""))&amp;" / Q  = "&amp;TEXT(C437,"#,##0.0")&amp;""</f>
        <v xml:space="preserve"> 노 무 비  :   47,231 / Q  = 5,788.1</v>
      </c>
      <c r="C437" s="103">
        <f>E437+D437+F437</f>
        <v>5788.1</v>
      </c>
      <c r="D437" s="103">
        <f>IF(H437=0,0,ROUNDDOWN(J437*H437,1))</f>
        <v>5788.1</v>
      </c>
      <c r="E437" s="103">
        <f>IF(H437=0,0,ROUNDDOWN(K437*H437,1))</f>
        <v>0</v>
      </c>
      <c r="F437" s="103">
        <f>IF(H437=0,0,ROUNDDOWN(L437*H437,1))</f>
        <v>0</v>
      </c>
      <c r="G437" s="16" t="s">
        <v>1500</v>
      </c>
      <c r="H437" s="108">
        <v>0.1225490196179</v>
      </c>
      <c r="I437" s="109">
        <f>K437+J437+L437</f>
        <v>47231</v>
      </c>
      <c r="J437" s="39">
        <f>중기목록표!F24</f>
        <v>47231</v>
      </c>
      <c r="M437" s="20" t="s">
        <v>1502</v>
      </c>
      <c r="N437" s="20" t="s">
        <v>1345</v>
      </c>
      <c r="X437" s="110" t="str">
        <f>중기목록표!B24&amp;" / "&amp;중기목록표!C24</f>
        <v xml:space="preserve">덤프트럭4.5ton(암) / </v>
      </c>
      <c r="Y437" s="19" t="str">
        <f ca="1">HYPERLINK("#"&amp;중기목록표!J2&amp;"!A"&amp;ROW(중기목록표!A24),"중기   21 →")</f>
        <v>중기   21 →</v>
      </c>
    </row>
    <row r="438" spans="1:25" ht="12.6" customHeight="1" x14ac:dyDescent="0.3">
      <c r="A438" s="80"/>
      <c r="B438" s="80"/>
      <c r="C438" s="80"/>
      <c r="D438" s="80"/>
      <c r="E438" s="80"/>
      <c r="F438" s="80"/>
      <c r="G438" s="16" t="s">
        <v>1324</v>
      </c>
    </row>
    <row r="439" spans="1:25" ht="12.6" customHeight="1" x14ac:dyDescent="0.3">
      <c r="A439" s="70" t="s">
        <v>1504</v>
      </c>
      <c r="B439" s="101" t="str">
        <f>" 재 료 비  :   "&amp;TEXT(I439,"#,##0"&amp;IF(I439&lt;&gt;INT(I439),".###",""))&amp;" / Q  = "&amp;TEXT(C439,"#,##0.0")&amp;""</f>
        <v xml:space="preserve"> 재 료 비  :   8,776 / Q  = 1,075.4</v>
      </c>
      <c r="C439" s="103">
        <f>E439+D439+F439</f>
        <v>1075.4000000000001</v>
      </c>
      <c r="D439" s="103">
        <f>IF(H439=0,0,ROUNDDOWN(J439*H439,1))</f>
        <v>0</v>
      </c>
      <c r="E439" s="103">
        <f>IF(H439=0,0,ROUNDDOWN(K439*H439,1))</f>
        <v>1075.4000000000001</v>
      </c>
      <c r="F439" s="103">
        <f>IF(H439=0,0,ROUNDDOWN(L439*H439,1))</f>
        <v>0</v>
      </c>
      <c r="G439" s="16" t="s">
        <v>1503</v>
      </c>
      <c r="H439" s="108">
        <v>0.1225490196179</v>
      </c>
      <c r="I439" s="109">
        <f>K439+J439+L439</f>
        <v>8776</v>
      </c>
      <c r="K439" s="39">
        <f>중기목록표!G24</f>
        <v>8776</v>
      </c>
      <c r="M439" s="20" t="s">
        <v>1502</v>
      </c>
      <c r="N439" s="20" t="s">
        <v>1345</v>
      </c>
      <c r="X439" s="110" t="str">
        <f>중기목록표!B24&amp;" / "&amp;중기목록표!C24</f>
        <v xml:space="preserve">덤프트럭4.5ton(암) / </v>
      </c>
      <c r="Y439" s="19" t="str">
        <f ca="1">HYPERLINK("#"&amp;중기목록표!J2&amp;"!A"&amp;ROW(중기목록표!A24),"중기   21 →")</f>
        <v>중기   21 →</v>
      </c>
    </row>
    <row r="440" spans="1:25" ht="12.6" customHeight="1" x14ac:dyDescent="0.3">
      <c r="A440" s="80"/>
      <c r="B440" s="80"/>
      <c r="C440" s="80"/>
      <c r="D440" s="80"/>
      <c r="E440" s="80"/>
      <c r="F440" s="80"/>
      <c r="G440" s="16" t="s">
        <v>1324</v>
      </c>
    </row>
    <row r="441" spans="1:25" ht="12.6" customHeight="1" x14ac:dyDescent="0.3">
      <c r="A441" s="70" t="s">
        <v>1506</v>
      </c>
      <c r="B441" s="101" t="str">
        <f>" 경    비  :   "&amp;TEXT(I441,"#,##0"&amp;IF(I441&lt;&gt;INT(I441),".###",""))&amp;" / Q  = "&amp;TEXT(C441,"#,##0.0")&amp;""</f>
        <v xml:space="preserve"> 경    비  :   8,576 / Q  = 1,050.9</v>
      </c>
      <c r="C441" s="103">
        <f>E441+D441+F441</f>
        <v>1050.9000000000001</v>
      </c>
      <c r="D441" s="103">
        <f>IF(H441=0,0,ROUNDDOWN(J441*H441,1))</f>
        <v>0</v>
      </c>
      <c r="E441" s="103">
        <f>IF(H441=0,0,ROUNDDOWN(K441*H441,1))</f>
        <v>0</v>
      </c>
      <c r="F441" s="103">
        <f>IF(H441=0,0,ROUNDDOWN(L441*H441,1))</f>
        <v>1050.9000000000001</v>
      </c>
      <c r="G441" s="16" t="s">
        <v>1505</v>
      </c>
      <c r="H441" s="108">
        <v>0.1225490196179</v>
      </c>
      <c r="I441" s="109">
        <f>K441+J441+L441</f>
        <v>8576</v>
      </c>
      <c r="L441" s="39">
        <f>중기목록표!H24</f>
        <v>8576</v>
      </c>
      <c r="M441" s="20" t="s">
        <v>1502</v>
      </c>
      <c r="N441" s="20" t="s">
        <v>1345</v>
      </c>
      <c r="X441" s="110" t="str">
        <f>중기목록표!B24&amp;" / "&amp;중기목록표!C24</f>
        <v xml:space="preserve">덤프트럭4.5ton(암) / </v>
      </c>
      <c r="Y441" s="19" t="str">
        <f ca="1">HYPERLINK("#"&amp;중기목록표!J2&amp;"!A"&amp;ROW(중기목록표!A24),"중기   21 →")</f>
        <v>중기   21 →</v>
      </c>
    </row>
    <row r="442" spans="1:25" ht="12.6" customHeight="1" x14ac:dyDescent="0.3">
      <c r="A442" s="80"/>
      <c r="B442" s="80"/>
      <c r="C442" s="80"/>
      <c r="D442" s="80"/>
      <c r="E442" s="80"/>
      <c r="F442" s="80"/>
      <c r="G442" s="16" t="s">
        <v>1324</v>
      </c>
    </row>
    <row r="443" spans="1:25" ht="12.6" customHeight="1" x14ac:dyDescent="0.3">
      <c r="A443" s="80"/>
      <c r="B443" s="80"/>
      <c r="C443" s="80"/>
      <c r="D443" s="80"/>
      <c r="E443" s="80"/>
      <c r="F443" s="80"/>
      <c r="G443" s="16" t="s">
        <v>1324</v>
      </c>
    </row>
    <row r="444" spans="1:25" ht="12.6" customHeight="1" x14ac:dyDescent="0.3">
      <c r="A444" s="70"/>
      <c r="B444" s="79" t="s">
        <v>1344</v>
      </c>
      <c r="C444" s="104">
        <f>E444+D444+F444</f>
        <v>7914.4</v>
      </c>
      <c r="D444" s="104">
        <f>SUMIF(N410:N443,M444,D410:D443)</f>
        <v>5788.1</v>
      </c>
      <c r="E444" s="104">
        <f>SUMIF(N410:N443,M444,E410:E443)</f>
        <v>1075.4000000000001</v>
      </c>
      <c r="F444" s="104">
        <f>SUMIF(N410:N443,M444,F410:F443)</f>
        <v>1050.9000000000001</v>
      </c>
      <c r="G444" s="16" t="s">
        <v>1343</v>
      </c>
      <c r="M444" s="20" t="s">
        <v>1345</v>
      </c>
      <c r="N444" s="20" t="s">
        <v>1368</v>
      </c>
    </row>
    <row r="445" spans="1:25" ht="12.6" customHeight="1" x14ac:dyDescent="0.3">
      <c r="A445" s="80"/>
      <c r="B445" s="80"/>
      <c r="C445" s="102"/>
      <c r="D445" s="102"/>
      <c r="E445" s="102"/>
      <c r="F445" s="102"/>
      <c r="G445" s="16" t="s">
        <v>1324</v>
      </c>
    </row>
    <row r="446" spans="1:25" ht="12.6" customHeight="1" x14ac:dyDescent="0.3">
      <c r="A446" s="80"/>
      <c r="B446" s="80"/>
      <c r="C446" s="80"/>
      <c r="D446" s="80"/>
      <c r="E446" s="80"/>
      <c r="F446" s="80"/>
      <c r="G446" s="16" t="s">
        <v>1324</v>
      </c>
    </row>
    <row r="447" spans="1:25" ht="12.6" customHeight="1" x14ac:dyDescent="0.3">
      <c r="A447" s="70"/>
      <c r="B447" s="79" t="s">
        <v>1171</v>
      </c>
      <c r="C447" s="104">
        <f>E447+D447+F447</f>
        <v>17234.399999999998</v>
      </c>
      <c r="D447" s="104">
        <f>SUMIF(N388:N446,M447,D388:D446)</f>
        <v>10959.8</v>
      </c>
      <c r="E447" s="104">
        <f>SUMIF(N388:N446,M447,E388:E446)</f>
        <v>2746.8</v>
      </c>
      <c r="F447" s="104">
        <f>SUMIF(N388:N446,M447,F388:F446)</f>
        <v>3527.8</v>
      </c>
      <c r="G447" s="16" t="s">
        <v>1367</v>
      </c>
      <c r="M447" s="20" t="s">
        <v>1368</v>
      </c>
      <c r="N447" s="20" t="s">
        <v>1129</v>
      </c>
    </row>
    <row r="448" spans="1:25" ht="12.6" customHeight="1" x14ac:dyDescent="0.3">
      <c r="A448" s="80"/>
      <c r="B448" s="80"/>
      <c r="C448" s="102"/>
      <c r="D448" s="102"/>
      <c r="E448" s="102"/>
      <c r="F448" s="102"/>
    </row>
    <row r="449" spans="1:13" ht="12.6" customHeight="1" x14ac:dyDescent="0.3">
      <c r="A449" s="80"/>
      <c r="B449" s="80"/>
      <c r="C449" s="80"/>
      <c r="D449" s="80"/>
      <c r="E449" s="80"/>
      <c r="F449" s="80"/>
    </row>
    <row r="450" spans="1:13" ht="12.6" customHeight="1" x14ac:dyDescent="0.3">
      <c r="A450" s="80"/>
      <c r="B450" s="80"/>
      <c r="C450" s="80"/>
      <c r="D450" s="80"/>
      <c r="E450" s="80"/>
      <c r="F450" s="80"/>
    </row>
    <row r="451" spans="1:13" ht="12.6" customHeight="1" x14ac:dyDescent="0.3">
      <c r="A451" s="80"/>
      <c r="B451" s="80"/>
      <c r="C451" s="80"/>
      <c r="D451" s="80"/>
      <c r="E451" s="80"/>
      <c r="F451" s="80"/>
    </row>
    <row r="452" spans="1:13" ht="12.6" customHeight="1" x14ac:dyDescent="0.3">
      <c r="A452" s="80"/>
      <c r="B452" s="80"/>
      <c r="C452" s="80"/>
      <c r="D452" s="80"/>
      <c r="E452" s="80"/>
      <c r="F452" s="80"/>
    </row>
    <row r="453" spans="1:13" ht="12.6" customHeight="1" x14ac:dyDescent="0.3">
      <c r="A453" s="80"/>
      <c r="B453" s="80"/>
      <c r="C453" s="80"/>
      <c r="D453" s="80"/>
      <c r="E453" s="80"/>
      <c r="F453" s="80"/>
    </row>
    <row r="454" spans="1:13" ht="12.6" customHeight="1" x14ac:dyDescent="0.3">
      <c r="A454" s="80"/>
      <c r="B454" s="80"/>
      <c r="C454" s="80"/>
      <c r="D454" s="80"/>
      <c r="E454" s="80"/>
      <c r="F454" s="80"/>
    </row>
    <row r="455" spans="1:13" ht="12.6" customHeight="1" x14ac:dyDescent="0.3">
      <c r="A455" s="80"/>
      <c r="B455" s="80"/>
      <c r="C455" s="80"/>
      <c r="D455" s="80"/>
      <c r="E455" s="80"/>
      <c r="F455" s="80"/>
    </row>
    <row r="456" spans="1:13" ht="12.6" customHeight="1" x14ac:dyDescent="0.3">
      <c r="A456" s="80"/>
      <c r="B456" s="80"/>
      <c r="C456" s="80"/>
      <c r="D456" s="80"/>
      <c r="E456" s="80"/>
      <c r="F456" s="80"/>
    </row>
    <row r="457" spans="1:13" ht="12.6" customHeight="1" x14ac:dyDescent="0.3">
      <c r="A457" s="80"/>
      <c r="B457" s="80"/>
      <c r="C457" s="80"/>
      <c r="D457" s="80"/>
      <c r="E457" s="80"/>
      <c r="F457" s="80"/>
    </row>
    <row r="458" spans="1:13" ht="12.6" customHeight="1" x14ac:dyDescent="0.3">
      <c r="A458" s="58"/>
      <c r="B458" s="58"/>
      <c r="C458" s="58"/>
      <c r="D458" s="58"/>
      <c r="E458" s="58"/>
      <c r="F458" s="58"/>
    </row>
    <row r="459" spans="1:13" ht="12.6" customHeight="1" x14ac:dyDescent="0.3">
      <c r="A459" s="141" t="s">
        <v>1346</v>
      </c>
      <c r="B459" s="142"/>
      <c r="C459" s="55">
        <f>E459+D459+F459</f>
        <v>29098</v>
      </c>
      <c r="D459" s="54">
        <f>ROUNDDOWN(SUMIF(N357:N447,M459,D357:D447),0)</f>
        <v>17543</v>
      </c>
      <c r="E459" s="63">
        <f>ROUNDDOWN(SUMIF(N357:N447,M459,E357:E447),0)</f>
        <v>4874</v>
      </c>
      <c r="F459" s="55">
        <f>ROUNDDOWN(SUMIF(N357:N447,M459,F357:F447),0)</f>
        <v>6681</v>
      </c>
      <c r="M459" s="20" t="s">
        <v>1129</v>
      </c>
    </row>
    <row r="460" spans="1:13" ht="12.6" customHeight="1" x14ac:dyDescent="0.3">
      <c r="A460" s="99" t="s">
        <v>46</v>
      </c>
      <c r="B460" s="100" t="s">
        <v>46</v>
      </c>
      <c r="C460" s="147">
        <f>C494</f>
        <v>1279</v>
      </c>
      <c r="D460" s="147">
        <f>D494</f>
        <v>736</v>
      </c>
      <c r="E460" s="147">
        <f>E494</f>
        <v>238</v>
      </c>
      <c r="F460" s="147">
        <f>F494</f>
        <v>305</v>
      </c>
      <c r="G460" s="36" t="str">
        <f>HYPERLINK("#G"&amp;ROW(G481),"_x0005_`BDCOD|D02139_x0007_`POSS|"&amp;ROW(G462)&amp;"_x0007_`POSE|"&amp;ROW(G481)&amp;"_x0007_`")</f>
        <v>_x0005_`BDCOD|D02139_x0007_`POSS|462_x0007_`POSE|481_x0007_`</v>
      </c>
    </row>
    <row r="461" spans="1:13" ht="12.6" customHeight="1" x14ac:dyDescent="0.3">
      <c r="A461" s="85"/>
      <c r="B461" s="100" t="s">
        <v>193</v>
      </c>
      <c r="C461" s="137"/>
      <c r="D461" s="137"/>
      <c r="E461" s="137"/>
      <c r="F461" s="137"/>
      <c r="M461" s="20" t="s">
        <v>192</v>
      </c>
    </row>
    <row r="462" spans="1:13" ht="12.6" customHeight="1" x14ac:dyDescent="0.3">
      <c r="A462" s="70"/>
      <c r="B462" s="79" t="s">
        <v>1372</v>
      </c>
      <c r="C462" s="102"/>
      <c r="D462" s="102"/>
      <c r="E462" s="102"/>
      <c r="F462" s="102"/>
      <c r="G462" s="16" t="s">
        <v>1371</v>
      </c>
    </row>
    <row r="463" spans="1:13" ht="12.6" customHeight="1" x14ac:dyDescent="0.3">
      <c r="A463" s="80"/>
      <c r="B463" s="80"/>
      <c r="C463" s="80"/>
      <c r="D463" s="80"/>
      <c r="E463" s="80"/>
      <c r="F463" s="80"/>
      <c r="G463" s="16" t="s">
        <v>1324</v>
      </c>
    </row>
    <row r="464" spans="1:13" ht="12.6" customHeight="1" x14ac:dyDescent="0.3">
      <c r="A464" s="80"/>
      <c r="B464" s="80"/>
      <c r="C464" s="80"/>
      <c r="D464" s="80"/>
      <c r="E464" s="80"/>
      <c r="F464" s="80"/>
      <c r="G464" s="16" t="s">
        <v>1324</v>
      </c>
    </row>
    <row r="465" spans="1:25" ht="12.6" customHeight="1" x14ac:dyDescent="0.3">
      <c r="A465" s="70"/>
      <c r="B465" s="79" t="s">
        <v>1546</v>
      </c>
      <c r="C465" s="80"/>
      <c r="D465" s="80"/>
      <c r="E465" s="80"/>
      <c r="F465" s="80"/>
      <c r="G465" s="16" t="s">
        <v>1545</v>
      </c>
    </row>
    <row r="466" spans="1:25" ht="12.6" customHeight="1" x14ac:dyDescent="0.3">
      <c r="A466" s="80"/>
      <c r="B466" s="80"/>
      <c r="C466" s="80"/>
      <c r="D466" s="80"/>
      <c r="E466" s="80"/>
      <c r="F466" s="80"/>
      <c r="G466" s="16" t="s">
        <v>1324</v>
      </c>
    </row>
    <row r="467" spans="1:25" ht="12.6" customHeight="1" x14ac:dyDescent="0.3">
      <c r="A467" s="70"/>
      <c r="B467" s="79" t="s">
        <v>1548</v>
      </c>
      <c r="C467" s="80"/>
      <c r="D467" s="80"/>
      <c r="E467" s="80"/>
      <c r="F467" s="80"/>
      <c r="G467" s="16" t="s">
        <v>1547</v>
      </c>
    </row>
    <row r="468" spans="1:25" ht="12.6" customHeight="1" x14ac:dyDescent="0.3">
      <c r="A468" s="80"/>
      <c r="B468" s="80"/>
      <c r="C468" s="80"/>
      <c r="D468" s="80"/>
      <c r="E468" s="80"/>
      <c r="F468" s="80"/>
      <c r="G468" s="16" t="s">
        <v>1324</v>
      </c>
    </row>
    <row r="469" spans="1:25" ht="12.6" customHeight="1" x14ac:dyDescent="0.3">
      <c r="A469" s="70"/>
      <c r="B469" s="79" t="s">
        <v>1550</v>
      </c>
      <c r="C469" s="80"/>
      <c r="D469" s="80"/>
      <c r="E469" s="80"/>
      <c r="F469" s="80"/>
      <c r="G469" s="16" t="s">
        <v>1549</v>
      </c>
    </row>
    <row r="470" spans="1:25" ht="12.6" customHeight="1" x14ac:dyDescent="0.3">
      <c r="A470" s="80"/>
      <c r="B470" s="80"/>
      <c r="C470" s="80"/>
      <c r="D470" s="80"/>
      <c r="E470" s="80"/>
      <c r="F470" s="80"/>
      <c r="G470" s="16" t="s">
        <v>1324</v>
      </c>
    </row>
    <row r="471" spans="1:25" ht="12.6" customHeight="1" x14ac:dyDescent="0.3">
      <c r="A471" s="70"/>
      <c r="B471" s="79" t="s">
        <v>1552</v>
      </c>
      <c r="C471" s="80"/>
      <c r="D471" s="80"/>
      <c r="E471" s="80"/>
      <c r="F471" s="80"/>
      <c r="G471" s="16" t="s">
        <v>1551</v>
      </c>
    </row>
    <row r="472" spans="1:25" ht="12.6" customHeight="1" x14ac:dyDescent="0.3">
      <c r="A472" s="80"/>
      <c r="B472" s="80"/>
      <c r="C472" s="80"/>
      <c r="D472" s="80"/>
      <c r="E472" s="80"/>
      <c r="F472" s="80"/>
      <c r="G472" s="16" t="s">
        <v>1324</v>
      </c>
    </row>
    <row r="473" spans="1:25" ht="12.6" customHeight="1" x14ac:dyDescent="0.3">
      <c r="A473" s="70" t="s">
        <v>1524</v>
      </c>
      <c r="B473" s="101" t="str">
        <f>" 노 무 비  : "&amp;TEXT(I473,"#,##0"&amp;IF(I473&lt;&gt;INT(I473),".###",""))&amp;" / Q   = "&amp;TEXT(C473,"#,##0.0")&amp;""</f>
        <v xml:space="preserve"> 노 무 비  : 55,700 / Q   = 736.7</v>
      </c>
      <c r="C473" s="103">
        <f>E473+D473+F473</f>
        <v>736.7</v>
      </c>
      <c r="D473" s="103">
        <f>IF(H473=0,0,ROUNDDOWN(J473*H473,1))</f>
        <v>736.7</v>
      </c>
      <c r="E473" s="103">
        <f>IF(H473=0,0,ROUNDDOWN(K473*H473,1))</f>
        <v>0</v>
      </c>
      <c r="F473" s="103">
        <f>IF(H473=0,0,ROUNDDOWN(L473*H473,1))</f>
        <v>0</v>
      </c>
      <c r="G473" s="16" t="s">
        <v>1553</v>
      </c>
      <c r="H473" s="108">
        <v>1.32275132376E-2</v>
      </c>
      <c r="I473" s="109">
        <f>K473+J473+L473</f>
        <v>55700</v>
      </c>
      <c r="J473" s="39">
        <f>중기목록표!F7</f>
        <v>55700</v>
      </c>
      <c r="M473" s="20" t="s">
        <v>1179</v>
      </c>
      <c r="N473" s="20" t="s">
        <v>1368</v>
      </c>
      <c r="X473" s="110" t="str">
        <f>중기목록표!B7&amp;" / "&amp;중기목록표!C7</f>
        <v xml:space="preserve">굴삭기(0.7m3) / </v>
      </c>
      <c r="Y473" s="19" t="str">
        <f ca="1">HYPERLINK("#"&amp;중기목록표!J2&amp;"!A"&amp;ROW(중기목록표!A7),"중기    4 →")</f>
        <v>중기    4 →</v>
      </c>
    </row>
    <row r="474" spans="1:25" ht="12.6" customHeight="1" x14ac:dyDescent="0.3">
      <c r="A474" s="80"/>
      <c r="B474" s="80"/>
      <c r="C474" s="80"/>
      <c r="D474" s="80"/>
      <c r="E474" s="80"/>
      <c r="F474" s="80"/>
      <c r="G474" s="16" t="s">
        <v>1324</v>
      </c>
    </row>
    <row r="475" spans="1:25" ht="12.6" customHeight="1" x14ac:dyDescent="0.3">
      <c r="A475" s="70" t="s">
        <v>1526</v>
      </c>
      <c r="B475" s="101" t="str">
        <f>" 재 료 비  : "&amp;TEXT(I475,"#,##0"&amp;IF(I475&lt;&gt;INT(I475),".###",""))&amp;" / Q   = "&amp;TEXT(C475,"#,##0.0")&amp;""</f>
        <v xml:space="preserve"> 재 료 비  : 18,001 / Q   = 238.1</v>
      </c>
      <c r="C475" s="103">
        <f>E475+D475+F475</f>
        <v>238.1</v>
      </c>
      <c r="D475" s="103">
        <f>IF(H475=0,0,ROUNDDOWN(J475*H475,1))</f>
        <v>0</v>
      </c>
      <c r="E475" s="103">
        <f>IF(H475=0,0,ROUNDDOWN(K475*H475,1))</f>
        <v>238.1</v>
      </c>
      <c r="F475" s="103">
        <f>IF(H475=0,0,ROUNDDOWN(L475*H475,1))</f>
        <v>0</v>
      </c>
      <c r="G475" s="16" t="s">
        <v>1554</v>
      </c>
      <c r="H475" s="108">
        <v>1.32275132376E-2</v>
      </c>
      <c r="I475" s="109">
        <f>K475+J475+L475</f>
        <v>18001</v>
      </c>
      <c r="K475" s="39">
        <f>중기목록표!G7</f>
        <v>18001</v>
      </c>
      <c r="M475" s="20" t="s">
        <v>1179</v>
      </c>
      <c r="N475" s="20" t="s">
        <v>1368</v>
      </c>
      <c r="X475" s="110" t="str">
        <f>중기목록표!B7&amp;" / "&amp;중기목록표!C7</f>
        <v xml:space="preserve">굴삭기(0.7m3) / </v>
      </c>
      <c r="Y475" s="19" t="str">
        <f ca="1">HYPERLINK("#"&amp;중기목록표!J2&amp;"!A"&amp;ROW(중기목록표!A7),"중기    4 →")</f>
        <v>중기    4 →</v>
      </c>
    </row>
    <row r="476" spans="1:25" ht="12.6" customHeight="1" x14ac:dyDescent="0.3">
      <c r="A476" s="80"/>
      <c r="B476" s="80"/>
      <c r="C476" s="80"/>
      <c r="D476" s="80"/>
      <c r="E476" s="80"/>
      <c r="F476" s="80"/>
      <c r="G476" s="16" t="s">
        <v>1324</v>
      </c>
    </row>
    <row r="477" spans="1:25" ht="12.6" customHeight="1" x14ac:dyDescent="0.3">
      <c r="A477" s="70" t="s">
        <v>1528</v>
      </c>
      <c r="B477" s="101" t="str">
        <f>" 경    비  : "&amp;TEXT(I477,"#,##0"&amp;IF(I477&lt;&gt;INT(I477),".###",""))&amp;" / Q   = "&amp;TEXT(C477,"#,##0.0")&amp;""</f>
        <v xml:space="preserve"> 경    비  : 23,128 / Q   = 305.9</v>
      </c>
      <c r="C477" s="103">
        <f>E477+D477+F477</f>
        <v>305.89999999999998</v>
      </c>
      <c r="D477" s="103">
        <f>IF(H477=0,0,ROUNDDOWN(J477*H477,1))</f>
        <v>0</v>
      </c>
      <c r="E477" s="103">
        <f>IF(H477=0,0,ROUNDDOWN(K477*H477,1))</f>
        <v>0</v>
      </c>
      <c r="F477" s="103">
        <f>IF(H477=0,0,ROUNDDOWN(L477*H477,1))</f>
        <v>305.89999999999998</v>
      </c>
      <c r="G477" s="16" t="s">
        <v>1555</v>
      </c>
      <c r="H477" s="108">
        <v>1.32275132376E-2</v>
      </c>
      <c r="I477" s="109">
        <f>K477+J477+L477</f>
        <v>23128</v>
      </c>
      <c r="L477" s="39">
        <f>중기목록표!H7</f>
        <v>23128</v>
      </c>
      <c r="M477" s="20" t="s">
        <v>1179</v>
      </c>
      <c r="N477" s="20" t="s">
        <v>1368</v>
      </c>
      <c r="X477" s="110" t="str">
        <f>중기목록표!B7&amp;" / "&amp;중기목록표!C7</f>
        <v xml:space="preserve">굴삭기(0.7m3) / </v>
      </c>
      <c r="Y477" s="19" t="str">
        <f ca="1">HYPERLINK("#"&amp;중기목록표!J2&amp;"!A"&amp;ROW(중기목록표!A7),"중기    4 →")</f>
        <v>중기    4 →</v>
      </c>
    </row>
    <row r="478" spans="1:25" ht="12.6" customHeight="1" x14ac:dyDescent="0.3">
      <c r="A478" s="80"/>
      <c r="B478" s="80"/>
      <c r="C478" s="80"/>
      <c r="D478" s="80"/>
      <c r="E478" s="80"/>
      <c r="F478" s="80"/>
      <c r="G478" s="16" t="s">
        <v>1324</v>
      </c>
    </row>
    <row r="479" spans="1:25" ht="12.6" customHeight="1" x14ac:dyDescent="0.3">
      <c r="A479" s="70"/>
      <c r="B479" s="79" t="s">
        <v>1171</v>
      </c>
      <c r="C479" s="104">
        <f>E479+D479+F479</f>
        <v>1280.7</v>
      </c>
      <c r="D479" s="104">
        <f>SUMIF(N462:N478,M479,D462:D478)</f>
        <v>736.7</v>
      </c>
      <c r="E479" s="104">
        <f>SUMIF(N462:N478,M479,E462:E478)</f>
        <v>238.1</v>
      </c>
      <c r="F479" s="104">
        <f>SUMIF(N462:N478,M479,F462:F478)</f>
        <v>305.89999999999998</v>
      </c>
      <c r="G479" s="16" t="s">
        <v>1367</v>
      </c>
      <c r="M479" s="20" t="s">
        <v>1368</v>
      </c>
      <c r="N479" s="20" t="s">
        <v>1558</v>
      </c>
    </row>
    <row r="480" spans="1:25" ht="12.6" customHeight="1" x14ac:dyDescent="0.3">
      <c r="A480" s="80"/>
      <c r="B480" s="80"/>
      <c r="C480" s="102"/>
      <c r="D480" s="102"/>
      <c r="E480" s="102"/>
      <c r="F480" s="102"/>
      <c r="G480" s="16" t="s">
        <v>1324</v>
      </c>
    </row>
    <row r="481" spans="1:14" ht="12.6" customHeight="1" x14ac:dyDescent="0.3">
      <c r="A481" s="70"/>
      <c r="B481" s="79" t="s">
        <v>1557</v>
      </c>
      <c r="C481" s="104">
        <f>E481+D481+F481</f>
        <v>1280.7</v>
      </c>
      <c r="D481" s="104">
        <f>SUMIF(N462:N480,M481,D462:D480)</f>
        <v>736.7</v>
      </c>
      <c r="E481" s="104">
        <f>SUMIF(N462:N480,M481,E462:E480)</f>
        <v>238.1</v>
      </c>
      <c r="F481" s="104">
        <f>SUMIF(N462:N480,M481,F462:F480)</f>
        <v>305.89999999999998</v>
      </c>
      <c r="G481" s="16" t="s">
        <v>1556</v>
      </c>
      <c r="M481" s="20" t="s">
        <v>1558</v>
      </c>
      <c r="N481" s="20" t="s">
        <v>1129</v>
      </c>
    </row>
    <row r="482" spans="1:14" ht="12.6" customHeight="1" x14ac:dyDescent="0.3">
      <c r="A482" s="80"/>
      <c r="B482" s="80"/>
      <c r="C482" s="102"/>
      <c r="D482" s="102"/>
      <c r="E482" s="102"/>
      <c r="F482" s="102"/>
    </row>
    <row r="483" spans="1:14" ht="12.6" customHeight="1" x14ac:dyDescent="0.3">
      <c r="A483" s="80"/>
      <c r="B483" s="80"/>
      <c r="C483" s="80"/>
      <c r="D483" s="80"/>
      <c r="E483" s="80"/>
      <c r="F483" s="80"/>
    </row>
    <row r="484" spans="1:14" ht="12.6" customHeight="1" x14ac:dyDescent="0.3">
      <c r="A484" s="80"/>
      <c r="B484" s="80"/>
      <c r="C484" s="80"/>
      <c r="D484" s="80"/>
      <c r="E484" s="80"/>
      <c r="F484" s="80"/>
    </row>
    <row r="485" spans="1:14" ht="12.6" customHeight="1" x14ac:dyDescent="0.3">
      <c r="A485" s="80"/>
      <c r="B485" s="80"/>
      <c r="C485" s="80"/>
      <c r="D485" s="80"/>
      <c r="E485" s="80"/>
      <c r="F485" s="80"/>
    </row>
    <row r="486" spans="1:14" ht="12.6" customHeight="1" x14ac:dyDescent="0.3">
      <c r="A486" s="80"/>
      <c r="B486" s="80"/>
      <c r="C486" s="80"/>
      <c r="D486" s="80"/>
      <c r="E486" s="80"/>
      <c r="F486" s="80"/>
    </row>
    <row r="487" spans="1:14" ht="12.6" customHeight="1" x14ac:dyDescent="0.3">
      <c r="A487" s="80"/>
      <c r="B487" s="80"/>
      <c r="C487" s="80"/>
      <c r="D487" s="80"/>
      <c r="E487" s="80"/>
      <c r="F487" s="80"/>
    </row>
    <row r="488" spans="1:14" ht="12.6" customHeight="1" x14ac:dyDescent="0.3">
      <c r="A488" s="80"/>
      <c r="B488" s="80"/>
      <c r="C488" s="80"/>
      <c r="D488" s="80"/>
      <c r="E488" s="80"/>
      <c r="F488" s="80"/>
    </row>
    <row r="489" spans="1:14" ht="12.6" customHeight="1" x14ac:dyDescent="0.3">
      <c r="A489" s="80"/>
      <c r="B489" s="80"/>
      <c r="C489" s="80"/>
      <c r="D489" s="80"/>
      <c r="E489" s="80"/>
      <c r="F489" s="80"/>
    </row>
    <row r="490" spans="1:14" ht="12.6" customHeight="1" x14ac:dyDescent="0.3">
      <c r="A490" s="80"/>
      <c r="B490" s="80"/>
      <c r="C490" s="80"/>
      <c r="D490" s="80"/>
      <c r="E490" s="80"/>
      <c r="F490" s="80"/>
    </row>
    <row r="491" spans="1:14" ht="12.6" customHeight="1" x14ac:dyDescent="0.3">
      <c r="A491" s="80"/>
      <c r="B491" s="80"/>
      <c r="C491" s="80"/>
      <c r="D491" s="80"/>
      <c r="E491" s="80"/>
      <c r="F491" s="80"/>
    </row>
    <row r="492" spans="1:14" ht="12.6" customHeight="1" x14ac:dyDescent="0.3">
      <c r="A492" s="80"/>
      <c r="B492" s="80"/>
      <c r="C492" s="80"/>
      <c r="D492" s="80"/>
      <c r="E492" s="80"/>
      <c r="F492" s="80"/>
    </row>
    <row r="493" spans="1:14" ht="12.6" customHeight="1" x14ac:dyDescent="0.3">
      <c r="A493" s="58"/>
      <c r="B493" s="58"/>
      <c r="C493" s="58"/>
      <c r="D493" s="58"/>
      <c r="E493" s="58"/>
      <c r="F493" s="58"/>
    </row>
    <row r="494" spans="1:14" ht="12.6" customHeight="1" x14ac:dyDescent="0.3">
      <c r="A494" s="141" t="s">
        <v>1346</v>
      </c>
      <c r="B494" s="142"/>
      <c r="C494" s="55">
        <f>E494+D494+F494</f>
        <v>1279</v>
      </c>
      <c r="D494" s="54">
        <f>ROUNDDOWN(SUMIF(N462:N481,M494,D462:D481),0)</f>
        <v>736</v>
      </c>
      <c r="E494" s="63">
        <f>ROUNDDOWN(SUMIF(N462:N481,M494,E462:E481),0)</f>
        <v>238</v>
      </c>
      <c r="F494" s="55">
        <f>ROUNDDOWN(SUMIF(N462:N481,M494,F462:F481),0)</f>
        <v>305</v>
      </c>
      <c r="M494" s="20" t="s">
        <v>1129</v>
      </c>
    </row>
    <row r="495" spans="1:14" ht="12.6" customHeight="1" x14ac:dyDescent="0.3">
      <c r="A495" s="99" t="s">
        <v>50</v>
      </c>
      <c r="B495" s="100" t="s">
        <v>50</v>
      </c>
      <c r="C495" s="147">
        <f>C529</f>
        <v>36282</v>
      </c>
      <c r="D495" s="147">
        <f>D529</f>
        <v>31636</v>
      </c>
      <c r="E495" s="147">
        <f>E529</f>
        <v>3697</v>
      </c>
      <c r="F495" s="147">
        <f>F529</f>
        <v>949</v>
      </c>
      <c r="G495" s="36" t="str">
        <f>HYPERLINK("#G"&amp;ROW(G524),"_x0005_`BDCOD|D02195_x0007_`POSS|"&amp;ROW(G497)&amp;"_x0007_`POSE|"&amp;ROW(G524)&amp;"_x0007_`")</f>
        <v>_x0005_`BDCOD|D02195_x0007_`POSS|497_x0007_`POSE|524_x0007_`</v>
      </c>
    </row>
    <row r="496" spans="1:14" ht="12.6" customHeight="1" x14ac:dyDescent="0.3">
      <c r="A496" s="85"/>
      <c r="B496" s="100" t="s">
        <v>196</v>
      </c>
      <c r="C496" s="137"/>
      <c r="D496" s="137"/>
      <c r="E496" s="137"/>
      <c r="F496" s="137"/>
      <c r="M496" s="20" t="s">
        <v>195</v>
      </c>
    </row>
    <row r="497" spans="1:25" ht="12.6" customHeight="1" x14ac:dyDescent="0.3">
      <c r="A497" s="70"/>
      <c r="B497" s="79" t="s">
        <v>1560</v>
      </c>
      <c r="C497" s="102"/>
      <c r="D497" s="102"/>
      <c r="E497" s="102"/>
      <c r="F497" s="102"/>
      <c r="G497" s="16" t="s">
        <v>1559</v>
      </c>
    </row>
    <row r="498" spans="1:25" ht="12.6" customHeight="1" x14ac:dyDescent="0.3">
      <c r="A498" s="80"/>
      <c r="B498" s="80"/>
      <c r="C498" s="80"/>
      <c r="D498" s="80"/>
      <c r="E498" s="80"/>
      <c r="F498" s="80"/>
      <c r="G498" s="16" t="s">
        <v>1324</v>
      </c>
    </row>
    <row r="499" spans="1:25" ht="12.6" customHeight="1" x14ac:dyDescent="0.3">
      <c r="A499" s="70"/>
      <c r="B499" s="79" t="s">
        <v>1562</v>
      </c>
      <c r="C499" s="80"/>
      <c r="D499" s="80"/>
      <c r="E499" s="80"/>
      <c r="F499" s="80"/>
      <c r="G499" s="16" t="s">
        <v>1561</v>
      </c>
    </row>
    <row r="500" spans="1:25" ht="12.6" customHeight="1" x14ac:dyDescent="0.3">
      <c r="A500" s="80"/>
      <c r="B500" s="80"/>
      <c r="C500" s="80"/>
      <c r="D500" s="80"/>
      <c r="E500" s="80"/>
      <c r="F500" s="80"/>
      <c r="G500" s="16" t="s">
        <v>1324</v>
      </c>
    </row>
    <row r="501" spans="1:25" ht="12.6" customHeight="1" x14ac:dyDescent="0.3">
      <c r="A501" s="70"/>
      <c r="B501" s="79" t="s">
        <v>1564</v>
      </c>
      <c r="C501" s="80"/>
      <c r="D501" s="80"/>
      <c r="E501" s="80"/>
      <c r="F501" s="80"/>
      <c r="G501" s="16" t="s">
        <v>1563</v>
      </c>
    </row>
    <row r="502" spans="1:25" ht="12.6" customHeight="1" x14ac:dyDescent="0.3">
      <c r="A502" s="80"/>
      <c r="B502" s="80"/>
      <c r="C502" s="80"/>
      <c r="D502" s="80"/>
      <c r="E502" s="80"/>
      <c r="F502" s="80"/>
      <c r="G502" s="16" t="s">
        <v>1324</v>
      </c>
    </row>
    <row r="503" spans="1:25" ht="12.6" customHeight="1" x14ac:dyDescent="0.3">
      <c r="A503" s="70" t="s">
        <v>1566</v>
      </c>
      <c r="B503" s="101" t="str">
        <f>" 패널(유로폼) : "&amp;TEXT(I503,"#,##0"&amp;IF(I503&lt;&gt;INT(I503),".###",""))&amp;" * 0.89 / 10 = "&amp;TEXT(C503,"#,##0.0")&amp;""</f>
        <v xml:space="preserve"> 패널(유로폼) : 31,500 * 0.89 / 10 = 2,803.5</v>
      </c>
      <c r="C503" s="103">
        <f>E503+D503+F503</f>
        <v>2803.5</v>
      </c>
      <c r="D503" s="103">
        <f>IF(H503=0,0,ROUNDDOWN(J503*H503,1))</f>
        <v>0</v>
      </c>
      <c r="E503" s="103">
        <f>IF(H503=0,0,ROUNDDOWN(K503*H503,1))</f>
        <v>2803.5</v>
      </c>
      <c r="F503" s="103">
        <f>IF(H503=0,0,ROUNDDOWN(L503*H503,1))</f>
        <v>0</v>
      </c>
      <c r="G503" s="16" t="s">
        <v>1565</v>
      </c>
      <c r="H503" s="108">
        <v>8.9000000000099999E-2</v>
      </c>
      <c r="I503" s="109">
        <f>K503+J503+L503</f>
        <v>31500</v>
      </c>
      <c r="K503" s="39">
        <f>재료비목록표!E19</f>
        <v>31500</v>
      </c>
      <c r="M503" s="20" t="s">
        <v>1567</v>
      </c>
      <c r="N503" s="20" t="s">
        <v>1345</v>
      </c>
      <c r="O503" s="20" t="s">
        <v>1309</v>
      </c>
      <c r="X503" s="110" t="str">
        <f>재료비목록표!B19&amp;" / "&amp;재료비목록표!C19</f>
        <v>패널(유로폼) / 600*1200mm</v>
      </c>
      <c r="Y503" s="19" t="str">
        <f ca="1">HYPERLINK("#"&amp;재료비목록표!G2&amp;"!A"&amp;ROW(재료비목록표!A19),"자재   16 →")</f>
        <v>자재   16 →</v>
      </c>
    </row>
    <row r="504" spans="1:25" ht="12.6" customHeight="1" x14ac:dyDescent="0.3">
      <c r="A504" s="80"/>
      <c r="B504" s="80"/>
      <c r="C504" s="80"/>
      <c r="D504" s="80"/>
      <c r="E504" s="80"/>
      <c r="F504" s="80"/>
      <c r="G504" s="16" t="s">
        <v>1324</v>
      </c>
    </row>
    <row r="505" spans="1:25" ht="12.6" customHeight="1" x14ac:dyDescent="0.3">
      <c r="A505" s="70" t="s">
        <v>1569</v>
      </c>
      <c r="B505" s="101" t="str">
        <f>" 내부코너패널(유로폼) : "&amp;TEXT(I505,"#,##0"&amp;IF(I505&lt;&gt;INT(I505),".###",""))&amp;" * 0.03 / 10 = "&amp;TEXT(C505,"#,##0.0")&amp;""</f>
        <v xml:space="preserve"> 내부코너패널(유로폼) : 21,000 * 0.03 / 10 = 63.0</v>
      </c>
      <c r="C505" s="103">
        <f>E505+D505+F505</f>
        <v>63</v>
      </c>
      <c r="D505" s="103">
        <f>IF(H505=0,0,ROUNDDOWN(J505*H505,1))</f>
        <v>0</v>
      </c>
      <c r="E505" s="103">
        <f>IF(H505=0,0,ROUNDDOWN(K505*H505,1))</f>
        <v>63</v>
      </c>
      <c r="F505" s="103">
        <f>IF(H505=0,0,ROUNDDOWN(L505*H505,1))</f>
        <v>0</v>
      </c>
      <c r="G505" s="16" t="s">
        <v>1568</v>
      </c>
      <c r="H505" s="108">
        <v>3.0000000000999999E-3</v>
      </c>
      <c r="I505" s="109">
        <f>K505+J505+L505</f>
        <v>21000</v>
      </c>
      <c r="K505" s="39">
        <f>재료비목록표!E20</f>
        <v>21000</v>
      </c>
      <c r="M505" s="20" t="s">
        <v>1570</v>
      </c>
      <c r="N505" s="20" t="s">
        <v>1345</v>
      </c>
      <c r="O505" s="20" t="s">
        <v>1309</v>
      </c>
      <c r="X505" s="110" t="str">
        <f>재료비목록표!B20&amp;" / "&amp;재료비목록표!C20</f>
        <v>내부코너패널(유로폼) / (100+200)*1200mm</v>
      </c>
      <c r="Y505" s="19" t="str">
        <f ca="1">HYPERLINK("#"&amp;재료비목록표!G2&amp;"!A"&amp;ROW(재료비목록표!A20),"자재   17 →")</f>
        <v>자재   17 →</v>
      </c>
    </row>
    <row r="506" spans="1:25" ht="12.6" customHeight="1" x14ac:dyDescent="0.3">
      <c r="A506" s="80"/>
      <c r="B506" s="80"/>
      <c r="C506" s="80"/>
      <c r="D506" s="80"/>
      <c r="E506" s="80"/>
      <c r="F506" s="80"/>
      <c r="G506" s="16" t="s">
        <v>1324</v>
      </c>
    </row>
    <row r="507" spans="1:25" ht="12.6" customHeight="1" x14ac:dyDescent="0.3">
      <c r="A507" s="70"/>
      <c r="B507" s="101" t="str">
        <f>" 부자재(웨지핀, 플랫타이, 강관파이프, 훅) : "&amp;TEXT(I507,"#,##0.0")&amp;" * 24 %  = "&amp;TEXT(C507,"#,##0.0")&amp;""</f>
        <v xml:space="preserve"> 부자재(웨지핀, 플랫타이, 강관파이프, 훅) : 2,866.5 * 24 %  = 687.9</v>
      </c>
      <c r="C507" s="103">
        <f>E507+D507+F507</f>
        <v>687.9</v>
      </c>
      <c r="D507" s="103">
        <f>IF(H507=0,0,ROUNDDOWN(J507*H507/100,1))</f>
        <v>0</v>
      </c>
      <c r="E507" s="103">
        <f>IF(H507=0,0,ROUNDDOWN(K507*H507/100,1))</f>
        <v>687.9</v>
      </c>
      <c r="F507" s="103">
        <f>IF(H507=0,0,ROUNDDOWN(L507*H507/100,1))</f>
        <v>0</v>
      </c>
      <c r="G507" s="16" t="s">
        <v>1571</v>
      </c>
      <c r="H507" s="108">
        <v>24</v>
      </c>
      <c r="I507" s="109">
        <f>K507+J507+L507</f>
        <v>2866.5</v>
      </c>
      <c r="J507" s="37">
        <v>0</v>
      </c>
      <c r="K507" s="39">
        <f>SUMIF(O497:O506,"1_01",E497:E506)</f>
        <v>2866.5</v>
      </c>
      <c r="L507" s="37">
        <v>0</v>
      </c>
      <c r="M507" s="20" t="s">
        <v>1572</v>
      </c>
      <c r="N507" s="20" t="s">
        <v>1345</v>
      </c>
    </row>
    <row r="508" spans="1:25" ht="12.6" customHeight="1" x14ac:dyDescent="0.3">
      <c r="A508" s="80"/>
      <c r="B508" s="80"/>
      <c r="C508" s="80"/>
      <c r="D508" s="80"/>
      <c r="E508" s="80"/>
      <c r="F508" s="80"/>
      <c r="G508" s="16" t="s">
        <v>1324</v>
      </c>
    </row>
    <row r="509" spans="1:25" ht="12.6" customHeight="1" x14ac:dyDescent="0.3">
      <c r="A509" s="70"/>
      <c r="B509" s="101" t="str">
        <f>" 소모자재(박리재 등) : "&amp;TEXT(I509,"#,##0.0")&amp;" * 5 %  = "&amp;TEXT(C509,"#,##0.0")&amp;""</f>
        <v xml:space="preserve"> 소모자재(박리재 등) : 2,866.5 * 5 %  = 143.3</v>
      </c>
      <c r="C509" s="103">
        <f>E509+D509+F509</f>
        <v>143.30000000000001</v>
      </c>
      <c r="D509" s="103">
        <f>IF(H509=0,0,ROUNDDOWN(J509*H509/100,1))</f>
        <v>0</v>
      </c>
      <c r="E509" s="103">
        <f>IF(H509=0,0,ROUNDDOWN(K509*H509/100,1))</f>
        <v>143.30000000000001</v>
      </c>
      <c r="F509" s="103">
        <f>IF(H509=0,0,ROUNDDOWN(L509*H509/100,1))</f>
        <v>0</v>
      </c>
      <c r="G509" s="16" t="s">
        <v>1573</v>
      </c>
      <c r="H509" s="108">
        <v>5</v>
      </c>
      <c r="I509" s="109">
        <f>K509+J509+L509</f>
        <v>2866.5</v>
      </c>
      <c r="J509" s="37">
        <v>0</v>
      </c>
      <c r="K509" s="39">
        <f>SUMIF(O497:O508,"1_01",E497:E508)</f>
        <v>2866.5</v>
      </c>
      <c r="L509" s="37">
        <v>0</v>
      </c>
      <c r="M509" s="20" t="s">
        <v>1572</v>
      </c>
      <c r="N509" s="20" t="s">
        <v>1345</v>
      </c>
    </row>
    <row r="510" spans="1:25" ht="12.6" customHeight="1" x14ac:dyDescent="0.3">
      <c r="A510" s="80"/>
      <c r="B510" s="80"/>
      <c r="C510" s="80"/>
      <c r="D510" s="80"/>
      <c r="E510" s="80"/>
      <c r="F510" s="80"/>
      <c r="G510" s="16" t="s">
        <v>1324</v>
      </c>
    </row>
    <row r="511" spans="1:25" ht="12.6" customHeight="1" x14ac:dyDescent="0.3">
      <c r="A511" s="70"/>
      <c r="B511" s="79" t="s">
        <v>1344</v>
      </c>
      <c r="C511" s="104">
        <f>E511+D511+F511</f>
        <v>3697.7000000000003</v>
      </c>
      <c r="D511" s="104">
        <f>SUMIF(N497:N510,M511,D497:D510)</f>
        <v>0</v>
      </c>
      <c r="E511" s="104">
        <f>SUMIF(N497:N510,M511,E497:E510)</f>
        <v>3697.7000000000003</v>
      </c>
      <c r="F511" s="104">
        <f>SUMIF(N497:N510,M511,F497:F510)</f>
        <v>0</v>
      </c>
      <c r="G511" s="16" t="s">
        <v>1343</v>
      </c>
      <c r="M511" s="20" t="s">
        <v>1345</v>
      </c>
      <c r="N511" s="20" t="s">
        <v>1368</v>
      </c>
    </row>
    <row r="512" spans="1:25" ht="12.6" customHeight="1" x14ac:dyDescent="0.3">
      <c r="A512" s="80"/>
      <c r="B512" s="80"/>
      <c r="C512" s="102"/>
      <c r="D512" s="102"/>
      <c r="E512" s="102"/>
      <c r="F512" s="102"/>
      <c r="G512" s="16" t="s">
        <v>1324</v>
      </c>
    </row>
    <row r="513" spans="1:25" ht="12.6" customHeight="1" x14ac:dyDescent="0.3">
      <c r="A513" s="80"/>
      <c r="B513" s="80"/>
      <c r="C513" s="80"/>
      <c r="D513" s="80"/>
      <c r="E513" s="80"/>
      <c r="F513" s="80"/>
      <c r="G513" s="16" t="s">
        <v>1324</v>
      </c>
    </row>
    <row r="514" spans="1:25" ht="12.6" customHeight="1" x14ac:dyDescent="0.3">
      <c r="A514" s="70"/>
      <c r="B514" s="79" t="s">
        <v>1575</v>
      </c>
      <c r="C514" s="80"/>
      <c r="D514" s="80"/>
      <c r="E514" s="80"/>
      <c r="F514" s="80"/>
      <c r="G514" s="16" t="s">
        <v>1574</v>
      </c>
    </row>
    <row r="515" spans="1:25" ht="12.6" customHeight="1" x14ac:dyDescent="0.3">
      <c r="A515" s="80"/>
      <c r="B515" s="80"/>
      <c r="C515" s="80"/>
      <c r="D515" s="80"/>
      <c r="E515" s="80"/>
      <c r="F515" s="80"/>
      <c r="G515" s="16" t="s">
        <v>1324</v>
      </c>
    </row>
    <row r="516" spans="1:25" ht="12.6" customHeight="1" x14ac:dyDescent="0.3">
      <c r="A516" s="70" t="s">
        <v>654</v>
      </c>
      <c r="B516" s="101" t="str">
        <f>" 형틀목공 : "&amp;TEXT(I516,"#,##0"&amp;IF(I516&lt;&gt;INT(I516),".###",""))&amp;" * 4 / 40 = "&amp;TEXT(C516,"#,##0.0")&amp;""</f>
        <v xml:space="preserve"> 형틀목공 : 274,978 * 4 / 40 = 27,497.8</v>
      </c>
      <c r="C516" s="103">
        <f>E516+D516+F516</f>
        <v>27497.8</v>
      </c>
      <c r="D516" s="103">
        <f>IF(H516=0,0,ROUNDDOWN(J516*H516,1))</f>
        <v>27497.8</v>
      </c>
      <c r="E516" s="103">
        <f>IF(H516=0,0,ROUNDDOWN(K516*H516,1))</f>
        <v>0</v>
      </c>
      <c r="F516" s="103">
        <f>IF(H516=0,0,ROUNDDOWN(L516*H516,1))</f>
        <v>0</v>
      </c>
      <c r="G516" s="16" t="s">
        <v>1576</v>
      </c>
      <c r="H516" s="108">
        <v>0.1000000000001</v>
      </c>
      <c r="I516" s="109">
        <f>K516+J516+L516</f>
        <v>274978</v>
      </c>
      <c r="J516" s="39">
        <f>노무비목록표!E5</f>
        <v>274978</v>
      </c>
      <c r="M516" s="20" t="s">
        <v>1577</v>
      </c>
      <c r="N516" s="20" t="s">
        <v>1345</v>
      </c>
      <c r="O516" s="20" t="s">
        <v>1578</v>
      </c>
      <c r="X516" s="110" t="str">
        <f>노무비목록표!B5&amp;" / "&amp;노무비목록표!C5</f>
        <v xml:space="preserve">형틀목공 / </v>
      </c>
      <c r="Y516" s="19" t="str">
        <f ca="1">HYPERLINK("#"&amp;노무비목록표!G2&amp;"!A"&amp;ROW(노무비목록표!A5),"노무    2 →")</f>
        <v>노무    2 →</v>
      </c>
    </row>
    <row r="517" spans="1:25" ht="12.6" customHeight="1" x14ac:dyDescent="0.3">
      <c r="A517" s="80"/>
      <c r="B517" s="80"/>
      <c r="C517" s="80"/>
      <c r="D517" s="80"/>
      <c r="E517" s="80"/>
      <c r="F517" s="80"/>
      <c r="G517" s="16" t="s">
        <v>1324</v>
      </c>
    </row>
    <row r="518" spans="1:25" ht="12.6" customHeight="1" x14ac:dyDescent="0.3">
      <c r="A518" s="70" t="s">
        <v>666</v>
      </c>
      <c r="B518" s="101" t="str">
        <f>" 보통인부 : "&amp;TEXT(I518,"#,##0"&amp;IF(I518&lt;&gt;INT(I518),".###",""))&amp;" * 1 / 40 = "&amp;TEXT(C518,"#,##0.0")&amp;""</f>
        <v xml:space="preserve"> 보통인부 : 165,545 * 1 / 40 = 4,138.6</v>
      </c>
      <c r="C518" s="103">
        <f>E518+D518+F518</f>
        <v>4138.6000000000004</v>
      </c>
      <c r="D518" s="103">
        <f>IF(H518=0,0,ROUNDDOWN(J518*H518,1))</f>
        <v>4138.6000000000004</v>
      </c>
      <c r="E518" s="103">
        <f>IF(H518=0,0,ROUNDDOWN(K518*H518,1))</f>
        <v>0</v>
      </c>
      <c r="F518" s="103">
        <f>IF(H518=0,0,ROUNDDOWN(L518*H518,1))</f>
        <v>0</v>
      </c>
      <c r="G518" s="16" t="s">
        <v>1579</v>
      </c>
      <c r="H518" s="108">
        <v>2.5000000000100001E-2</v>
      </c>
      <c r="I518" s="109">
        <f>K518+J518+L518</f>
        <v>165545</v>
      </c>
      <c r="J518" s="39">
        <f>노무비목록표!E9</f>
        <v>165545</v>
      </c>
      <c r="M518" s="20" t="s">
        <v>1127</v>
      </c>
      <c r="N518" s="20" t="s">
        <v>1345</v>
      </c>
      <c r="O518" s="20" t="s">
        <v>1578</v>
      </c>
      <c r="X518" s="110" t="str">
        <f>노무비목록표!B9&amp;" / "&amp;노무비목록표!C9</f>
        <v xml:space="preserve">보통인부 / </v>
      </c>
      <c r="Y518" s="19" t="str">
        <f ca="1">HYPERLINK("#"&amp;노무비목록표!G2&amp;"!A"&amp;ROW(노무비목록표!A9),"노무    6 →")</f>
        <v>노무    6 →</v>
      </c>
    </row>
    <row r="519" spans="1:25" ht="12.6" customHeight="1" x14ac:dyDescent="0.3">
      <c r="A519" s="80"/>
      <c r="B519" s="80"/>
      <c r="C519" s="80"/>
      <c r="D519" s="80"/>
      <c r="E519" s="80"/>
      <c r="F519" s="80"/>
      <c r="G519" s="16" t="s">
        <v>1324</v>
      </c>
    </row>
    <row r="520" spans="1:25" ht="12.6" customHeight="1" x14ac:dyDescent="0.3">
      <c r="A520" s="70"/>
      <c r="B520" s="101" t="str">
        <f>" 공구손료 및 경장비 기계경비 : "&amp;TEXT(I520,"#,##0.0")&amp;" * 3 %  = "&amp;TEXT(C520,"#,##0.0")&amp;""</f>
        <v xml:space="preserve"> 공구손료 및 경장비 기계경비 : 31,636.4 * 3 %  = 949.0</v>
      </c>
      <c r="C520" s="103">
        <f>E520+D520+F520</f>
        <v>949</v>
      </c>
      <c r="D520" s="103">
        <f>IF(H520=0,0,ROUNDDOWN(J520*H520/100,1))</f>
        <v>0</v>
      </c>
      <c r="E520" s="103">
        <f>IF(H520=0,0,ROUNDDOWN(K520*H520/100,1))</f>
        <v>0</v>
      </c>
      <c r="F520" s="103">
        <f>IF(H520=0,0,ROUNDDOWN(L520*H520/100,1))</f>
        <v>949</v>
      </c>
      <c r="G520" s="16" t="s">
        <v>1580</v>
      </c>
      <c r="H520" s="108">
        <v>3</v>
      </c>
      <c r="I520" s="109">
        <f>K520+J520+L520</f>
        <v>31636.400000000001</v>
      </c>
      <c r="J520" s="37">
        <v>0</v>
      </c>
      <c r="K520" s="37">
        <v>0</v>
      </c>
      <c r="L520" s="39">
        <f>SUMIF(O497:O519,"1_02",D497:D519)</f>
        <v>31636.400000000001</v>
      </c>
      <c r="M520" s="20" t="s">
        <v>1572</v>
      </c>
      <c r="N520" s="20" t="s">
        <v>1345</v>
      </c>
    </row>
    <row r="521" spans="1:25" ht="12.6" customHeight="1" x14ac:dyDescent="0.3">
      <c r="A521" s="80"/>
      <c r="B521" s="80"/>
      <c r="C521" s="80"/>
      <c r="D521" s="80"/>
      <c r="E521" s="80"/>
      <c r="F521" s="80"/>
      <c r="G521" s="16" t="s">
        <v>1324</v>
      </c>
    </row>
    <row r="522" spans="1:25" ht="12.6" customHeight="1" x14ac:dyDescent="0.3">
      <c r="A522" s="70"/>
      <c r="B522" s="79" t="s">
        <v>1344</v>
      </c>
      <c r="C522" s="104">
        <f>E522+D522+F522</f>
        <v>32585.4</v>
      </c>
      <c r="D522" s="104">
        <f>SUMIF(N512:N521,M522,D512:D521)</f>
        <v>31636.400000000001</v>
      </c>
      <c r="E522" s="104">
        <f>SUMIF(N512:N521,M522,E512:E521)</f>
        <v>0</v>
      </c>
      <c r="F522" s="104">
        <f>SUMIF(N512:N521,M522,F512:F521)</f>
        <v>949</v>
      </c>
      <c r="G522" s="16" t="s">
        <v>1343</v>
      </c>
      <c r="M522" s="20" t="s">
        <v>1345</v>
      </c>
      <c r="N522" s="20" t="s">
        <v>1368</v>
      </c>
    </row>
    <row r="523" spans="1:25" ht="12.6" customHeight="1" x14ac:dyDescent="0.3">
      <c r="A523" s="80"/>
      <c r="B523" s="80"/>
      <c r="C523" s="102"/>
      <c r="D523" s="102"/>
      <c r="E523" s="102"/>
      <c r="F523" s="102"/>
      <c r="G523" s="16" t="s">
        <v>1324</v>
      </c>
    </row>
    <row r="524" spans="1:25" ht="12.6" customHeight="1" x14ac:dyDescent="0.3">
      <c r="A524" s="70"/>
      <c r="B524" s="79" t="s">
        <v>1171</v>
      </c>
      <c r="C524" s="104">
        <f>E524+D524+F524</f>
        <v>36283.1</v>
      </c>
      <c r="D524" s="104">
        <f>SUMIF(N497:N523,M524,D497:D523)</f>
        <v>31636.400000000001</v>
      </c>
      <c r="E524" s="104">
        <f>SUMIF(N497:N523,M524,E497:E523)</f>
        <v>3697.7000000000003</v>
      </c>
      <c r="F524" s="104">
        <f>SUMIF(N497:N523,M524,F497:F523)</f>
        <v>949</v>
      </c>
      <c r="G524" s="16" t="s">
        <v>1367</v>
      </c>
      <c r="M524" s="20" t="s">
        <v>1368</v>
      </c>
      <c r="N524" s="20" t="s">
        <v>1129</v>
      </c>
    </row>
    <row r="525" spans="1:25" ht="12.6" customHeight="1" x14ac:dyDescent="0.3">
      <c r="A525" s="80"/>
      <c r="B525" s="80"/>
      <c r="C525" s="102"/>
      <c r="D525" s="102"/>
      <c r="E525" s="102"/>
      <c r="F525" s="102"/>
    </row>
    <row r="526" spans="1:25" ht="12.6" customHeight="1" x14ac:dyDescent="0.3">
      <c r="A526" s="80"/>
      <c r="B526" s="80"/>
      <c r="C526" s="80"/>
      <c r="D526" s="80"/>
      <c r="E526" s="80"/>
      <c r="F526" s="80"/>
    </row>
    <row r="527" spans="1:25" ht="12.6" customHeight="1" x14ac:dyDescent="0.3">
      <c r="A527" s="80"/>
      <c r="B527" s="80"/>
      <c r="C527" s="80"/>
      <c r="D527" s="80"/>
      <c r="E527" s="80"/>
      <c r="F527" s="80"/>
    </row>
    <row r="528" spans="1:25" ht="12.6" customHeight="1" x14ac:dyDescent="0.3">
      <c r="A528" s="58"/>
      <c r="B528" s="58"/>
      <c r="C528" s="58"/>
      <c r="D528" s="58"/>
      <c r="E528" s="58"/>
      <c r="F528" s="58"/>
    </row>
    <row r="529" spans="1:13" ht="12.6" customHeight="1" x14ac:dyDescent="0.3">
      <c r="A529" s="141" t="s">
        <v>1346</v>
      </c>
      <c r="B529" s="142"/>
      <c r="C529" s="55">
        <f>E529+D529+F529</f>
        <v>36282</v>
      </c>
      <c r="D529" s="54">
        <f>ROUNDDOWN(SUMIF(N497:N524,M529,D497:D524),0)</f>
        <v>31636</v>
      </c>
      <c r="E529" s="63">
        <f>ROUNDDOWN(SUMIF(N497:N524,M529,E497:E524),0)</f>
        <v>3697</v>
      </c>
      <c r="F529" s="55">
        <f>ROUNDDOWN(SUMIF(N497:N524,M529,F497:F524),0)</f>
        <v>949</v>
      </c>
      <c r="M529" s="20" t="s">
        <v>1129</v>
      </c>
    </row>
    <row r="530" spans="1:13" ht="12.6" customHeight="1" x14ac:dyDescent="0.3">
      <c r="A530" s="99" t="s">
        <v>56</v>
      </c>
      <c r="B530" s="100" t="s">
        <v>56</v>
      </c>
      <c r="C530" s="147">
        <f>C599</f>
        <v>67383</v>
      </c>
      <c r="D530" s="147">
        <f>D599</f>
        <v>66071</v>
      </c>
      <c r="E530" s="147">
        <f>E599</f>
        <v>1008</v>
      </c>
      <c r="F530" s="147">
        <f>F599</f>
        <v>304</v>
      </c>
      <c r="G530" s="36" t="str">
        <f>HYPERLINK("#G"&amp;ROW(G566),"_x0005_`BDCOD|D02200_x0007_`POSS|"&amp;ROW(G532)&amp;"_x0007_`POSE|"&amp;ROW(G566)&amp;"_x0007_`")</f>
        <v>_x0005_`BDCOD|D02200_x0007_`POSS|532_x0007_`POSE|566_x0007_`</v>
      </c>
    </row>
    <row r="531" spans="1:13" ht="12.6" customHeight="1" x14ac:dyDescent="0.3">
      <c r="A531" s="85"/>
      <c r="B531" s="100" t="s">
        <v>200</v>
      </c>
      <c r="C531" s="137"/>
      <c r="D531" s="137"/>
      <c r="E531" s="137"/>
      <c r="F531" s="137"/>
      <c r="M531" s="20" t="s">
        <v>199</v>
      </c>
    </row>
    <row r="532" spans="1:13" ht="12.6" customHeight="1" x14ac:dyDescent="0.3">
      <c r="A532" s="70"/>
      <c r="B532" s="79" t="s">
        <v>1582</v>
      </c>
      <c r="C532" s="102"/>
      <c r="D532" s="102"/>
      <c r="E532" s="102"/>
      <c r="F532" s="102"/>
      <c r="G532" s="16" t="s">
        <v>1581</v>
      </c>
    </row>
    <row r="533" spans="1:13" ht="12.6" customHeight="1" x14ac:dyDescent="0.3">
      <c r="A533" s="80"/>
      <c r="B533" s="80"/>
      <c r="C533" s="80"/>
      <c r="D533" s="80"/>
      <c r="E533" s="80"/>
      <c r="F533" s="80"/>
      <c r="G533" s="16" t="s">
        <v>1324</v>
      </c>
    </row>
    <row r="534" spans="1:13" ht="12.6" customHeight="1" x14ac:dyDescent="0.3">
      <c r="A534" s="70"/>
      <c r="B534" s="79" t="s">
        <v>1584</v>
      </c>
      <c r="C534" s="80"/>
      <c r="D534" s="80"/>
      <c r="E534" s="80"/>
      <c r="F534" s="80"/>
      <c r="G534" s="16" t="s">
        <v>1583</v>
      </c>
    </row>
    <row r="535" spans="1:13" ht="12.6" customHeight="1" x14ac:dyDescent="0.3">
      <c r="A535" s="80"/>
      <c r="B535" s="80"/>
      <c r="C535" s="80"/>
      <c r="D535" s="80"/>
      <c r="E535" s="80"/>
      <c r="F535" s="80"/>
      <c r="G535" s="16" t="s">
        <v>1324</v>
      </c>
    </row>
    <row r="536" spans="1:13" ht="12.6" customHeight="1" x14ac:dyDescent="0.3">
      <c r="A536" s="70"/>
      <c r="B536" s="79" t="s">
        <v>1586</v>
      </c>
      <c r="C536" s="80"/>
      <c r="D536" s="80"/>
      <c r="E536" s="80"/>
      <c r="F536" s="80"/>
      <c r="G536" s="16" t="s">
        <v>1585</v>
      </c>
    </row>
    <row r="537" spans="1:13" ht="12.6" customHeight="1" x14ac:dyDescent="0.3">
      <c r="A537" s="80"/>
      <c r="B537" s="80"/>
      <c r="C537" s="80"/>
      <c r="D537" s="80"/>
      <c r="E537" s="80"/>
      <c r="F537" s="80"/>
      <c r="G537" s="16" t="s">
        <v>1324</v>
      </c>
    </row>
    <row r="538" spans="1:13" ht="12.6" customHeight="1" x14ac:dyDescent="0.3">
      <c r="A538" s="80"/>
      <c r="B538" s="80"/>
      <c r="C538" s="80"/>
      <c r="D538" s="80"/>
      <c r="E538" s="80"/>
      <c r="F538" s="80"/>
      <c r="G538" s="16" t="s">
        <v>1324</v>
      </c>
    </row>
    <row r="539" spans="1:13" ht="12.6" customHeight="1" x14ac:dyDescent="0.3">
      <c r="A539" s="70"/>
      <c r="B539" s="79" t="s">
        <v>1588</v>
      </c>
      <c r="C539" s="80"/>
      <c r="D539" s="80"/>
      <c r="E539" s="80"/>
      <c r="F539" s="80"/>
      <c r="G539" s="16" t="s">
        <v>1587</v>
      </c>
    </row>
    <row r="540" spans="1:13" ht="12.6" customHeight="1" x14ac:dyDescent="0.3">
      <c r="A540" s="80"/>
      <c r="B540" s="80"/>
      <c r="C540" s="80"/>
      <c r="D540" s="80"/>
      <c r="E540" s="80"/>
      <c r="F540" s="80"/>
      <c r="G540" s="16" t="s">
        <v>1324</v>
      </c>
    </row>
    <row r="541" spans="1:13" ht="12.6" customHeight="1" x14ac:dyDescent="0.3">
      <c r="A541" s="70"/>
      <c r="B541" s="79" t="s">
        <v>1590</v>
      </c>
      <c r="C541" s="80"/>
      <c r="D541" s="80"/>
      <c r="E541" s="80"/>
      <c r="F541" s="80"/>
      <c r="G541" s="16" t="s">
        <v>1589</v>
      </c>
    </row>
    <row r="542" spans="1:13" ht="12.6" customHeight="1" x14ac:dyDescent="0.3">
      <c r="A542" s="80"/>
      <c r="B542" s="80"/>
      <c r="C542" s="80"/>
      <c r="D542" s="80"/>
      <c r="E542" s="80"/>
      <c r="F542" s="80"/>
      <c r="G542" s="16" t="s">
        <v>1324</v>
      </c>
    </row>
    <row r="543" spans="1:13" ht="12.6" customHeight="1" x14ac:dyDescent="0.3">
      <c r="A543" s="70"/>
      <c r="B543" s="79" t="s">
        <v>1592</v>
      </c>
      <c r="C543" s="80"/>
      <c r="D543" s="80"/>
      <c r="E543" s="80"/>
      <c r="F543" s="80"/>
      <c r="G543" s="16" t="s">
        <v>1591</v>
      </c>
    </row>
    <row r="544" spans="1:13" ht="12.6" customHeight="1" x14ac:dyDescent="0.3">
      <c r="A544" s="80"/>
      <c r="B544" s="80"/>
      <c r="C544" s="80"/>
      <c r="D544" s="80"/>
      <c r="E544" s="80"/>
      <c r="F544" s="80"/>
      <c r="G544" s="16" t="s">
        <v>1324</v>
      </c>
    </row>
    <row r="545" spans="1:25" ht="12.6" customHeight="1" x14ac:dyDescent="0.3">
      <c r="A545" s="80"/>
      <c r="B545" s="80"/>
      <c r="C545" s="80"/>
      <c r="D545" s="80"/>
      <c r="E545" s="80"/>
      <c r="F545" s="80"/>
      <c r="G545" s="16" t="s">
        <v>1324</v>
      </c>
    </row>
    <row r="546" spans="1:25" ht="12.6" customHeight="1" x14ac:dyDescent="0.3">
      <c r="A546" s="70"/>
      <c r="B546" s="79" t="s">
        <v>1594</v>
      </c>
      <c r="C546" s="80"/>
      <c r="D546" s="80"/>
      <c r="E546" s="80"/>
      <c r="F546" s="80"/>
      <c r="G546" s="16" t="s">
        <v>1593</v>
      </c>
    </row>
    <row r="547" spans="1:25" ht="12.6" customHeight="1" x14ac:dyDescent="0.3">
      <c r="A547" s="80"/>
      <c r="B547" s="80"/>
      <c r="C547" s="80"/>
      <c r="D547" s="80"/>
      <c r="E547" s="80"/>
      <c r="F547" s="80"/>
      <c r="G547" s="16" t="s">
        <v>1324</v>
      </c>
    </row>
    <row r="548" spans="1:25" ht="12.6" customHeight="1" x14ac:dyDescent="0.3">
      <c r="A548" s="70"/>
      <c r="B548" s="79" t="s">
        <v>1596</v>
      </c>
      <c r="C548" s="80"/>
      <c r="D548" s="80"/>
      <c r="E548" s="80"/>
      <c r="F548" s="80"/>
      <c r="G548" s="16" t="s">
        <v>1595</v>
      </c>
    </row>
    <row r="549" spans="1:25" ht="12.6" customHeight="1" x14ac:dyDescent="0.3">
      <c r="A549" s="80"/>
      <c r="B549" s="80"/>
      <c r="C549" s="80"/>
      <c r="D549" s="80"/>
      <c r="E549" s="80"/>
      <c r="F549" s="80"/>
      <c r="G549" s="16" t="s">
        <v>1324</v>
      </c>
    </row>
    <row r="550" spans="1:25" ht="12.6" customHeight="1" x14ac:dyDescent="0.3">
      <c r="A550" s="70"/>
      <c r="B550" s="79" t="s">
        <v>1598</v>
      </c>
      <c r="C550" s="80"/>
      <c r="D550" s="80"/>
      <c r="E550" s="80"/>
      <c r="F550" s="80"/>
      <c r="G550" s="16" t="s">
        <v>1597</v>
      </c>
    </row>
    <row r="551" spans="1:25" ht="12.6" customHeight="1" x14ac:dyDescent="0.3">
      <c r="A551" s="80"/>
      <c r="B551" s="80"/>
      <c r="C551" s="80"/>
      <c r="D551" s="80"/>
      <c r="E551" s="80"/>
      <c r="F551" s="80"/>
      <c r="G551" s="16" t="s">
        <v>1324</v>
      </c>
    </row>
    <row r="552" spans="1:25" ht="12.6" customHeight="1" x14ac:dyDescent="0.3">
      <c r="A552" s="70"/>
      <c r="B552" s="79" t="s">
        <v>1600</v>
      </c>
      <c r="C552" s="80"/>
      <c r="D552" s="80"/>
      <c r="E552" s="80"/>
      <c r="F552" s="80"/>
      <c r="G552" s="16" t="s">
        <v>1599</v>
      </c>
    </row>
    <row r="553" spans="1:25" ht="12.6" customHeight="1" x14ac:dyDescent="0.3">
      <c r="A553" s="80"/>
      <c r="B553" s="80"/>
      <c r="C553" s="80"/>
      <c r="D553" s="80"/>
      <c r="E553" s="80"/>
      <c r="F553" s="80"/>
      <c r="G553" s="16" t="s">
        <v>1324</v>
      </c>
    </row>
    <row r="554" spans="1:25" ht="12.6" customHeight="1" x14ac:dyDescent="0.3">
      <c r="A554" s="70" t="s">
        <v>660</v>
      </c>
      <c r="B554" s="101" t="str">
        <f>"  콘크리트공 : "&amp;TEXT(I554,"#,##0"&amp;IF(I554&lt;&gt;INT(I554),".###",""))&amp;" * (0.15 - 0.13) = "&amp;TEXT(C554,"#,##0.0")&amp;""</f>
        <v xml:space="preserve">  콘크리트공 : 261,283 * (0.15 - 0.13) = 5,225.6</v>
      </c>
      <c r="C554" s="103">
        <f>E554+D554+F554</f>
        <v>5225.6000000000004</v>
      </c>
      <c r="D554" s="103">
        <f>IF(H554=0,0,ROUNDDOWN(J554*H554,1))</f>
        <v>5225.6000000000004</v>
      </c>
      <c r="E554" s="103">
        <f>IF(H554=0,0,ROUNDDOWN(K554*H554,1))</f>
        <v>0</v>
      </c>
      <c r="F554" s="103">
        <f>IF(H554=0,0,ROUNDDOWN(L554*H554,1))</f>
        <v>0</v>
      </c>
      <c r="G554" s="16" t="s">
        <v>1601</v>
      </c>
      <c r="H554" s="108">
        <v>2.00000000001E-2</v>
      </c>
      <c r="I554" s="109">
        <f>K554+J554+L554</f>
        <v>261283</v>
      </c>
      <c r="J554" s="39">
        <f>노무비목록표!E7</f>
        <v>261283</v>
      </c>
      <c r="M554" s="20" t="s">
        <v>1151</v>
      </c>
      <c r="N554" s="20" t="s">
        <v>1345</v>
      </c>
      <c r="X554" s="110" t="str">
        <f>노무비목록표!B7&amp;" / "&amp;노무비목록표!C7</f>
        <v xml:space="preserve">콘크리트공 / </v>
      </c>
      <c r="Y554" s="19" t="str">
        <f ca="1">HYPERLINK("#"&amp;노무비목록표!G2&amp;"!A"&amp;ROW(노무비목록표!A7),"노무    4 →")</f>
        <v>노무    4 →</v>
      </c>
    </row>
    <row r="555" spans="1:25" ht="12.6" customHeight="1" x14ac:dyDescent="0.3">
      <c r="A555" s="80"/>
      <c r="B555" s="80"/>
      <c r="C555" s="80"/>
      <c r="D555" s="80"/>
      <c r="E555" s="80"/>
      <c r="F555" s="80"/>
      <c r="G555" s="16" t="s">
        <v>1324</v>
      </c>
    </row>
    <row r="556" spans="1:25" ht="12.6" customHeight="1" x14ac:dyDescent="0.3">
      <c r="A556" s="70" t="s">
        <v>666</v>
      </c>
      <c r="B556" s="101" t="str">
        <f>"  보통인부 : "&amp;TEXT(I556,"#,##0"&amp;IF(I556&lt;&gt;INT(I556),".###",""))&amp;" * (0.46 - 0.13) = "&amp;TEXT(C556,"#,##0.0")&amp;""</f>
        <v xml:space="preserve">  보통인부 : 165,545 * (0.46 - 0.13) = 54,629.8</v>
      </c>
      <c r="C556" s="103">
        <f>E556+D556+F556</f>
        <v>54629.8</v>
      </c>
      <c r="D556" s="103">
        <f>IF(H556=0,0,ROUNDDOWN(J556*H556,1))</f>
        <v>54629.8</v>
      </c>
      <c r="E556" s="103">
        <f>IF(H556=0,0,ROUNDDOWN(K556*H556,1))</f>
        <v>0</v>
      </c>
      <c r="F556" s="103">
        <f>IF(H556=0,0,ROUNDDOWN(L556*H556,1))</f>
        <v>0</v>
      </c>
      <c r="G556" s="16" t="s">
        <v>1602</v>
      </c>
      <c r="H556" s="108">
        <v>0.33000000000009999</v>
      </c>
      <c r="I556" s="109">
        <f>K556+J556+L556</f>
        <v>165545</v>
      </c>
      <c r="J556" s="39">
        <f>노무비목록표!E9</f>
        <v>165545</v>
      </c>
      <c r="M556" s="20" t="s">
        <v>1127</v>
      </c>
      <c r="N556" s="20" t="s">
        <v>1345</v>
      </c>
      <c r="X556" s="110" t="str">
        <f>노무비목록표!B9&amp;" / "&amp;노무비목록표!C9</f>
        <v xml:space="preserve">보통인부 / </v>
      </c>
      <c r="Y556" s="19" t="str">
        <f ca="1">HYPERLINK("#"&amp;노무비목록표!G2&amp;"!A"&amp;ROW(노무비목록표!A9),"노무    6 →")</f>
        <v>노무    6 →</v>
      </c>
    </row>
    <row r="557" spans="1:25" ht="12.6" customHeight="1" x14ac:dyDescent="0.3">
      <c r="A557" s="80"/>
      <c r="B557" s="80"/>
      <c r="C557" s="80"/>
      <c r="D557" s="80"/>
      <c r="E557" s="80"/>
      <c r="F557" s="80"/>
      <c r="G557" s="16" t="s">
        <v>1324</v>
      </c>
    </row>
    <row r="558" spans="1:25" ht="12.6" customHeight="1" x14ac:dyDescent="0.3">
      <c r="A558" s="70"/>
      <c r="B558" s="79" t="s">
        <v>1344</v>
      </c>
      <c r="C558" s="104">
        <f>E558+D558+F558</f>
        <v>59855.4</v>
      </c>
      <c r="D558" s="104">
        <f>SUMIF(N532:N557,M558,D532:D557)</f>
        <v>59855.4</v>
      </c>
      <c r="E558" s="104">
        <f>SUMIF(N532:N557,M558,E532:E557)</f>
        <v>0</v>
      </c>
      <c r="F558" s="104">
        <f>SUMIF(N532:N557,M558,F532:F557)</f>
        <v>0</v>
      </c>
      <c r="G558" s="16" t="s">
        <v>1603</v>
      </c>
      <c r="M558" s="20" t="s">
        <v>1345</v>
      </c>
      <c r="N558" s="20" t="s">
        <v>1368</v>
      </c>
    </row>
    <row r="559" spans="1:25" ht="12.6" customHeight="1" x14ac:dyDescent="0.3">
      <c r="A559" s="80"/>
      <c r="B559" s="80"/>
      <c r="C559" s="102"/>
      <c r="D559" s="102"/>
      <c r="E559" s="102"/>
      <c r="F559" s="102"/>
      <c r="G559" s="16" t="s">
        <v>1324</v>
      </c>
    </row>
    <row r="560" spans="1:25" ht="12.6" customHeight="1" x14ac:dyDescent="0.3">
      <c r="A560" s="70"/>
      <c r="B560" s="79" t="s">
        <v>1605</v>
      </c>
      <c r="C560" s="80"/>
      <c r="D560" s="80"/>
      <c r="E560" s="80"/>
      <c r="F560" s="80"/>
      <c r="G560" s="16" t="s">
        <v>1604</v>
      </c>
    </row>
    <row r="561" spans="1:25" ht="12.6" customHeight="1" x14ac:dyDescent="0.3">
      <c r="A561" s="80"/>
      <c r="B561" s="80"/>
      <c r="C561" s="80"/>
      <c r="D561" s="80"/>
      <c r="E561" s="80"/>
      <c r="F561" s="80"/>
      <c r="G561" s="16" t="s">
        <v>1324</v>
      </c>
    </row>
    <row r="562" spans="1:25" ht="12.6" customHeight="1" x14ac:dyDescent="0.3">
      <c r="A562" s="70" t="s">
        <v>1155</v>
      </c>
      <c r="B562" s="101" t="str">
        <f>"  콘크리트믹서사용 :  "&amp;TEXT(I562,"#,##0"&amp;IF(I562&lt;&gt;INT(I562),".###",""))&amp;" * 1.0 = "&amp;TEXT(C562,"#,##0.0")&amp;""</f>
        <v xml:space="preserve">  콘크리트믹서사용 :  7,528 * 1.0 = 7,528.0</v>
      </c>
      <c r="C562" s="103">
        <f>E562+D562+F562</f>
        <v>7528</v>
      </c>
      <c r="D562" s="103">
        <f>IF(H562=0,0,ROUNDDOWN(J562*H562,1))</f>
        <v>6216</v>
      </c>
      <c r="E562" s="103">
        <f>IF(H562=0,0,ROUNDDOWN(K562*H562,1))</f>
        <v>1008</v>
      </c>
      <c r="F562" s="103">
        <f>IF(H562=0,0,ROUNDDOWN(L562*H562,1))</f>
        <v>304</v>
      </c>
      <c r="G562" s="16" t="s">
        <v>1606</v>
      </c>
      <c r="H562" s="108">
        <v>1</v>
      </c>
      <c r="I562" s="109">
        <f>K562+J562+L562</f>
        <v>7528</v>
      </c>
      <c r="J562" s="39">
        <f>단가산출근거목록표!F4</f>
        <v>6216</v>
      </c>
      <c r="K562" s="39">
        <f>단가산출근거목록표!G4</f>
        <v>1008</v>
      </c>
      <c r="L562" s="39">
        <f>단가산출근거목록표!H4</f>
        <v>304</v>
      </c>
      <c r="M562" s="20" t="s">
        <v>1154</v>
      </c>
      <c r="N562" s="20" t="s">
        <v>1345</v>
      </c>
      <c r="X562" s="110" t="str">
        <f>단가산출근거목록표!B4&amp;" / "&amp;단가산출근거목록표!C4</f>
        <v>콘크리트믹서사용 / 0.45 m3</v>
      </c>
      <c r="Y562" s="19" t="str">
        <f ca="1">HYPERLINK("#"&amp;단가산출근거목록표!J2&amp;"!A"&amp;ROW(단가산출근거목록표!A4),"산근    1 →")</f>
        <v>산근    1 →</v>
      </c>
    </row>
    <row r="563" spans="1:25" ht="12.6" customHeight="1" x14ac:dyDescent="0.3">
      <c r="A563" s="80"/>
      <c r="B563" s="80"/>
      <c r="C563" s="80"/>
      <c r="D563" s="80"/>
      <c r="E563" s="80"/>
      <c r="F563" s="80"/>
      <c r="G563" s="16" t="s">
        <v>1324</v>
      </c>
    </row>
    <row r="564" spans="1:25" ht="12.6" customHeight="1" x14ac:dyDescent="0.3">
      <c r="A564" s="70"/>
      <c r="B564" s="79" t="s">
        <v>1344</v>
      </c>
      <c r="C564" s="104">
        <f>E564+D564+F564</f>
        <v>7528</v>
      </c>
      <c r="D564" s="104">
        <f>SUMIF(N559:N563,M564,D559:D563)</f>
        <v>6216</v>
      </c>
      <c r="E564" s="104">
        <f>SUMIF(N559:N563,M564,E559:E563)</f>
        <v>1008</v>
      </c>
      <c r="F564" s="104">
        <f>SUMIF(N559:N563,M564,F559:F563)</f>
        <v>304</v>
      </c>
      <c r="G564" s="16" t="s">
        <v>1603</v>
      </c>
      <c r="M564" s="20" t="s">
        <v>1345</v>
      </c>
      <c r="N564" s="20" t="s">
        <v>1368</v>
      </c>
    </row>
    <row r="565" spans="1:25" ht="12.6" customHeight="1" x14ac:dyDescent="0.3">
      <c r="A565" s="80"/>
      <c r="B565" s="80"/>
      <c r="C565" s="102"/>
      <c r="D565" s="102"/>
      <c r="E565" s="102"/>
      <c r="F565" s="102"/>
      <c r="G565" s="16" t="s">
        <v>1324</v>
      </c>
    </row>
    <row r="566" spans="1:25" ht="12.6" customHeight="1" x14ac:dyDescent="0.3">
      <c r="A566" s="70"/>
      <c r="B566" s="79" t="s">
        <v>1171</v>
      </c>
      <c r="C566" s="104">
        <f>E566+D566+F566</f>
        <v>67383.399999999994</v>
      </c>
      <c r="D566" s="104">
        <f>SUMIF(N532:N565,M566,D532:D565)</f>
        <v>66071.399999999994</v>
      </c>
      <c r="E566" s="104">
        <f>SUMIF(N532:N565,M566,E532:E565)</f>
        <v>1008</v>
      </c>
      <c r="F566" s="104">
        <f>SUMIF(N532:N565,M566,F532:F565)</f>
        <v>304</v>
      </c>
      <c r="G566" s="16" t="s">
        <v>1607</v>
      </c>
      <c r="M566" s="20" t="s">
        <v>1368</v>
      </c>
      <c r="N566" s="20" t="s">
        <v>1129</v>
      </c>
    </row>
    <row r="567" spans="1:25" ht="12.6" customHeight="1" x14ac:dyDescent="0.3">
      <c r="A567" s="80"/>
      <c r="B567" s="80"/>
      <c r="C567" s="102"/>
      <c r="D567" s="102"/>
      <c r="E567" s="102"/>
      <c r="F567" s="102"/>
    </row>
    <row r="568" spans="1:25" ht="12.6" customHeight="1" x14ac:dyDescent="0.3">
      <c r="A568" s="80"/>
      <c r="B568" s="80"/>
      <c r="C568" s="80"/>
      <c r="D568" s="80"/>
      <c r="E568" s="80"/>
      <c r="F568" s="80"/>
    </row>
    <row r="569" spans="1:25" ht="12.6" customHeight="1" x14ac:dyDescent="0.3">
      <c r="A569" s="80"/>
      <c r="B569" s="80"/>
      <c r="C569" s="80"/>
      <c r="D569" s="80"/>
      <c r="E569" s="80"/>
      <c r="F569" s="80"/>
    </row>
    <row r="570" spans="1:25" ht="12.6" customHeight="1" x14ac:dyDescent="0.3">
      <c r="A570" s="80"/>
      <c r="B570" s="80"/>
      <c r="C570" s="80"/>
      <c r="D570" s="80"/>
      <c r="E570" s="80"/>
      <c r="F570" s="80"/>
    </row>
    <row r="571" spans="1:25" ht="12.6" customHeight="1" x14ac:dyDescent="0.3">
      <c r="A571" s="80"/>
      <c r="B571" s="80"/>
      <c r="C571" s="80"/>
      <c r="D571" s="80"/>
      <c r="E571" s="80"/>
      <c r="F571" s="80"/>
    </row>
    <row r="572" spans="1:25" ht="12.6" customHeight="1" x14ac:dyDescent="0.3">
      <c r="A572" s="80"/>
      <c r="B572" s="80"/>
      <c r="C572" s="80"/>
      <c r="D572" s="80"/>
      <c r="E572" s="80"/>
      <c r="F572" s="80"/>
    </row>
    <row r="573" spans="1:25" ht="12.6" customHeight="1" x14ac:dyDescent="0.3">
      <c r="A573" s="80"/>
      <c r="B573" s="80"/>
      <c r="C573" s="80"/>
      <c r="D573" s="80"/>
      <c r="E573" s="80"/>
      <c r="F573" s="80"/>
    </row>
    <row r="574" spans="1:25" ht="12.6" customHeight="1" x14ac:dyDescent="0.3">
      <c r="A574" s="80"/>
      <c r="B574" s="80"/>
      <c r="C574" s="80"/>
      <c r="D574" s="80"/>
      <c r="E574" s="80"/>
      <c r="F574" s="80"/>
    </row>
    <row r="575" spans="1:25" ht="12.6" customHeight="1" x14ac:dyDescent="0.3">
      <c r="A575" s="80"/>
      <c r="B575" s="80"/>
      <c r="C575" s="80"/>
      <c r="D575" s="80"/>
      <c r="E575" s="80"/>
      <c r="F575" s="80"/>
    </row>
    <row r="576" spans="1:25" ht="12.6" customHeight="1" x14ac:dyDescent="0.3">
      <c r="A576" s="80"/>
      <c r="B576" s="80"/>
      <c r="C576" s="80"/>
      <c r="D576" s="80"/>
      <c r="E576" s="80"/>
      <c r="F576" s="80"/>
    </row>
    <row r="577" spans="1:6" ht="12.6" customHeight="1" x14ac:dyDescent="0.3">
      <c r="A577" s="80"/>
      <c r="B577" s="80"/>
      <c r="C577" s="80"/>
      <c r="D577" s="80"/>
      <c r="E577" s="80"/>
      <c r="F577" s="80"/>
    </row>
    <row r="578" spans="1:6" ht="12.6" customHeight="1" x14ac:dyDescent="0.3">
      <c r="A578" s="80"/>
      <c r="B578" s="80"/>
      <c r="C578" s="80"/>
      <c r="D578" s="80"/>
      <c r="E578" s="80"/>
      <c r="F578" s="80"/>
    </row>
    <row r="579" spans="1:6" ht="12.6" customHeight="1" x14ac:dyDescent="0.3">
      <c r="A579" s="80"/>
      <c r="B579" s="80"/>
      <c r="C579" s="80"/>
      <c r="D579" s="80"/>
      <c r="E579" s="80"/>
      <c r="F579" s="80"/>
    </row>
    <row r="580" spans="1:6" ht="12.6" customHeight="1" x14ac:dyDescent="0.3">
      <c r="A580" s="80"/>
      <c r="B580" s="80"/>
      <c r="C580" s="80"/>
      <c r="D580" s="80"/>
      <c r="E580" s="80"/>
      <c r="F580" s="80"/>
    </row>
    <row r="581" spans="1:6" ht="12.6" customHeight="1" x14ac:dyDescent="0.3">
      <c r="A581" s="80"/>
      <c r="B581" s="80"/>
      <c r="C581" s="80"/>
      <c r="D581" s="80"/>
      <c r="E581" s="80"/>
      <c r="F581" s="80"/>
    </row>
    <row r="582" spans="1:6" ht="12.6" customHeight="1" x14ac:dyDescent="0.3">
      <c r="A582" s="80"/>
      <c r="B582" s="80"/>
      <c r="C582" s="80"/>
      <c r="D582" s="80"/>
      <c r="E582" s="80"/>
      <c r="F582" s="80"/>
    </row>
    <row r="583" spans="1:6" ht="12.6" customHeight="1" x14ac:dyDescent="0.3">
      <c r="A583" s="80"/>
      <c r="B583" s="80"/>
      <c r="C583" s="80"/>
      <c r="D583" s="80"/>
      <c r="E583" s="80"/>
      <c r="F583" s="80"/>
    </row>
    <row r="584" spans="1:6" ht="12.6" customHeight="1" x14ac:dyDescent="0.3">
      <c r="A584" s="80"/>
      <c r="B584" s="80"/>
      <c r="C584" s="80"/>
      <c r="D584" s="80"/>
      <c r="E584" s="80"/>
      <c r="F584" s="80"/>
    </row>
    <row r="585" spans="1:6" ht="12.6" customHeight="1" x14ac:dyDescent="0.3">
      <c r="A585" s="80"/>
      <c r="B585" s="80"/>
      <c r="C585" s="80"/>
      <c r="D585" s="80"/>
      <c r="E585" s="80"/>
      <c r="F585" s="80"/>
    </row>
    <row r="586" spans="1:6" ht="12.6" customHeight="1" x14ac:dyDescent="0.3">
      <c r="A586" s="80"/>
      <c r="B586" s="80"/>
      <c r="C586" s="80"/>
      <c r="D586" s="80"/>
      <c r="E586" s="80"/>
      <c r="F586" s="80"/>
    </row>
    <row r="587" spans="1:6" ht="12.6" customHeight="1" x14ac:dyDescent="0.3">
      <c r="A587" s="80"/>
      <c r="B587" s="80"/>
      <c r="C587" s="80"/>
      <c r="D587" s="80"/>
      <c r="E587" s="80"/>
      <c r="F587" s="80"/>
    </row>
    <row r="588" spans="1:6" ht="12.6" customHeight="1" x14ac:dyDescent="0.3">
      <c r="A588" s="80"/>
      <c r="B588" s="80"/>
      <c r="C588" s="80"/>
      <c r="D588" s="80"/>
      <c r="E588" s="80"/>
      <c r="F588" s="80"/>
    </row>
    <row r="589" spans="1:6" ht="12.6" customHeight="1" x14ac:dyDescent="0.3">
      <c r="A589" s="80"/>
      <c r="B589" s="80"/>
      <c r="C589" s="80"/>
      <c r="D589" s="80"/>
      <c r="E589" s="80"/>
      <c r="F589" s="80"/>
    </row>
    <row r="590" spans="1:6" ht="12.6" customHeight="1" x14ac:dyDescent="0.3">
      <c r="A590" s="80"/>
      <c r="B590" s="80"/>
      <c r="C590" s="80"/>
      <c r="D590" s="80"/>
      <c r="E590" s="80"/>
      <c r="F590" s="80"/>
    </row>
    <row r="591" spans="1:6" ht="12.6" customHeight="1" x14ac:dyDescent="0.3">
      <c r="A591" s="80"/>
      <c r="B591" s="80"/>
      <c r="C591" s="80"/>
      <c r="D591" s="80"/>
      <c r="E591" s="80"/>
      <c r="F591" s="80"/>
    </row>
    <row r="592" spans="1:6" ht="12.6" customHeight="1" x14ac:dyDescent="0.3">
      <c r="A592" s="80"/>
      <c r="B592" s="80"/>
      <c r="C592" s="80"/>
      <c r="D592" s="80"/>
      <c r="E592" s="80"/>
      <c r="F592" s="80"/>
    </row>
    <row r="593" spans="1:25" ht="12.6" customHeight="1" x14ac:dyDescent="0.3">
      <c r="A593" s="80"/>
      <c r="B593" s="80"/>
      <c r="C593" s="80"/>
      <c r="D593" s="80"/>
      <c r="E593" s="80"/>
      <c r="F593" s="80"/>
    </row>
    <row r="594" spans="1:25" ht="12.6" customHeight="1" x14ac:dyDescent="0.3">
      <c r="A594" s="80"/>
      <c r="B594" s="80"/>
      <c r="C594" s="80"/>
      <c r="D594" s="80"/>
      <c r="E594" s="80"/>
      <c r="F594" s="80"/>
    </row>
    <row r="595" spans="1:25" ht="12.6" customHeight="1" x14ac:dyDescent="0.3">
      <c r="A595" s="80"/>
      <c r="B595" s="80"/>
      <c r="C595" s="80"/>
      <c r="D595" s="80"/>
      <c r="E595" s="80"/>
      <c r="F595" s="80"/>
    </row>
    <row r="596" spans="1:25" ht="12.6" customHeight="1" x14ac:dyDescent="0.3">
      <c r="A596" s="80"/>
      <c r="B596" s="80"/>
      <c r="C596" s="80"/>
      <c r="D596" s="80"/>
      <c r="E596" s="80"/>
      <c r="F596" s="80"/>
    </row>
    <row r="597" spans="1:25" ht="12.6" customHeight="1" x14ac:dyDescent="0.3">
      <c r="A597" s="80"/>
      <c r="B597" s="80"/>
      <c r="C597" s="80"/>
      <c r="D597" s="80"/>
      <c r="E597" s="80"/>
      <c r="F597" s="80"/>
    </row>
    <row r="598" spans="1:25" ht="12.6" customHeight="1" x14ac:dyDescent="0.3">
      <c r="A598" s="58"/>
      <c r="B598" s="58"/>
      <c r="C598" s="58"/>
      <c r="D598" s="58"/>
      <c r="E598" s="58"/>
      <c r="F598" s="58"/>
    </row>
    <row r="599" spans="1:25" ht="12.6" customHeight="1" x14ac:dyDescent="0.3">
      <c r="A599" s="141" t="s">
        <v>1346</v>
      </c>
      <c r="B599" s="142"/>
      <c r="C599" s="55">
        <f>E599+D599+F599</f>
        <v>67383</v>
      </c>
      <c r="D599" s="54">
        <f>ROUNDDOWN(SUMIF(N532:N566,M599,D532:D566),0)</f>
        <v>66071</v>
      </c>
      <c r="E599" s="63">
        <f>ROUNDDOWN(SUMIF(N532:N566,M599,E532:E566),0)</f>
        <v>1008</v>
      </c>
      <c r="F599" s="55">
        <f>ROUNDDOWN(SUMIF(N532:N566,M599,F532:F566),0)</f>
        <v>304</v>
      </c>
      <c r="M599" s="20" t="s">
        <v>1129</v>
      </c>
    </row>
    <row r="600" spans="1:25" ht="12.6" customHeight="1" x14ac:dyDescent="0.3">
      <c r="A600" s="99" t="s">
        <v>60</v>
      </c>
      <c r="B600" s="100" t="s">
        <v>60</v>
      </c>
      <c r="C600" s="147">
        <f>C634</f>
        <v>41739</v>
      </c>
      <c r="D600" s="147">
        <f>D634</f>
        <v>36155</v>
      </c>
      <c r="E600" s="147">
        <f>E634</f>
        <v>4500</v>
      </c>
      <c r="F600" s="147">
        <f>F634</f>
        <v>1084</v>
      </c>
      <c r="G600" s="36" t="str">
        <f>HYPERLINK("#G"&amp;ROW(G629),"_x0005_`BDCOD|D02246_x0007_`POSS|"&amp;ROW(G602)&amp;"_x0007_`POSE|"&amp;ROW(G629)&amp;"_x0007_`")</f>
        <v>_x0005_`BDCOD|D02246_x0007_`POSS|602_x0007_`POSE|629_x0007_`</v>
      </c>
    </row>
    <row r="601" spans="1:25" ht="12.6" customHeight="1" x14ac:dyDescent="0.3">
      <c r="A601" s="85"/>
      <c r="B601" s="100" t="s">
        <v>203</v>
      </c>
      <c r="C601" s="137"/>
      <c r="D601" s="137"/>
      <c r="E601" s="137"/>
      <c r="F601" s="137"/>
      <c r="M601" s="20" t="s">
        <v>202</v>
      </c>
    </row>
    <row r="602" spans="1:25" ht="12.6" customHeight="1" x14ac:dyDescent="0.3">
      <c r="A602" s="70"/>
      <c r="B602" s="79" t="s">
        <v>1560</v>
      </c>
      <c r="C602" s="102"/>
      <c r="D602" s="102"/>
      <c r="E602" s="102"/>
      <c r="F602" s="102"/>
      <c r="G602" s="16" t="s">
        <v>1559</v>
      </c>
    </row>
    <row r="603" spans="1:25" ht="12.6" customHeight="1" x14ac:dyDescent="0.3">
      <c r="A603" s="80"/>
      <c r="B603" s="80"/>
      <c r="C603" s="80"/>
      <c r="D603" s="80"/>
      <c r="E603" s="80"/>
      <c r="F603" s="80"/>
      <c r="G603" s="16" t="s">
        <v>1324</v>
      </c>
    </row>
    <row r="604" spans="1:25" ht="12.6" customHeight="1" x14ac:dyDescent="0.3">
      <c r="A604" s="70"/>
      <c r="B604" s="79" t="s">
        <v>1609</v>
      </c>
      <c r="C604" s="80"/>
      <c r="D604" s="80"/>
      <c r="E604" s="80"/>
      <c r="F604" s="80"/>
      <c r="G604" s="16" t="s">
        <v>1608</v>
      </c>
    </row>
    <row r="605" spans="1:25" ht="12.6" customHeight="1" x14ac:dyDescent="0.3">
      <c r="A605" s="80"/>
      <c r="B605" s="80"/>
      <c r="C605" s="80"/>
      <c r="D605" s="80"/>
      <c r="E605" s="80"/>
      <c r="F605" s="80"/>
      <c r="G605" s="16" t="s">
        <v>1324</v>
      </c>
    </row>
    <row r="606" spans="1:25" ht="12.6" customHeight="1" x14ac:dyDescent="0.3">
      <c r="A606" s="70"/>
      <c r="B606" s="79" t="s">
        <v>1564</v>
      </c>
      <c r="C606" s="80"/>
      <c r="D606" s="80"/>
      <c r="E606" s="80"/>
      <c r="F606" s="80"/>
      <c r="G606" s="16" t="s">
        <v>1563</v>
      </c>
    </row>
    <row r="607" spans="1:25" ht="12.6" customHeight="1" x14ac:dyDescent="0.3">
      <c r="A607" s="80"/>
      <c r="B607" s="80"/>
      <c r="C607" s="80"/>
      <c r="D607" s="80"/>
      <c r="E607" s="80"/>
      <c r="F607" s="80"/>
      <c r="G607" s="16" t="s">
        <v>1324</v>
      </c>
    </row>
    <row r="608" spans="1:25" ht="12.6" customHeight="1" x14ac:dyDescent="0.3">
      <c r="A608" s="70" t="s">
        <v>1566</v>
      </c>
      <c r="B608" s="101" t="str">
        <f>" 패널(유로폼) : "&amp;TEXT(I608,"#,##0"&amp;IF(I608&lt;&gt;INT(I608),".###",""))&amp;" * 0.89 / 10 = "&amp;TEXT(C608,"#,##0.0")&amp;""</f>
        <v xml:space="preserve"> 패널(유로폼) : 31,500 * 0.89 / 10 = 2,803.5</v>
      </c>
      <c r="C608" s="103">
        <f>E608+D608+F608</f>
        <v>2803.5</v>
      </c>
      <c r="D608" s="103">
        <f>IF(H608=0,0,ROUNDDOWN(J608*H608,1))</f>
        <v>0</v>
      </c>
      <c r="E608" s="103">
        <f>IF(H608=0,0,ROUNDDOWN(K608*H608,1))</f>
        <v>2803.5</v>
      </c>
      <c r="F608" s="103">
        <f>IF(H608=0,0,ROUNDDOWN(L608*H608,1))</f>
        <v>0</v>
      </c>
      <c r="G608" s="16" t="s">
        <v>1565</v>
      </c>
      <c r="H608" s="108">
        <v>8.9000000000099999E-2</v>
      </c>
      <c r="I608" s="109">
        <f>K608+J608+L608</f>
        <v>31500</v>
      </c>
      <c r="K608" s="39">
        <f>재료비목록표!E19</f>
        <v>31500</v>
      </c>
      <c r="M608" s="20" t="s">
        <v>1567</v>
      </c>
      <c r="N608" s="20" t="s">
        <v>1345</v>
      </c>
      <c r="O608" s="20" t="s">
        <v>1309</v>
      </c>
      <c r="X608" s="110" t="str">
        <f>재료비목록표!B19&amp;" / "&amp;재료비목록표!C19</f>
        <v>패널(유로폼) / 600*1200mm</v>
      </c>
      <c r="Y608" s="19" t="str">
        <f ca="1">HYPERLINK("#"&amp;재료비목록표!G2&amp;"!A"&amp;ROW(재료비목록표!A19),"자재   16 →")</f>
        <v>자재   16 →</v>
      </c>
    </row>
    <row r="609" spans="1:25" ht="12.6" customHeight="1" x14ac:dyDescent="0.3">
      <c r="A609" s="80"/>
      <c r="B609" s="80"/>
      <c r="C609" s="80"/>
      <c r="D609" s="80"/>
      <c r="E609" s="80"/>
      <c r="F609" s="80"/>
      <c r="G609" s="16" t="s">
        <v>1324</v>
      </c>
    </row>
    <row r="610" spans="1:25" ht="12.6" customHeight="1" x14ac:dyDescent="0.3">
      <c r="A610" s="70" t="s">
        <v>1611</v>
      </c>
      <c r="B610" s="101" t="str">
        <f>" 내부코너패널(유로폼) : "&amp;TEXT(I610,"#,##0"&amp;IF(I610&lt;&gt;INT(I610),".###",""))&amp;" * 0.03 / 10 = "&amp;TEXT(C610,"#,##0.0")&amp;""</f>
        <v xml:space="preserve"> 내부코너패널(유로폼) : 21,000 * 0.03 / 10 = 63.0</v>
      </c>
      <c r="C610" s="103">
        <f>E610+D610+F610</f>
        <v>63</v>
      </c>
      <c r="D610" s="103">
        <f>IF(H610=0,0,ROUNDDOWN(J610*H610,1))</f>
        <v>0</v>
      </c>
      <c r="E610" s="103">
        <f>IF(H610=0,0,ROUNDDOWN(K610*H610,1))</f>
        <v>63</v>
      </c>
      <c r="F610" s="103">
        <f>IF(H610=0,0,ROUNDDOWN(L610*H610,1))</f>
        <v>0</v>
      </c>
      <c r="G610" s="16" t="s">
        <v>1610</v>
      </c>
      <c r="H610" s="108">
        <v>3.0000000000999999E-3</v>
      </c>
      <c r="I610" s="109">
        <f>K610+J610+L610</f>
        <v>21000</v>
      </c>
      <c r="K610" s="39">
        <f>재료비목록표!E30</f>
        <v>21000</v>
      </c>
      <c r="M610" s="20" t="s">
        <v>1612</v>
      </c>
      <c r="N610" s="20" t="s">
        <v>1345</v>
      </c>
      <c r="O610" s="20" t="s">
        <v>1309</v>
      </c>
      <c r="X610" s="110" t="str">
        <f>재료비목록표!B30&amp;" / "&amp;재료비목록표!C30</f>
        <v>내부코너패널(유로폼) / (100x200)x1200mm</v>
      </c>
      <c r="Y610" s="19" t="str">
        <f ca="1">HYPERLINK("#"&amp;재료비목록표!G2&amp;"!A"&amp;ROW(재료비목록표!A30),"자재   27 →")</f>
        <v>자재   27 →</v>
      </c>
    </row>
    <row r="611" spans="1:25" ht="12.6" customHeight="1" x14ac:dyDescent="0.3">
      <c r="A611" s="80"/>
      <c r="B611" s="80"/>
      <c r="C611" s="80"/>
      <c r="D611" s="80"/>
      <c r="E611" s="80"/>
      <c r="F611" s="80"/>
      <c r="G611" s="16" t="s">
        <v>1324</v>
      </c>
    </row>
    <row r="612" spans="1:25" ht="12.6" customHeight="1" x14ac:dyDescent="0.3">
      <c r="A612" s="70"/>
      <c r="B612" s="101" t="str">
        <f>" 부자재(웨지핀, 플랫타이, 강관파이프, 훅) : "&amp;TEXT(I612,"#,##0.0")&amp;" * 52 %  = "&amp;TEXT(C612,"#,##0.0")&amp;""</f>
        <v xml:space="preserve"> 부자재(웨지핀, 플랫타이, 강관파이프, 훅) : 2,866.5 * 52 %  = 1,490.5</v>
      </c>
      <c r="C612" s="103">
        <f>E612+D612+F612</f>
        <v>1490.5</v>
      </c>
      <c r="D612" s="103">
        <f>IF(H612=0,0,ROUNDDOWN(J612*H612/100,1))</f>
        <v>0</v>
      </c>
      <c r="E612" s="103">
        <f>IF(H612=0,0,ROUNDDOWN(K612*H612/100,1))</f>
        <v>1490.5</v>
      </c>
      <c r="F612" s="103">
        <f>IF(H612=0,0,ROUNDDOWN(L612*H612/100,1))</f>
        <v>0</v>
      </c>
      <c r="G612" s="16" t="s">
        <v>1613</v>
      </c>
      <c r="H612" s="108">
        <v>52</v>
      </c>
      <c r="I612" s="109">
        <f>K612+J612+L612</f>
        <v>2866.5</v>
      </c>
      <c r="J612" s="37">
        <v>0</v>
      </c>
      <c r="K612" s="39">
        <f>SUMIF(O602:O611,"1_01",E602:E611)</f>
        <v>2866.5</v>
      </c>
      <c r="L612" s="37">
        <v>0</v>
      </c>
      <c r="M612" s="20" t="s">
        <v>1572</v>
      </c>
      <c r="N612" s="20" t="s">
        <v>1345</v>
      </c>
    </row>
    <row r="613" spans="1:25" ht="12.6" customHeight="1" x14ac:dyDescent="0.3">
      <c r="A613" s="80"/>
      <c r="B613" s="80"/>
      <c r="C613" s="80"/>
      <c r="D613" s="80"/>
      <c r="E613" s="80"/>
      <c r="F613" s="80"/>
      <c r="G613" s="16" t="s">
        <v>1324</v>
      </c>
    </row>
    <row r="614" spans="1:25" ht="12.6" customHeight="1" x14ac:dyDescent="0.3">
      <c r="A614" s="70"/>
      <c r="B614" s="101" t="str">
        <f>" 소모자재(박리재 등) : "&amp;TEXT(I614,"#,##0.0")&amp;" * 5 %  = "&amp;TEXT(C614,"#,##0.0")&amp;""</f>
        <v xml:space="preserve"> 소모자재(박리재 등) : 2,866.5 * 5 %  = 143.3</v>
      </c>
      <c r="C614" s="103">
        <f>E614+D614+F614</f>
        <v>143.30000000000001</v>
      </c>
      <c r="D614" s="103">
        <f>IF(H614=0,0,ROUNDDOWN(J614*H614/100,1))</f>
        <v>0</v>
      </c>
      <c r="E614" s="103">
        <f>IF(H614=0,0,ROUNDDOWN(K614*H614/100,1))</f>
        <v>143.30000000000001</v>
      </c>
      <c r="F614" s="103">
        <f>IF(H614=0,0,ROUNDDOWN(L614*H614/100,1))</f>
        <v>0</v>
      </c>
      <c r="G614" s="16" t="s">
        <v>1573</v>
      </c>
      <c r="H614" s="108">
        <v>5</v>
      </c>
      <c r="I614" s="109">
        <f>K614+J614+L614</f>
        <v>2866.5</v>
      </c>
      <c r="J614" s="37">
        <v>0</v>
      </c>
      <c r="K614" s="39">
        <f>SUMIF(O602:O613,"1_01",E602:E613)</f>
        <v>2866.5</v>
      </c>
      <c r="L614" s="37">
        <v>0</v>
      </c>
      <c r="M614" s="20" t="s">
        <v>1572</v>
      </c>
      <c r="N614" s="20" t="s">
        <v>1345</v>
      </c>
    </row>
    <row r="615" spans="1:25" ht="12.6" customHeight="1" x14ac:dyDescent="0.3">
      <c r="A615" s="80"/>
      <c r="B615" s="80"/>
      <c r="C615" s="80"/>
      <c r="D615" s="80"/>
      <c r="E615" s="80"/>
      <c r="F615" s="80"/>
      <c r="G615" s="16" t="s">
        <v>1324</v>
      </c>
    </row>
    <row r="616" spans="1:25" ht="12.6" customHeight="1" x14ac:dyDescent="0.3">
      <c r="A616" s="70"/>
      <c r="B616" s="79" t="s">
        <v>1344</v>
      </c>
      <c r="C616" s="104">
        <f>E616+D616+F616</f>
        <v>4500.3</v>
      </c>
      <c r="D616" s="104">
        <f>SUMIF(N602:N615,M616,D602:D615)</f>
        <v>0</v>
      </c>
      <c r="E616" s="104">
        <f>SUMIF(N602:N615,M616,E602:E615)</f>
        <v>4500.3</v>
      </c>
      <c r="F616" s="104">
        <f>SUMIF(N602:N615,M616,F602:F615)</f>
        <v>0</v>
      </c>
      <c r="G616" s="16" t="s">
        <v>1343</v>
      </c>
      <c r="M616" s="20" t="s">
        <v>1345</v>
      </c>
      <c r="N616" s="20" t="s">
        <v>1368</v>
      </c>
    </row>
    <row r="617" spans="1:25" ht="12.6" customHeight="1" x14ac:dyDescent="0.3">
      <c r="A617" s="80"/>
      <c r="B617" s="80"/>
      <c r="C617" s="102"/>
      <c r="D617" s="102"/>
      <c r="E617" s="102"/>
      <c r="F617" s="102"/>
      <c r="G617" s="16" t="s">
        <v>1324</v>
      </c>
    </row>
    <row r="618" spans="1:25" ht="12.6" customHeight="1" x14ac:dyDescent="0.3">
      <c r="A618" s="80"/>
      <c r="B618" s="80"/>
      <c r="C618" s="80"/>
      <c r="D618" s="80"/>
      <c r="E618" s="80"/>
      <c r="F618" s="80"/>
      <c r="G618" s="16" t="s">
        <v>1324</v>
      </c>
    </row>
    <row r="619" spans="1:25" ht="12.6" customHeight="1" x14ac:dyDescent="0.3">
      <c r="A619" s="70"/>
      <c r="B619" s="79" t="s">
        <v>1575</v>
      </c>
      <c r="C619" s="80"/>
      <c r="D619" s="80"/>
      <c r="E619" s="80"/>
      <c r="F619" s="80"/>
      <c r="G619" s="16" t="s">
        <v>1574</v>
      </c>
    </row>
    <row r="620" spans="1:25" ht="12.6" customHeight="1" x14ac:dyDescent="0.3">
      <c r="A620" s="80"/>
      <c r="B620" s="80"/>
      <c r="C620" s="80"/>
      <c r="D620" s="80"/>
      <c r="E620" s="80"/>
      <c r="F620" s="80"/>
      <c r="G620" s="16" t="s">
        <v>1324</v>
      </c>
    </row>
    <row r="621" spans="1:25" ht="12.6" customHeight="1" x14ac:dyDescent="0.3">
      <c r="A621" s="70" t="s">
        <v>654</v>
      </c>
      <c r="B621" s="101" t="str">
        <f>" 형틀목공 : "&amp;TEXT(I621,"#,##0"&amp;IF(I621&lt;&gt;INT(I621),".###",""))&amp;" * 4 / 35 = "&amp;TEXT(C621,"#,##0.0")&amp;""</f>
        <v xml:space="preserve"> 형틀목공 : 274,978 * 4 / 35 = 31,426.0</v>
      </c>
      <c r="C621" s="103">
        <f>E621+D621+F621</f>
        <v>31426</v>
      </c>
      <c r="D621" s="103">
        <f>IF(H621=0,0,ROUNDDOWN(J621*H621,1))</f>
        <v>31426</v>
      </c>
      <c r="E621" s="103">
        <f>IF(H621=0,0,ROUNDDOWN(K621*H621,1))</f>
        <v>0</v>
      </c>
      <c r="F621" s="103">
        <f>IF(H621=0,0,ROUNDDOWN(L621*H621,1))</f>
        <v>0</v>
      </c>
      <c r="G621" s="16" t="s">
        <v>1614</v>
      </c>
      <c r="H621" s="108">
        <v>0.11428571429580001</v>
      </c>
      <c r="I621" s="109">
        <f>K621+J621+L621</f>
        <v>274978</v>
      </c>
      <c r="J621" s="39">
        <f>노무비목록표!E5</f>
        <v>274978</v>
      </c>
      <c r="M621" s="20" t="s">
        <v>1577</v>
      </c>
      <c r="N621" s="20" t="s">
        <v>1345</v>
      </c>
      <c r="O621" s="20" t="s">
        <v>1578</v>
      </c>
      <c r="X621" s="110" t="str">
        <f>노무비목록표!B5&amp;" / "&amp;노무비목록표!C5</f>
        <v xml:space="preserve">형틀목공 / </v>
      </c>
      <c r="Y621" s="19" t="str">
        <f ca="1">HYPERLINK("#"&amp;노무비목록표!G2&amp;"!A"&amp;ROW(노무비목록표!A5),"노무    2 →")</f>
        <v>노무    2 →</v>
      </c>
    </row>
    <row r="622" spans="1:25" ht="12.6" customHeight="1" x14ac:dyDescent="0.3">
      <c r="A622" s="80"/>
      <c r="B622" s="80"/>
      <c r="C622" s="80"/>
      <c r="D622" s="80"/>
      <c r="E622" s="80"/>
      <c r="F622" s="80"/>
      <c r="G622" s="16" t="s">
        <v>1324</v>
      </c>
    </row>
    <row r="623" spans="1:25" ht="12.6" customHeight="1" x14ac:dyDescent="0.3">
      <c r="A623" s="70" t="s">
        <v>666</v>
      </c>
      <c r="B623" s="101" t="str">
        <f>" 보통인부 : "&amp;TEXT(I623,"#,##0"&amp;IF(I623&lt;&gt;INT(I623),".###",""))&amp;" * 1 / 35 = "&amp;TEXT(C623,"#,##0.0")&amp;""</f>
        <v xml:space="preserve"> 보통인부 : 165,545 * 1 / 35 = 4,729.8</v>
      </c>
      <c r="C623" s="103">
        <f>E623+D623+F623</f>
        <v>4729.8</v>
      </c>
      <c r="D623" s="103">
        <f>IF(H623=0,0,ROUNDDOWN(J623*H623,1))</f>
        <v>4729.8</v>
      </c>
      <c r="E623" s="103">
        <f>IF(H623=0,0,ROUNDDOWN(K623*H623,1))</f>
        <v>0</v>
      </c>
      <c r="F623" s="103">
        <f>IF(H623=0,0,ROUNDDOWN(L623*H623,1))</f>
        <v>0</v>
      </c>
      <c r="G623" s="16" t="s">
        <v>1615</v>
      </c>
      <c r="H623" s="108">
        <v>2.85714285815E-2</v>
      </c>
      <c r="I623" s="109">
        <f>K623+J623+L623</f>
        <v>165545</v>
      </c>
      <c r="J623" s="39">
        <f>노무비목록표!E9</f>
        <v>165545</v>
      </c>
      <c r="M623" s="20" t="s">
        <v>1127</v>
      </c>
      <c r="N623" s="20" t="s">
        <v>1345</v>
      </c>
      <c r="O623" s="20" t="s">
        <v>1578</v>
      </c>
      <c r="X623" s="110" t="str">
        <f>노무비목록표!B9&amp;" / "&amp;노무비목록표!C9</f>
        <v xml:space="preserve">보통인부 / </v>
      </c>
      <c r="Y623" s="19" t="str">
        <f ca="1">HYPERLINK("#"&amp;노무비목록표!G2&amp;"!A"&amp;ROW(노무비목록표!A9),"노무    6 →")</f>
        <v>노무    6 →</v>
      </c>
    </row>
    <row r="624" spans="1:25" ht="12.6" customHeight="1" x14ac:dyDescent="0.3">
      <c r="A624" s="80"/>
      <c r="B624" s="80"/>
      <c r="C624" s="80"/>
      <c r="D624" s="80"/>
      <c r="E624" s="80"/>
      <c r="F624" s="80"/>
      <c r="G624" s="16" t="s">
        <v>1324</v>
      </c>
    </row>
    <row r="625" spans="1:14" ht="12.6" customHeight="1" x14ac:dyDescent="0.3">
      <c r="A625" s="70"/>
      <c r="B625" s="101" t="str">
        <f>" 공구손료 및 경장비 기계경비 : "&amp;TEXT(I625,"#,##0.0")&amp;" * 3 %  = "&amp;TEXT(C625,"#,##0.0")&amp;""</f>
        <v xml:space="preserve"> 공구손료 및 경장비 기계경비 : 36,155.8 * 3 %  = 1,084.6</v>
      </c>
      <c r="C625" s="103">
        <f>E625+D625+F625</f>
        <v>1084.5999999999999</v>
      </c>
      <c r="D625" s="103">
        <f>IF(H625=0,0,ROUNDDOWN(J625*H625/100,1))</f>
        <v>0</v>
      </c>
      <c r="E625" s="103">
        <f>IF(H625=0,0,ROUNDDOWN(K625*H625/100,1))</f>
        <v>0</v>
      </c>
      <c r="F625" s="103">
        <f>IF(H625=0,0,ROUNDDOWN(L625*H625/100,1))</f>
        <v>1084.5999999999999</v>
      </c>
      <c r="G625" s="16" t="s">
        <v>1580</v>
      </c>
      <c r="H625" s="108">
        <v>3</v>
      </c>
      <c r="I625" s="109">
        <f>K625+J625+L625</f>
        <v>36155.800000000003</v>
      </c>
      <c r="J625" s="37">
        <v>0</v>
      </c>
      <c r="K625" s="37">
        <v>0</v>
      </c>
      <c r="L625" s="39">
        <f>SUMIF(O602:O624,"1_02",D602:D624)</f>
        <v>36155.800000000003</v>
      </c>
      <c r="M625" s="20" t="s">
        <v>1572</v>
      </c>
      <c r="N625" s="20" t="s">
        <v>1345</v>
      </c>
    </row>
    <row r="626" spans="1:14" ht="12.6" customHeight="1" x14ac:dyDescent="0.3">
      <c r="A626" s="80"/>
      <c r="B626" s="80"/>
      <c r="C626" s="80"/>
      <c r="D626" s="80"/>
      <c r="E626" s="80"/>
      <c r="F626" s="80"/>
      <c r="G626" s="16" t="s">
        <v>1324</v>
      </c>
    </row>
    <row r="627" spans="1:14" ht="12.6" customHeight="1" x14ac:dyDescent="0.3">
      <c r="A627" s="70"/>
      <c r="B627" s="79" t="s">
        <v>1344</v>
      </c>
      <c r="C627" s="104">
        <f>E627+D627+F627</f>
        <v>37240.400000000001</v>
      </c>
      <c r="D627" s="104">
        <f>SUMIF(N617:N626,M627,D617:D626)</f>
        <v>36155.800000000003</v>
      </c>
      <c r="E627" s="104">
        <f>SUMIF(N617:N626,M627,E617:E626)</f>
        <v>0</v>
      </c>
      <c r="F627" s="104">
        <f>SUMIF(N617:N626,M627,F617:F626)</f>
        <v>1084.5999999999999</v>
      </c>
      <c r="G627" s="16" t="s">
        <v>1343</v>
      </c>
      <c r="M627" s="20" t="s">
        <v>1345</v>
      </c>
      <c r="N627" s="20" t="s">
        <v>1368</v>
      </c>
    </row>
    <row r="628" spans="1:14" ht="12.6" customHeight="1" x14ac:dyDescent="0.3">
      <c r="A628" s="80"/>
      <c r="B628" s="80"/>
      <c r="C628" s="102"/>
      <c r="D628" s="102"/>
      <c r="E628" s="102"/>
      <c r="F628" s="102"/>
      <c r="G628" s="16" t="s">
        <v>1324</v>
      </c>
    </row>
    <row r="629" spans="1:14" ht="12.6" customHeight="1" x14ac:dyDescent="0.3">
      <c r="A629" s="70"/>
      <c r="B629" s="79" t="s">
        <v>1171</v>
      </c>
      <c r="C629" s="104">
        <f>E629+D629+F629</f>
        <v>41740.700000000004</v>
      </c>
      <c r="D629" s="104">
        <f>SUMIF(N602:N628,M629,D602:D628)</f>
        <v>36155.800000000003</v>
      </c>
      <c r="E629" s="104">
        <f>SUMIF(N602:N628,M629,E602:E628)</f>
        <v>4500.3</v>
      </c>
      <c r="F629" s="104">
        <f>SUMIF(N602:N628,M629,F602:F628)</f>
        <v>1084.5999999999999</v>
      </c>
      <c r="G629" s="16" t="s">
        <v>1367</v>
      </c>
      <c r="M629" s="20" t="s">
        <v>1368</v>
      </c>
      <c r="N629" s="20" t="s">
        <v>1129</v>
      </c>
    </row>
    <row r="630" spans="1:14" ht="12.6" customHeight="1" x14ac:dyDescent="0.3">
      <c r="A630" s="80"/>
      <c r="B630" s="80"/>
      <c r="C630" s="102"/>
      <c r="D630" s="102"/>
      <c r="E630" s="102"/>
      <c r="F630" s="102"/>
    </row>
    <row r="631" spans="1:14" ht="12.6" customHeight="1" x14ac:dyDescent="0.3">
      <c r="A631" s="80"/>
      <c r="B631" s="80"/>
      <c r="C631" s="80"/>
      <c r="D631" s="80"/>
      <c r="E631" s="80"/>
      <c r="F631" s="80"/>
    </row>
    <row r="632" spans="1:14" ht="12.6" customHeight="1" x14ac:dyDescent="0.3">
      <c r="A632" s="80"/>
      <c r="B632" s="80"/>
      <c r="C632" s="80"/>
      <c r="D632" s="80"/>
      <c r="E632" s="80"/>
      <c r="F632" s="80"/>
    </row>
    <row r="633" spans="1:14" ht="12.6" customHeight="1" x14ac:dyDescent="0.3">
      <c r="A633" s="58"/>
      <c r="B633" s="58"/>
      <c r="C633" s="58"/>
      <c r="D633" s="58"/>
      <c r="E633" s="58"/>
      <c r="F633" s="58"/>
    </row>
    <row r="634" spans="1:14" ht="12.6" customHeight="1" x14ac:dyDescent="0.3">
      <c r="A634" s="141" t="s">
        <v>1346</v>
      </c>
      <c r="B634" s="142"/>
      <c r="C634" s="55">
        <f>E634+D634+F634</f>
        <v>41739</v>
      </c>
      <c r="D634" s="54">
        <f>ROUNDDOWN(SUMIF(N602:N629,M634,D602:D629),0)</f>
        <v>36155</v>
      </c>
      <c r="E634" s="63">
        <f>ROUNDDOWN(SUMIF(N602:N629,M634,E602:E629),0)</f>
        <v>4500</v>
      </c>
      <c r="F634" s="55">
        <f>ROUNDDOWN(SUMIF(N602:N629,M634,F602:F629),0)</f>
        <v>1084</v>
      </c>
      <c r="M634" s="20" t="s">
        <v>1129</v>
      </c>
    </row>
    <row r="635" spans="1:14" ht="12.6" customHeight="1" x14ac:dyDescent="0.3">
      <c r="A635" s="99" t="s">
        <v>65</v>
      </c>
      <c r="B635" s="100" t="s">
        <v>65</v>
      </c>
      <c r="C635" s="147">
        <f>C669</f>
        <v>5621</v>
      </c>
      <c r="D635" s="147">
        <f>D669</f>
        <v>5458</v>
      </c>
      <c r="E635" s="147">
        <f>E669</f>
        <v>0</v>
      </c>
      <c r="F635" s="147">
        <f>F669</f>
        <v>163</v>
      </c>
      <c r="G635" s="36" t="str">
        <f>HYPERLINK("#G"&amp;ROW(G647),"_x0005_`BDCOD|D02248_x0007_`POSS|"&amp;ROW(G637)&amp;"_x0007_`POSE|"&amp;ROW(G647)&amp;"_x0007_`")</f>
        <v>_x0005_`BDCOD|D02248_x0007_`POSS|637_x0007_`POSE|647_x0007_`</v>
      </c>
    </row>
    <row r="636" spans="1:14" ht="12.6" customHeight="1" x14ac:dyDescent="0.3">
      <c r="A636" s="85"/>
      <c r="B636" s="100" t="s">
        <v>206</v>
      </c>
      <c r="C636" s="137"/>
      <c r="D636" s="137"/>
      <c r="E636" s="137"/>
      <c r="F636" s="137"/>
      <c r="M636" s="20" t="s">
        <v>205</v>
      </c>
    </row>
    <row r="637" spans="1:14" ht="12.6" customHeight="1" x14ac:dyDescent="0.3">
      <c r="A637" s="70"/>
      <c r="B637" s="79" t="s">
        <v>1617</v>
      </c>
      <c r="C637" s="102"/>
      <c r="D637" s="102"/>
      <c r="E637" s="102"/>
      <c r="F637" s="102"/>
      <c r="G637" s="16" t="s">
        <v>1616</v>
      </c>
    </row>
    <row r="638" spans="1:14" ht="12.6" customHeight="1" x14ac:dyDescent="0.3">
      <c r="A638" s="80"/>
      <c r="B638" s="80"/>
      <c r="C638" s="80"/>
      <c r="D638" s="80"/>
      <c r="E638" s="80"/>
      <c r="F638" s="80"/>
      <c r="G638" s="16" t="s">
        <v>1324</v>
      </c>
    </row>
    <row r="639" spans="1:14" ht="12.6" customHeight="1" x14ac:dyDescent="0.3">
      <c r="A639" s="70"/>
      <c r="B639" s="79" t="s">
        <v>1619</v>
      </c>
      <c r="C639" s="80"/>
      <c r="D639" s="80"/>
      <c r="E639" s="80"/>
      <c r="F639" s="80"/>
      <c r="G639" s="16" t="s">
        <v>1618</v>
      </c>
    </row>
    <row r="640" spans="1:14" ht="12.6" customHeight="1" x14ac:dyDescent="0.3">
      <c r="A640" s="80"/>
      <c r="B640" s="80"/>
      <c r="C640" s="80"/>
      <c r="D640" s="80"/>
      <c r="E640" s="80"/>
      <c r="F640" s="80"/>
      <c r="G640" s="16" t="s">
        <v>1324</v>
      </c>
    </row>
    <row r="641" spans="1:25" ht="12.6" customHeight="1" x14ac:dyDescent="0.3">
      <c r="A641" s="70" t="s">
        <v>684</v>
      </c>
      <c r="B641" s="101" t="str">
        <f>" 포장공 : "&amp;TEXT(I641,"#,##0"&amp;IF(I641&lt;&gt;INT(I641),".###",""))&amp;" * 4 / (50 / 0.20) = "&amp;TEXT(C641,"#,##0.0")&amp;""</f>
        <v xml:space="preserve"> 포장공 : 258,360 * 4 / (50 / 0.20) = 4,133.7</v>
      </c>
      <c r="C641" s="103">
        <f>E641+D641+F641</f>
        <v>4133.7</v>
      </c>
      <c r="D641" s="103">
        <f>IF(H641=0,0,ROUNDDOWN(J641*H641,1))</f>
        <v>4133.7</v>
      </c>
      <c r="E641" s="103">
        <f>IF(H641=0,0,ROUNDDOWN(K641*H641,1))</f>
        <v>0</v>
      </c>
      <c r="F641" s="103">
        <f>IF(H641=0,0,ROUNDDOWN(L641*H641,1))</f>
        <v>0</v>
      </c>
      <c r="G641" s="16" t="s">
        <v>1620</v>
      </c>
      <c r="H641" s="108">
        <v>1.60000000001E-2</v>
      </c>
      <c r="I641" s="109">
        <f>K641+J641+L641</f>
        <v>258360</v>
      </c>
      <c r="J641" s="39">
        <f>노무비목록표!E15</f>
        <v>258360</v>
      </c>
      <c r="M641" s="20" t="s">
        <v>1621</v>
      </c>
      <c r="N641" s="20" t="s">
        <v>1345</v>
      </c>
      <c r="O641" s="20" t="s">
        <v>1309</v>
      </c>
      <c r="X641" s="110" t="str">
        <f>노무비목록표!B15&amp;" / "&amp;노무비목록표!C15</f>
        <v xml:space="preserve">포장공 / </v>
      </c>
      <c r="Y641" s="19" t="str">
        <f ca="1">HYPERLINK("#"&amp;노무비목록표!G2&amp;"!A"&amp;ROW(노무비목록표!A15),"노무   12 →")</f>
        <v>노무   12 →</v>
      </c>
    </row>
    <row r="642" spans="1:25" ht="12.6" customHeight="1" x14ac:dyDescent="0.3">
      <c r="A642" s="80"/>
      <c r="B642" s="80"/>
      <c r="C642" s="80"/>
      <c r="D642" s="80"/>
      <c r="E642" s="80"/>
      <c r="F642" s="80"/>
      <c r="G642" s="16" t="s">
        <v>1324</v>
      </c>
    </row>
    <row r="643" spans="1:25" ht="12.6" customHeight="1" x14ac:dyDescent="0.3">
      <c r="A643" s="70" t="s">
        <v>666</v>
      </c>
      <c r="B643" s="101" t="str">
        <f>" 보통인부 : "&amp;TEXT(I643,"#,##0"&amp;IF(I643&lt;&gt;INT(I643),".###",""))&amp;" * 2 / (50 / 0.20) = "&amp;TEXT(C643,"#,##0.0")&amp;""</f>
        <v xml:space="preserve"> 보통인부 : 165,545 * 2 / (50 / 0.20) = 1,324.3</v>
      </c>
      <c r="C643" s="103">
        <f>E643+D643+F643</f>
        <v>1324.3</v>
      </c>
      <c r="D643" s="103">
        <f>IF(H643=0,0,ROUNDDOWN(J643*H643,1))</f>
        <v>1324.3</v>
      </c>
      <c r="E643" s="103">
        <f>IF(H643=0,0,ROUNDDOWN(K643*H643,1))</f>
        <v>0</v>
      </c>
      <c r="F643" s="103">
        <f>IF(H643=0,0,ROUNDDOWN(L643*H643,1))</f>
        <v>0</v>
      </c>
      <c r="G643" s="16" t="s">
        <v>1622</v>
      </c>
      <c r="H643" s="108">
        <v>8.0000000001E-3</v>
      </c>
      <c r="I643" s="109">
        <f>K643+J643+L643</f>
        <v>165545</v>
      </c>
      <c r="J643" s="39">
        <f>노무비목록표!E9</f>
        <v>165545</v>
      </c>
      <c r="M643" s="20" t="s">
        <v>1127</v>
      </c>
      <c r="N643" s="20" t="s">
        <v>1345</v>
      </c>
      <c r="O643" s="20" t="s">
        <v>1309</v>
      </c>
      <c r="X643" s="110" t="str">
        <f>노무비목록표!B9&amp;" / "&amp;노무비목록표!C9</f>
        <v xml:space="preserve">보통인부 / </v>
      </c>
      <c r="Y643" s="19" t="str">
        <f ca="1">HYPERLINK("#"&amp;노무비목록표!G2&amp;"!A"&amp;ROW(노무비목록표!A9),"노무    6 →")</f>
        <v>노무    6 →</v>
      </c>
    </row>
    <row r="644" spans="1:25" ht="12.6" customHeight="1" x14ac:dyDescent="0.3">
      <c r="A644" s="80"/>
      <c r="B644" s="80"/>
      <c r="C644" s="80"/>
      <c r="D644" s="80"/>
      <c r="E644" s="80"/>
      <c r="F644" s="80"/>
      <c r="G644" s="16" t="s">
        <v>1324</v>
      </c>
    </row>
    <row r="645" spans="1:25" ht="12.6" customHeight="1" x14ac:dyDescent="0.3">
      <c r="A645" s="70"/>
      <c r="B645" s="101" t="str">
        <f>" 손료계산 : "&amp;TEXT(I645,"#,##0.0")&amp;" * 3 %  = "&amp;TEXT(C645,"#,##0.0")&amp;""</f>
        <v xml:space="preserve"> 손료계산 : 5,458.0 * 3 %  = 163.7</v>
      </c>
      <c r="C645" s="103">
        <f>E645+D645+F645</f>
        <v>163.69999999999999</v>
      </c>
      <c r="D645" s="103">
        <f>IF(H645=0,0,ROUNDDOWN(J645*H645/100,1))</f>
        <v>0</v>
      </c>
      <c r="E645" s="103">
        <f>IF(H645=0,0,ROUNDDOWN(K645*H645/100,1))</f>
        <v>0</v>
      </c>
      <c r="F645" s="103">
        <f>IF(H645=0,0,ROUNDDOWN(L645*H645/100,1))</f>
        <v>163.69999999999999</v>
      </c>
      <c r="G645" s="16" t="s">
        <v>1623</v>
      </c>
      <c r="H645" s="108">
        <v>3</v>
      </c>
      <c r="I645" s="109">
        <f>K645+J645+L645</f>
        <v>5458</v>
      </c>
      <c r="J645" s="37">
        <v>0</v>
      </c>
      <c r="K645" s="37">
        <v>0</v>
      </c>
      <c r="L645" s="39">
        <f>SUMIF(O637:O644,"1_01",D637:D644)</f>
        <v>5458</v>
      </c>
      <c r="M645" s="20" t="s">
        <v>1572</v>
      </c>
      <c r="N645" s="20" t="s">
        <v>1345</v>
      </c>
    </row>
    <row r="646" spans="1:25" ht="12.6" customHeight="1" x14ac:dyDescent="0.3">
      <c r="A646" s="80"/>
      <c r="B646" s="80"/>
      <c r="C646" s="80"/>
      <c r="D646" s="80"/>
      <c r="E646" s="80"/>
      <c r="F646" s="80"/>
      <c r="G646" s="16" t="s">
        <v>1324</v>
      </c>
    </row>
    <row r="647" spans="1:25" ht="12.6" customHeight="1" x14ac:dyDescent="0.3">
      <c r="A647" s="70"/>
      <c r="B647" s="79" t="s">
        <v>1344</v>
      </c>
      <c r="C647" s="104">
        <f>E647+D647+F647</f>
        <v>5621.7</v>
      </c>
      <c r="D647" s="104">
        <f>SUMIF(N637:N646,M647,D637:D646)</f>
        <v>5458</v>
      </c>
      <c r="E647" s="104">
        <f>SUMIF(N637:N646,M647,E637:E646)</f>
        <v>0</v>
      </c>
      <c r="F647" s="104">
        <f>SUMIF(N637:N646,M647,F637:F646)</f>
        <v>163.69999999999999</v>
      </c>
      <c r="G647" s="16" t="s">
        <v>1343</v>
      </c>
      <c r="M647" s="20" t="s">
        <v>1345</v>
      </c>
      <c r="N647" s="20" t="s">
        <v>1129</v>
      </c>
    </row>
    <row r="648" spans="1:25" ht="12.6" customHeight="1" x14ac:dyDescent="0.3">
      <c r="A648" s="80"/>
      <c r="B648" s="80"/>
      <c r="C648" s="102"/>
      <c r="D648" s="102"/>
      <c r="E648" s="102"/>
      <c r="F648" s="102"/>
    </row>
    <row r="649" spans="1:25" ht="12.6" customHeight="1" x14ac:dyDescent="0.3">
      <c r="A649" s="80"/>
      <c r="B649" s="80"/>
      <c r="C649" s="80"/>
      <c r="D649" s="80"/>
      <c r="E649" s="80"/>
      <c r="F649" s="80"/>
    </row>
    <row r="650" spans="1:25" ht="12.6" customHeight="1" x14ac:dyDescent="0.3">
      <c r="A650" s="80"/>
      <c r="B650" s="80"/>
      <c r="C650" s="80"/>
      <c r="D650" s="80"/>
      <c r="E650" s="80"/>
      <c r="F650" s="80"/>
    </row>
    <row r="651" spans="1:25" ht="12.6" customHeight="1" x14ac:dyDescent="0.3">
      <c r="A651" s="80"/>
      <c r="B651" s="80"/>
      <c r="C651" s="80"/>
      <c r="D651" s="80"/>
      <c r="E651" s="80"/>
      <c r="F651" s="80"/>
    </row>
    <row r="652" spans="1:25" ht="12.6" customHeight="1" x14ac:dyDescent="0.3">
      <c r="A652" s="80"/>
      <c r="B652" s="80"/>
      <c r="C652" s="80"/>
      <c r="D652" s="80"/>
      <c r="E652" s="80"/>
      <c r="F652" s="80"/>
    </row>
    <row r="653" spans="1:25" ht="12.6" customHeight="1" x14ac:dyDescent="0.3">
      <c r="A653" s="80"/>
      <c r="B653" s="80"/>
      <c r="C653" s="80"/>
      <c r="D653" s="80"/>
      <c r="E653" s="80"/>
      <c r="F653" s="80"/>
    </row>
    <row r="654" spans="1:25" ht="12.6" customHeight="1" x14ac:dyDescent="0.3">
      <c r="A654" s="80"/>
      <c r="B654" s="80"/>
      <c r="C654" s="80"/>
      <c r="D654" s="80"/>
      <c r="E654" s="80"/>
      <c r="F654" s="80"/>
    </row>
    <row r="655" spans="1:25" ht="12.6" customHeight="1" x14ac:dyDescent="0.3">
      <c r="A655" s="80"/>
      <c r="B655" s="80"/>
      <c r="C655" s="80"/>
      <c r="D655" s="80"/>
      <c r="E655" s="80"/>
      <c r="F655" s="80"/>
    </row>
    <row r="656" spans="1:25" ht="12.6" customHeight="1" x14ac:dyDescent="0.3">
      <c r="A656" s="80"/>
      <c r="B656" s="80"/>
      <c r="C656" s="80"/>
      <c r="D656" s="80"/>
      <c r="E656" s="80"/>
      <c r="F656" s="80"/>
    </row>
    <row r="657" spans="1:13" ht="12.6" customHeight="1" x14ac:dyDescent="0.3">
      <c r="A657" s="80"/>
      <c r="B657" s="80"/>
      <c r="C657" s="80"/>
      <c r="D657" s="80"/>
      <c r="E657" s="80"/>
      <c r="F657" s="80"/>
    </row>
    <row r="658" spans="1:13" ht="12.6" customHeight="1" x14ac:dyDescent="0.3">
      <c r="A658" s="80"/>
      <c r="B658" s="80"/>
      <c r="C658" s="80"/>
      <c r="D658" s="80"/>
      <c r="E658" s="80"/>
      <c r="F658" s="80"/>
    </row>
    <row r="659" spans="1:13" ht="12.6" customHeight="1" x14ac:dyDescent="0.3">
      <c r="A659" s="80"/>
      <c r="B659" s="80"/>
      <c r="C659" s="80"/>
      <c r="D659" s="80"/>
      <c r="E659" s="80"/>
      <c r="F659" s="80"/>
    </row>
    <row r="660" spans="1:13" ht="12.6" customHeight="1" x14ac:dyDescent="0.3">
      <c r="A660" s="80"/>
      <c r="B660" s="80"/>
      <c r="C660" s="80"/>
      <c r="D660" s="80"/>
      <c r="E660" s="80"/>
      <c r="F660" s="80"/>
    </row>
    <row r="661" spans="1:13" ht="12.6" customHeight="1" x14ac:dyDescent="0.3">
      <c r="A661" s="80"/>
      <c r="B661" s="80"/>
      <c r="C661" s="80"/>
      <c r="D661" s="80"/>
      <c r="E661" s="80"/>
      <c r="F661" s="80"/>
    </row>
    <row r="662" spans="1:13" ht="12.6" customHeight="1" x14ac:dyDescent="0.3">
      <c r="A662" s="80"/>
      <c r="B662" s="80"/>
      <c r="C662" s="80"/>
      <c r="D662" s="80"/>
      <c r="E662" s="80"/>
      <c r="F662" s="80"/>
    </row>
    <row r="663" spans="1:13" ht="12.6" customHeight="1" x14ac:dyDescent="0.3">
      <c r="A663" s="80"/>
      <c r="B663" s="80"/>
      <c r="C663" s="80"/>
      <c r="D663" s="80"/>
      <c r="E663" s="80"/>
      <c r="F663" s="80"/>
    </row>
    <row r="664" spans="1:13" ht="12.6" customHeight="1" x14ac:dyDescent="0.3">
      <c r="A664" s="80"/>
      <c r="B664" s="80"/>
      <c r="C664" s="80"/>
      <c r="D664" s="80"/>
      <c r="E664" s="80"/>
      <c r="F664" s="80"/>
    </row>
    <row r="665" spans="1:13" ht="12.6" customHeight="1" x14ac:dyDescent="0.3">
      <c r="A665" s="80"/>
      <c r="B665" s="80"/>
      <c r="C665" s="80"/>
      <c r="D665" s="80"/>
      <c r="E665" s="80"/>
      <c r="F665" s="80"/>
    </row>
    <row r="666" spans="1:13" ht="12.6" customHeight="1" x14ac:dyDescent="0.3">
      <c r="A666" s="80"/>
      <c r="B666" s="80"/>
      <c r="C666" s="80"/>
      <c r="D666" s="80"/>
      <c r="E666" s="80"/>
      <c r="F666" s="80"/>
    </row>
    <row r="667" spans="1:13" ht="12.6" customHeight="1" x14ac:dyDescent="0.3">
      <c r="A667" s="80"/>
      <c r="B667" s="80"/>
      <c r="C667" s="80"/>
      <c r="D667" s="80"/>
      <c r="E667" s="80"/>
      <c r="F667" s="80"/>
    </row>
    <row r="668" spans="1:13" ht="12.6" customHeight="1" x14ac:dyDescent="0.3">
      <c r="A668" s="58"/>
      <c r="B668" s="58"/>
      <c r="C668" s="58"/>
      <c r="D668" s="58"/>
      <c r="E668" s="58"/>
      <c r="F668" s="58"/>
    </row>
    <row r="669" spans="1:13" ht="12.6" customHeight="1" x14ac:dyDescent="0.3">
      <c r="A669" s="141" t="s">
        <v>1346</v>
      </c>
      <c r="B669" s="142"/>
      <c r="C669" s="55">
        <f>E669+D669+F669</f>
        <v>5621</v>
      </c>
      <c r="D669" s="54">
        <f>ROUNDDOWN(SUMIF(N637:N647,M669,D637:D647),0)</f>
        <v>5458</v>
      </c>
      <c r="E669" s="63">
        <f>ROUNDDOWN(SUMIF(N637:N647,M669,E637:E647),0)</f>
        <v>0</v>
      </c>
      <c r="F669" s="55">
        <f>ROUNDDOWN(SUMIF(N637:N647,M669,F637:F647),0)</f>
        <v>163</v>
      </c>
      <c r="M669" s="20" t="s">
        <v>1129</v>
      </c>
    </row>
    <row r="670" spans="1:13" ht="12.6" customHeight="1" x14ac:dyDescent="0.3">
      <c r="A670" s="99" t="s">
        <v>71</v>
      </c>
      <c r="B670" s="100" t="s">
        <v>71</v>
      </c>
      <c r="C670" s="147">
        <f>C739</f>
        <v>970987</v>
      </c>
      <c r="D670" s="147">
        <f>D739</f>
        <v>922307</v>
      </c>
      <c r="E670" s="147">
        <f>E739</f>
        <v>13680</v>
      </c>
      <c r="F670" s="147">
        <f>F739</f>
        <v>35000</v>
      </c>
      <c r="G670" s="36" t="str">
        <f>HYPERLINK("#G"&amp;ROW(G706),"_x0005_`BDCOD|D02251_x0007_`POSS|"&amp;ROW(G672)&amp;"_x0007_`POSE|"&amp;ROW(G706)&amp;"_x0007_`")</f>
        <v>_x0005_`BDCOD|D02251_x0007_`POSS|672_x0007_`POSE|706_x0007_`</v>
      </c>
    </row>
    <row r="671" spans="1:13" ht="12.6" customHeight="1" x14ac:dyDescent="0.3">
      <c r="A671" s="85"/>
      <c r="B671" s="100" t="s">
        <v>210</v>
      </c>
      <c r="C671" s="137"/>
      <c r="D671" s="137"/>
      <c r="E671" s="137"/>
      <c r="F671" s="137"/>
      <c r="M671" s="20" t="s">
        <v>209</v>
      </c>
    </row>
    <row r="672" spans="1:13" ht="12.6" customHeight="1" x14ac:dyDescent="0.3">
      <c r="A672" s="70"/>
      <c r="B672" s="79" t="s">
        <v>1625</v>
      </c>
      <c r="C672" s="102"/>
      <c r="D672" s="102"/>
      <c r="E672" s="102"/>
      <c r="F672" s="102"/>
      <c r="G672" s="16" t="s">
        <v>1624</v>
      </c>
    </row>
    <row r="673" spans="1:25" ht="12.6" customHeight="1" x14ac:dyDescent="0.3">
      <c r="A673" s="80"/>
      <c r="B673" s="80"/>
      <c r="C673" s="80"/>
      <c r="D673" s="80"/>
      <c r="E673" s="80"/>
      <c r="F673" s="80"/>
      <c r="G673" s="16" t="s">
        <v>1324</v>
      </c>
    </row>
    <row r="674" spans="1:25" ht="12.6" customHeight="1" x14ac:dyDescent="0.3">
      <c r="A674" s="70"/>
      <c r="B674" s="79" t="s">
        <v>1627</v>
      </c>
      <c r="C674" s="80"/>
      <c r="D674" s="80"/>
      <c r="E674" s="80"/>
      <c r="F674" s="80"/>
      <c r="G674" s="16" t="s">
        <v>1626</v>
      </c>
    </row>
    <row r="675" spans="1:25" ht="12.6" customHeight="1" x14ac:dyDescent="0.3">
      <c r="A675" s="80"/>
      <c r="B675" s="80"/>
      <c r="C675" s="80"/>
      <c r="D675" s="80"/>
      <c r="E675" s="80"/>
      <c r="F675" s="80"/>
      <c r="G675" s="16" t="s">
        <v>1324</v>
      </c>
    </row>
    <row r="676" spans="1:25" ht="12.6" customHeight="1" x14ac:dyDescent="0.3">
      <c r="A676" s="70"/>
      <c r="B676" s="79" t="s">
        <v>1629</v>
      </c>
      <c r="C676" s="80"/>
      <c r="D676" s="80"/>
      <c r="E676" s="80"/>
      <c r="F676" s="80"/>
      <c r="G676" s="16" t="s">
        <v>1628</v>
      </c>
    </row>
    <row r="677" spans="1:25" ht="12.6" customHeight="1" x14ac:dyDescent="0.3">
      <c r="A677" s="80"/>
      <c r="B677" s="80"/>
      <c r="C677" s="80"/>
      <c r="D677" s="80"/>
      <c r="E677" s="80"/>
      <c r="F677" s="80"/>
      <c r="G677" s="16" t="s">
        <v>1324</v>
      </c>
    </row>
    <row r="678" spans="1:25" ht="12.6" customHeight="1" x14ac:dyDescent="0.3">
      <c r="A678" s="70"/>
      <c r="B678" s="79" t="s">
        <v>1631</v>
      </c>
      <c r="C678" s="80"/>
      <c r="D678" s="80"/>
      <c r="E678" s="80"/>
      <c r="F678" s="80"/>
      <c r="G678" s="16" t="s">
        <v>1630</v>
      </c>
    </row>
    <row r="679" spans="1:25" ht="12.6" customHeight="1" x14ac:dyDescent="0.3">
      <c r="A679" s="80"/>
      <c r="B679" s="80"/>
      <c r="C679" s="80"/>
      <c r="D679" s="80"/>
      <c r="E679" s="80"/>
      <c r="F679" s="80"/>
      <c r="G679" s="16" t="s">
        <v>1324</v>
      </c>
    </row>
    <row r="680" spans="1:25" ht="12.6" customHeight="1" x14ac:dyDescent="0.3">
      <c r="A680" s="70" t="s">
        <v>681</v>
      </c>
      <c r="B680" s="101" t="str">
        <f>" 철근공 : "&amp;TEXT(I680,"#,##0"&amp;IF(I680&lt;&gt;INT(I680),".###",""))&amp;" * 3 / 4.0 = "&amp;TEXT(C680,"#,##0.0")&amp;""</f>
        <v xml:space="preserve"> 철근공 : 260,137 * 3 / 4.0 = 195,102.7</v>
      </c>
      <c r="C680" s="103">
        <f>E680+D680+F680</f>
        <v>195102.7</v>
      </c>
      <c r="D680" s="103">
        <f>IF(H680=0,0,ROUNDDOWN(J680*H680,1))</f>
        <v>195102.7</v>
      </c>
      <c r="E680" s="103">
        <f>IF(H680=0,0,ROUNDDOWN(K680*H680,1))</f>
        <v>0</v>
      </c>
      <c r="F680" s="103">
        <f>IF(H680=0,0,ROUNDDOWN(L680*H680,1))</f>
        <v>0</v>
      </c>
      <c r="G680" s="16" t="s">
        <v>1632</v>
      </c>
      <c r="H680" s="108">
        <v>0.75000000000010003</v>
      </c>
      <c r="I680" s="109">
        <f>K680+J680+L680</f>
        <v>260137</v>
      </c>
      <c r="J680" s="39">
        <f>노무비목록표!E14</f>
        <v>260137</v>
      </c>
      <c r="M680" s="20" t="s">
        <v>1633</v>
      </c>
      <c r="N680" s="20" t="s">
        <v>1345</v>
      </c>
      <c r="O680" s="20" t="s">
        <v>1309</v>
      </c>
      <c r="X680" s="110" t="str">
        <f>노무비목록표!B14&amp;" / "&amp;노무비목록표!C14</f>
        <v xml:space="preserve">철근공 / </v>
      </c>
      <c r="Y680" s="19" t="str">
        <f ca="1">HYPERLINK("#"&amp;노무비목록표!G2&amp;"!A"&amp;ROW(노무비목록표!A14),"노무   11 →")</f>
        <v>노무   11 →</v>
      </c>
    </row>
    <row r="681" spans="1:25" ht="12.6" customHeight="1" x14ac:dyDescent="0.3">
      <c r="A681" s="80"/>
      <c r="B681" s="80"/>
      <c r="C681" s="80"/>
      <c r="D681" s="80"/>
      <c r="E681" s="80"/>
      <c r="F681" s="80"/>
      <c r="G681" s="16" t="s">
        <v>1324</v>
      </c>
    </row>
    <row r="682" spans="1:25" ht="12.6" customHeight="1" x14ac:dyDescent="0.3">
      <c r="A682" s="70" t="s">
        <v>666</v>
      </c>
      <c r="B682" s="101" t="str">
        <f>" 보통인부 : "&amp;TEXT(I682,"#,##0"&amp;IF(I682&lt;&gt;INT(I682),".###",""))&amp;" * 1 / 4.0 = "&amp;TEXT(C682,"#,##0.0")&amp;""</f>
        <v xml:space="preserve"> 보통인부 : 165,545 * 1 / 4.0 = 41,386.2</v>
      </c>
      <c r="C682" s="103">
        <f>E682+D682+F682</f>
        <v>41386.199999999997</v>
      </c>
      <c r="D682" s="103">
        <f>IF(H682=0,0,ROUNDDOWN(J682*H682,1))</f>
        <v>41386.199999999997</v>
      </c>
      <c r="E682" s="103">
        <f>IF(H682=0,0,ROUNDDOWN(K682*H682,1))</f>
        <v>0</v>
      </c>
      <c r="F682" s="103">
        <f>IF(H682=0,0,ROUNDDOWN(L682*H682,1))</f>
        <v>0</v>
      </c>
      <c r="G682" s="16" t="s">
        <v>1634</v>
      </c>
      <c r="H682" s="108">
        <v>0.25000000000009998</v>
      </c>
      <c r="I682" s="109">
        <f>K682+J682+L682</f>
        <v>165545</v>
      </c>
      <c r="J682" s="39">
        <f>노무비목록표!E9</f>
        <v>165545</v>
      </c>
      <c r="M682" s="20" t="s">
        <v>1127</v>
      </c>
      <c r="N682" s="20" t="s">
        <v>1345</v>
      </c>
      <c r="O682" s="20" t="s">
        <v>1309</v>
      </c>
      <c r="X682" s="110" t="str">
        <f>노무비목록표!B9&amp;" / "&amp;노무비목록표!C9</f>
        <v xml:space="preserve">보통인부 / </v>
      </c>
      <c r="Y682" s="19" t="str">
        <f ca="1">HYPERLINK("#"&amp;노무비목록표!G2&amp;"!A"&amp;ROW(노무비목록표!A9),"노무    6 →")</f>
        <v>노무    6 →</v>
      </c>
    </row>
    <row r="683" spans="1:25" ht="12.6" customHeight="1" x14ac:dyDescent="0.3">
      <c r="A683" s="80"/>
      <c r="B683" s="80"/>
      <c r="C683" s="80"/>
      <c r="D683" s="80"/>
      <c r="E683" s="80"/>
      <c r="F683" s="80"/>
      <c r="G683" s="16" t="s">
        <v>1324</v>
      </c>
    </row>
    <row r="684" spans="1:25" ht="12.6" customHeight="1" x14ac:dyDescent="0.3">
      <c r="A684" s="70"/>
      <c r="B684" s="101" t="str">
        <f>" 공구손료 및 경장비(철근가공기 등) : "&amp;TEXT(I684,"#,##0.0")&amp;" * 9 %  = "&amp;TEXT(C684,"#,##0.0")&amp;""</f>
        <v xml:space="preserve"> 공구손료 및 경장비(철근가공기 등) : 236,488.9 * 9 %  = 21,284.0</v>
      </c>
      <c r="C684" s="103">
        <f>E684+D684+F684</f>
        <v>21284</v>
      </c>
      <c r="D684" s="103">
        <f>IF(H684=0,0,ROUNDDOWN(J684*H684/100,1))</f>
        <v>0</v>
      </c>
      <c r="E684" s="103">
        <f>IF(H684=0,0,ROUNDDOWN(K684*H684/100,1))</f>
        <v>0</v>
      </c>
      <c r="F684" s="103">
        <f>IF(H684=0,0,ROUNDDOWN(L684*H684/100,1))</f>
        <v>21284</v>
      </c>
      <c r="G684" s="16" t="s">
        <v>1635</v>
      </c>
      <c r="H684" s="108">
        <v>9</v>
      </c>
      <c r="I684" s="109">
        <f>K684+J684+L684</f>
        <v>236488.90000000002</v>
      </c>
      <c r="J684" s="37">
        <v>0</v>
      </c>
      <c r="K684" s="37">
        <v>0</v>
      </c>
      <c r="L684" s="39">
        <f>SUMIF(O672:O683,"1_01",D672:D683)</f>
        <v>236488.90000000002</v>
      </c>
      <c r="M684" s="20" t="s">
        <v>1572</v>
      </c>
      <c r="N684" s="20" t="s">
        <v>1345</v>
      </c>
    </row>
    <row r="685" spans="1:25" ht="12.6" customHeight="1" x14ac:dyDescent="0.3">
      <c r="A685" s="80"/>
      <c r="B685" s="80"/>
      <c r="C685" s="80"/>
      <c r="D685" s="80"/>
      <c r="E685" s="80"/>
      <c r="F685" s="80"/>
      <c r="G685" s="16" t="s">
        <v>1324</v>
      </c>
    </row>
    <row r="686" spans="1:25" ht="12.6" customHeight="1" x14ac:dyDescent="0.3">
      <c r="A686" s="70"/>
      <c r="B686" s="79" t="s">
        <v>1344</v>
      </c>
      <c r="C686" s="104">
        <f>E686+D686+F686</f>
        <v>257772.90000000002</v>
      </c>
      <c r="D686" s="104">
        <f>SUMIF(N672:N685,M686,D672:D685)</f>
        <v>236488.90000000002</v>
      </c>
      <c r="E686" s="104">
        <f>SUMIF(N672:N685,M686,E672:E685)</f>
        <v>0</v>
      </c>
      <c r="F686" s="104">
        <f>SUMIF(N672:N685,M686,F672:F685)</f>
        <v>21284</v>
      </c>
      <c r="G686" s="16" t="s">
        <v>1343</v>
      </c>
      <c r="M686" s="20" t="s">
        <v>1345</v>
      </c>
      <c r="N686" s="20" t="s">
        <v>1368</v>
      </c>
    </row>
    <row r="687" spans="1:25" ht="12.6" customHeight="1" x14ac:dyDescent="0.3">
      <c r="A687" s="80"/>
      <c r="B687" s="80"/>
      <c r="C687" s="102"/>
      <c r="D687" s="102"/>
      <c r="E687" s="102"/>
      <c r="F687" s="102"/>
      <c r="G687" s="16" t="s">
        <v>1324</v>
      </c>
    </row>
    <row r="688" spans="1:25" ht="12.6" customHeight="1" x14ac:dyDescent="0.3">
      <c r="A688" s="80"/>
      <c r="B688" s="80"/>
      <c r="C688" s="80"/>
      <c r="D688" s="80"/>
      <c r="E688" s="80"/>
      <c r="F688" s="80"/>
      <c r="G688" s="16" t="s">
        <v>1324</v>
      </c>
    </row>
    <row r="689" spans="1:25" ht="12.6" customHeight="1" x14ac:dyDescent="0.3">
      <c r="A689" s="70"/>
      <c r="B689" s="79" t="s">
        <v>1637</v>
      </c>
      <c r="C689" s="80"/>
      <c r="D689" s="80"/>
      <c r="E689" s="80"/>
      <c r="F689" s="80"/>
      <c r="G689" s="16" t="s">
        <v>1636</v>
      </c>
    </row>
    <row r="690" spans="1:25" ht="12.6" customHeight="1" x14ac:dyDescent="0.3">
      <c r="A690" s="80"/>
      <c r="B690" s="80"/>
      <c r="C690" s="80"/>
      <c r="D690" s="80"/>
      <c r="E690" s="80"/>
      <c r="F690" s="80"/>
      <c r="G690" s="16" t="s">
        <v>1324</v>
      </c>
    </row>
    <row r="691" spans="1:25" ht="12.6" customHeight="1" x14ac:dyDescent="0.3">
      <c r="A691" s="70" t="s">
        <v>681</v>
      </c>
      <c r="B691" s="101" t="str">
        <f>" 철근공 : "&amp;TEXT(I691,"#,##0"&amp;IF(I691&lt;&gt;INT(I691),".###",""))&amp;" * 2 / 1.0 = "&amp;TEXT(C691,"#,##0.0")&amp;""</f>
        <v xml:space="preserve"> 철근공 : 260,137 * 2 / 1.0 = 520,274.0</v>
      </c>
      <c r="C691" s="103">
        <f>E691+D691+F691</f>
        <v>520274</v>
      </c>
      <c r="D691" s="103">
        <f>IF(H691=0,0,ROUNDDOWN(J691*H691,1))</f>
        <v>520274</v>
      </c>
      <c r="E691" s="103">
        <f>IF(H691=0,0,ROUNDDOWN(K691*H691,1))</f>
        <v>0</v>
      </c>
      <c r="F691" s="103">
        <f>IF(H691=0,0,ROUNDDOWN(L691*H691,1))</f>
        <v>0</v>
      </c>
      <c r="G691" s="16" t="s">
        <v>1638</v>
      </c>
      <c r="H691" s="108">
        <v>2</v>
      </c>
      <c r="I691" s="109">
        <f>K691+J691+L691</f>
        <v>260137</v>
      </c>
      <c r="J691" s="39">
        <f>노무비목록표!E14</f>
        <v>260137</v>
      </c>
      <c r="M691" s="20" t="s">
        <v>1633</v>
      </c>
      <c r="N691" s="20" t="s">
        <v>1345</v>
      </c>
      <c r="O691" s="20" t="s">
        <v>1578</v>
      </c>
      <c r="X691" s="110" t="str">
        <f>노무비목록표!B14&amp;" / "&amp;노무비목록표!C14</f>
        <v xml:space="preserve">철근공 / </v>
      </c>
      <c r="Y691" s="19" t="str">
        <f ca="1">HYPERLINK("#"&amp;노무비목록표!G2&amp;"!A"&amp;ROW(노무비목록표!A14),"노무   11 →")</f>
        <v>노무   11 →</v>
      </c>
    </row>
    <row r="692" spans="1:25" ht="12.6" customHeight="1" x14ac:dyDescent="0.3">
      <c r="A692" s="80"/>
      <c r="B692" s="80"/>
      <c r="C692" s="80"/>
      <c r="D692" s="80"/>
      <c r="E692" s="80"/>
      <c r="F692" s="80"/>
      <c r="G692" s="16" t="s">
        <v>1324</v>
      </c>
    </row>
    <row r="693" spans="1:25" ht="12.6" customHeight="1" x14ac:dyDescent="0.3">
      <c r="A693" s="70" t="s">
        <v>666</v>
      </c>
      <c r="B693" s="101" t="str">
        <f>" 보통인부 : "&amp;TEXT(I693,"#,##0"&amp;IF(I693&lt;&gt;INT(I693),".###",""))&amp;" * 1 / 1.0 = "&amp;TEXT(C693,"#,##0.0")&amp;""</f>
        <v xml:space="preserve"> 보통인부 : 165,545 * 1 / 1.0 = 165,545.0</v>
      </c>
      <c r="C693" s="103">
        <f>E693+D693+F693</f>
        <v>165545</v>
      </c>
      <c r="D693" s="103">
        <f>IF(H693=0,0,ROUNDDOWN(J693*H693,1))</f>
        <v>165545</v>
      </c>
      <c r="E693" s="103">
        <f>IF(H693=0,0,ROUNDDOWN(K693*H693,1))</f>
        <v>0</v>
      </c>
      <c r="F693" s="103">
        <f>IF(H693=0,0,ROUNDDOWN(L693*H693,1))</f>
        <v>0</v>
      </c>
      <c r="G693" s="16" t="s">
        <v>1639</v>
      </c>
      <c r="H693" s="108">
        <v>1</v>
      </c>
      <c r="I693" s="109">
        <f>K693+J693+L693</f>
        <v>165545</v>
      </c>
      <c r="J693" s="39">
        <f>노무비목록표!E9</f>
        <v>165545</v>
      </c>
      <c r="M693" s="20" t="s">
        <v>1127</v>
      </c>
      <c r="N693" s="20" t="s">
        <v>1345</v>
      </c>
      <c r="O693" s="20" t="s">
        <v>1578</v>
      </c>
      <c r="X693" s="110" t="str">
        <f>노무비목록표!B9&amp;" / "&amp;노무비목록표!C9</f>
        <v xml:space="preserve">보통인부 / </v>
      </c>
      <c r="Y693" s="19" t="str">
        <f ca="1">HYPERLINK("#"&amp;노무비목록표!G2&amp;"!A"&amp;ROW(노무비목록표!A9),"노무    6 →")</f>
        <v>노무    6 →</v>
      </c>
    </row>
    <row r="694" spans="1:25" ht="12.6" customHeight="1" x14ac:dyDescent="0.3">
      <c r="A694" s="80"/>
      <c r="B694" s="80"/>
      <c r="C694" s="80"/>
      <c r="D694" s="80"/>
      <c r="E694" s="80"/>
      <c r="F694" s="80"/>
      <c r="G694" s="16" t="s">
        <v>1324</v>
      </c>
    </row>
    <row r="695" spans="1:25" ht="12.6" customHeight="1" x14ac:dyDescent="0.3">
      <c r="A695" s="70"/>
      <c r="B695" s="101" t="str">
        <f>" 공구손료 및 경장비 : "&amp;TEXT(I695,"#,##0.0")&amp;" * 2 %  = "&amp;TEXT(C695,"#,##0.0")&amp;""</f>
        <v xml:space="preserve"> 공구손료 및 경장비 : 685,819.0 * 2 %  = 13,716.3</v>
      </c>
      <c r="C695" s="103">
        <f>E695+D695+F695</f>
        <v>13716.3</v>
      </c>
      <c r="D695" s="103">
        <f>IF(H695=0,0,ROUNDDOWN(J695*H695/100,1))</f>
        <v>0</v>
      </c>
      <c r="E695" s="103">
        <f>IF(H695=0,0,ROUNDDOWN(K695*H695/100,1))</f>
        <v>0</v>
      </c>
      <c r="F695" s="103">
        <f>IF(H695=0,0,ROUNDDOWN(L695*H695/100,1))</f>
        <v>13716.3</v>
      </c>
      <c r="G695" s="16" t="s">
        <v>1640</v>
      </c>
      <c r="H695" s="108">
        <v>2</v>
      </c>
      <c r="I695" s="109">
        <f>K695+J695+L695</f>
        <v>685819</v>
      </c>
      <c r="J695" s="37">
        <v>0</v>
      </c>
      <c r="K695" s="37">
        <v>0</v>
      </c>
      <c r="L695" s="39">
        <f>SUMIF(O672:O694,"1_02",D672:D694)</f>
        <v>685819</v>
      </c>
      <c r="M695" s="20" t="s">
        <v>1572</v>
      </c>
      <c r="N695" s="20" t="s">
        <v>1345</v>
      </c>
    </row>
    <row r="696" spans="1:25" ht="12.6" customHeight="1" x14ac:dyDescent="0.3">
      <c r="A696" s="80"/>
      <c r="B696" s="80"/>
      <c r="C696" s="80"/>
      <c r="D696" s="80"/>
      <c r="E696" s="80"/>
      <c r="F696" s="80"/>
      <c r="G696" s="16" t="s">
        <v>1324</v>
      </c>
    </row>
    <row r="697" spans="1:25" ht="12.6" customHeight="1" x14ac:dyDescent="0.3">
      <c r="A697" s="70"/>
      <c r="B697" s="79" t="s">
        <v>1344</v>
      </c>
      <c r="C697" s="104">
        <f>E697+D697+F697</f>
        <v>699535.3</v>
      </c>
      <c r="D697" s="104">
        <f>SUMIF(N687:N696,M697,D687:D696)</f>
        <v>685819</v>
      </c>
      <c r="E697" s="104">
        <f>SUMIF(N687:N696,M697,E687:E696)</f>
        <v>0</v>
      </c>
      <c r="F697" s="104">
        <f>SUMIF(N687:N696,M697,F687:F696)</f>
        <v>13716.3</v>
      </c>
      <c r="G697" s="16" t="s">
        <v>1343</v>
      </c>
      <c r="M697" s="20" t="s">
        <v>1345</v>
      </c>
      <c r="N697" s="20" t="s">
        <v>1368</v>
      </c>
    </row>
    <row r="698" spans="1:25" ht="12.6" customHeight="1" x14ac:dyDescent="0.3">
      <c r="A698" s="80"/>
      <c r="B698" s="80"/>
      <c r="C698" s="102"/>
      <c r="D698" s="102"/>
      <c r="E698" s="102"/>
      <c r="F698" s="102"/>
      <c r="G698" s="16" t="s">
        <v>1324</v>
      </c>
    </row>
    <row r="699" spans="1:25" ht="12.6" customHeight="1" x14ac:dyDescent="0.3">
      <c r="A699" s="80"/>
      <c r="B699" s="80"/>
      <c r="C699" s="80"/>
      <c r="D699" s="80"/>
      <c r="E699" s="80"/>
      <c r="F699" s="80"/>
      <c r="G699" s="16" t="s">
        <v>1324</v>
      </c>
    </row>
    <row r="700" spans="1:25" ht="12.6" customHeight="1" x14ac:dyDescent="0.3">
      <c r="A700" s="70"/>
      <c r="B700" s="79" t="s">
        <v>1642</v>
      </c>
      <c r="C700" s="80"/>
      <c r="D700" s="80"/>
      <c r="E700" s="80"/>
      <c r="F700" s="80"/>
      <c r="G700" s="16" t="s">
        <v>1641</v>
      </c>
    </row>
    <row r="701" spans="1:25" ht="12.6" customHeight="1" x14ac:dyDescent="0.3">
      <c r="A701" s="80"/>
      <c r="B701" s="80"/>
      <c r="C701" s="80"/>
      <c r="D701" s="80"/>
      <c r="E701" s="80"/>
      <c r="F701" s="80"/>
      <c r="G701" s="16" t="s">
        <v>1324</v>
      </c>
    </row>
    <row r="702" spans="1:25" ht="12.6" customHeight="1" x14ac:dyDescent="0.3">
      <c r="A702" s="70" t="s">
        <v>1644</v>
      </c>
      <c r="B702" s="101" t="str">
        <f>" 결속선(철선) : "&amp;TEXT(I702,"#,##0"&amp;IF(I702&lt;&gt;INT(I702),".###",""))&amp;" * 8.0 = "&amp;TEXT(C702,"#,##0.0")&amp;""</f>
        <v xml:space="preserve"> 결속선(철선) : 1,710 * 8.0 = 13,680.0</v>
      </c>
      <c r="C702" s="103">
        <f>E702+D702+F702</f>
        <v>13680</v>
      </c>
      <c r="D702" s="103">
        <f>IF(H702=0,0,ROUNDDOWN(J702*H702,1))</f>
        <v>0</v>
      </c>
      <c r="E702" s="103">
        <f>IF(H702=0,0,ROUNDDOWN(K702*H702,1))</f>
        <v>13680</v>
      </c>
      <c r="F702" s="103">
        <f>IF(H702=0,0,ROUNDDOWN(L702*H702,1))</f>
        <v>0</v>
      </c>
      <c r="G702" s="16" t="s">
        <v>1643</v>
      </c>
      <c r="H702" s="108">
        <v>8</v>
      </c>
      <c r="I702" s="109">
        <f>K702+J702+L702</f>
        <v>1710</v>
      </c>
      <c r="K702" s="39">
        <f>재료비목록표!E32</f>
        <v>1710</v>
      </c>
      <c r="M702" s="20" t="s">
        <v>1645</v>
      </c>
      <c r="N702" s="20" t="s">
        <v>1345</v>
      </c>
      <c r="X702" s="110" t="str">
        <f>재료비목록표!B32&amp;" / "&amp;재료비목록표!C32</f>
        <v>결속선(철선) / #20 , 0.9M/M</v>
      </c>
      <c r="Y702" s="19" t="str">
        <f ca="1">HYPERLINK("#"&amp;재료비목록표!G2&amp;"!A"&amp;ROW(재료비목록표!A32),"자재   29 →")</f>
        <v>자재   29 →</v>
      </c>
    </row>
    <row r="703" spans="1:25" ht="12.6" customHeight="1" x14ac:dyDescent="0.3">
      <c r="A703" s="80"/>
      <c r="B703" s="80"/>
      <c r="C703" s="80"/>
      <c r="D703" s="80"/>
      <c r="E703" s="80"/>
      <c r="F703" s="80"/>
      <c r="G703" s="16" t="s">
        <v>1324</v>
      </c>
    </row>
    <row r="704" spans="1:25" ht="12.6" customHeight="1" x14ac:dyDescent="0.3">
      <c r="A704" s="70"/>
      <c r="B704" s="79" t="s">
        <v>1344</v>
      </c>
      <c r="C704" s="104">
        <f>E704+D704+F704</f>
        <v>13680</v>
      </c>
      <c r="D704" s="104">
        <f>SUMIF(N698:N703,M704,D698:D703)</f>
        <v>0</v>
      </c>
      <c r="E704" s="104">
        <f>SUMIF(N698:N703,M704,E698:E703)</f>
        <v>13680</v>
      </c>
      <c r="F704" s="104">
        <f>SUMIF(N698:N703,M704,F698:F703)</f>
        <v>0</v>
      </c>
      <c r="G704" s="16" t="s">
        <v>1343</v>
      </c>
      <c r="M704" s="20" t="s">
        <v>1345</v>
      </c>
      <c r="N704" s="20" t="s">
        <v>1368</v>
      </c>
    </row>
    <row r="705" spans="1:14" ht="12.6" customHeight="1" x14ac:dyDescent="0.3">
      <c r="A705" s="80"/>
      <c r="B705" s="80"/>
      <c r="C705" s="102"/>
      <c r="D705" s="102"/>
      <c r="E705" s="102"/>
      <c r="F705" s="102"/>
      <c r="G705" s="16" t="s">
        <v>1324</v>
      </c>
    </row>
    <row r="706" spans="1:14" ht="12.6" customHeight="1" x14ac:dyDescent="0.3">
      <c r="A706" s="70"/>
      <c r="B706" s="79" t="s">
        <v>1171</v>
      </c>
      <c r="C706" s="104">
        <f>E706+D706+F706</f>
        <v>970988.20000000007</v>
      </c>
      <c r="D706" s="104">
        <f>SUMIF(N672:N705,M706,D672:D705)</f>
        <v>922307.9</v>
      </c>
      <c r="E706" s="104">
        <f>SUMIF(N672:N705,M706,E672:E705)</f>
        <v>13680</v>
      </c>
      <c r="F706" s="104">
        <f>SUMIF(N672:N705,M706,F672:F705)</f>
        <v>35000.300000000003</v>
      </c>
      <c r="G706" s="16" t="s">
        <v>1367</v>
      </c>
      <c r="M706" s="20" t="s">
        <v>1368</v>
      </c>
      <c r="N706" s="20" t="s">
        <v>1129</v>
      </c>
    </row>
    <row r="707" spans="1:14" ht="12.6" customHeight="1" x14ac:dyDescent="0.3">
      <c r="A707" s="80"/>
      <c r="B707" s="80"/>
      <c r="C707" s="102"/>
      <c r="D707" s="102"/>
      <c r="E707" s="102"/>
      <c r="F707" s="102"/>
    </row>
    <row r="708" spans="1:14" ht="12.6" customHeight="1" x14ac:dyDescent="0.3">
      <c r="A708" s="80"/>
      <c r="B708" s="80"/>
      <c r="C708" s="80"/>
      <c r="D708" s="80"/>
      <c r="E708" s="80"/>
      <c r="F708" s="80"/>
    </row>
    <row r="709" spans="1:14" ht="12.6" customHeight="1" x14ac:dyDescent="0.3">
      <c r="A709" s="80"/>
      <c r="B709" s="80"/>
      <c r="C709" s="80"/>
      <c r="D709" s="80"/>
      <c r="E709" s="80"/>
      <c r="F709" s="80"/>
    </row>
    <row r="710" spans="1:14" ht="12.6" customHeight="1" x14ac:dyDescent="0.3">
      <c r="A710" s="80"/>
      <c r="B710" s="80"/>
      <c r="C710" s="80"/>
      <c r="D710" s="80"/>
      <c r="E710" s="80"/>
      <c r="F710" s="80"/>
    </row>
    <row r="711" spans="1:14" ht="12.6" customHeight="1" x14ac:dyDescent="0.3">
      <c r="A711" s="80"/>
      <c r="B711" s="80"/>
      <c r="C711" s="80"/>
      <c r="D711" s="80"/>
      <c r="E711" s="80"/>
      <c r="F711" s="80"/>
    </row>
    <row r="712" spans="1:14" ht="12.6" customHeight="1" x14ac:dyDescent="0.3">
      <c r="A712" s="80"/>
      <c r="B712" s="80"/>
      <c r="C712" s="80"/>
      <c r="D712" s="80"/>
      <c r="E712" s="80"/>
      <c r="F712" s="80"/>
    </row>
    <row r="713" spans="1:14" ht="12.6" customHeight="1" x14ac:dyDescent="0.3">
      <c r="A713" s="80"/>
      <c r="B713" s="80"/>
      <c r="C713" s="80"/>
      <c r="D713" s="80"/>
      <c r="E713" s="80"/>
      <c r="F713" s="80"/>
    </row>
    <row r="714" spans="1:14" ht="12.6" customHeight="1" x14ac:dyDescent="0.3">
      <c r="A714" s="80"/>
      <c r="B714" s="80"/>
      <c r="C714" s="80"/>
      <c r="D714" s="80"/>
      <c r="E714" s="80"/>
      <c r="F714" s="80"/>
    </row>
    <row r="715" spans="1:14" ht="12.6" customHeight="1" x14ac:dyDescent="0.3">
      <c r="A715" s="80"/>
      <c r="B715" s="80"/>
      <c r="C715" s="80"/>
      <c r="D715" s="80"/>
      <c r="E715" s="80"/>
      <c r="F715" s="80"/>
    </row>
    <row r="716" spans="1:14" ht="12.6" customHeight="1" x14ac:dyDescent="0.3">
      <c r="A716" s="80"/>
      <c r="B716" s="80"/>
      <c r="C716" s="80"/>
      <c r="D716" s="80"/>
      <c r="E716" s="80"/>
      <c r="F716" s="80"/>
    </row>
    <row r="717" spans="1:14" ht="12.6" customHeight="1" x14ac:dyDescent="0.3">
      <c r="A717" s="80"/>
      <c r="B717" s="80"/>
      <c r="C717" s="80"/>
      <c r="D717" s="80"/>
      <c r="E717" s="80"/>
      <c r="F717" s="80"/>
    </row>
    <row r="718" spans="1:14" ht="12.6" customHeight="1" x14ac:dyDescent="0.3">
      <c r="A718" s="80"/>
      <c r="B718" s="80"/>
      <c r="C718" s="80"/>
      <c r="D718" s="80"/>
      <c r="E718" s="80"/>
      <c r="F718" s="80"/>
    </row>
    <row r="719" spans="1:14" ht="12.6" customHeight="1" x14ac:dyDescent="0.3">
      <c r="A719" s="80"/>
      <c r="B719" s="80"/>
      <c r="C719" s="80"/>
      <c r="D719" s="80"/>
      <c r="E719" s="80"/>
      <c r="F719" s="80"/>
    </row>
    <row r="720" spans="1:14" ht="12.6" customHeight="1" x14ac:dyDescent="0.3">
      <c r="A720" s="80"/>
      <c r="B720" s="80"/>
      <c r="C720" s="80"/>
      <c r="D720" s="80"/>
      <c r="E720" s="80"/>
      <c r="F720" s="80"/>
    </row>
    <row r="721" spans="1:6" ht="12.6" customHeight="1" x14ac:dyDescent="0.3">
      <c r="A721" s="80"/>
      <c r="B721" s="80"/>
      <c r="C721" s="80"/>
      <c r="D721" s="80"/>
      <c r="E721" s="80"/>
      <c r="F721" s="80"/>
    </row>
    <row r="722" spans="1:6" ht="12.6" customHeight="1" x14ac:dyDescent="0.3">
      <c r="A722" s="80"/>
      <c r="B722" s="80"/>
      <c r="C722" s="80"/>
      <c r="D722" s="80"/>
      <c r="E722" s="80"/>
      <c r="F722" s="80"/>
    </row>
    <row r="723" spans="1:6" ht="12.6" customHeight="1" x14ac:dyDescent="0.3">
      <c r="A723" s="80"/>
      <c r="B723" s="80"/>
      <c r="C723" s="80"/>
      <c r="D723" s="80"/>
      <c r="E723" s="80"/>
      <c r="F723" s="80"/>
    </row>
    <row r="724" spans="1:6" ht="12.6" customHeight="1" x14ac:dyDescent="0.3">
      <c r="A724" s="80"/>
      <c r="B724" s="80"/>
      <c r="C724" s="80"/>
      <c r="D724" s="80"/>
      <c r="E724" s="80"/>
      <c r="F724" s="80"/>
    </row>
    <row r="725" spans="1:6" ht="12.6" customHeight="1" x14ac:dyDescent="0.3">
      <c r="A725" s="80"/>
      <c r="B725" s="80"/>
      <c r="C725" s="80"/>
      <c r="D725" s="80"/>
      <c r="E725" s="80"/>
      <c r="F725" s="80"/>
    </row>
    <row r="726" spans="1:6" ht="12.6" customHeight="1" x14ac:dyDescent="0.3">
      <c r="A726" s="80"/>
      <c r="B726" s="80"/>
      <c r="C726" s="80"/>
      <c r="D726" s="80"/>
      <c r="E726" s="80"/>
      <c r="F726" s="80"/>
    </row>
    <row r="727" spans="1:6" ht="12.6" customHeight="1" x14ac:dyDescent="0.3">
      <c r="A727" s="80"/>
      <c r="B727" s="80"/>
      <c r="C727" s="80"/>
      <c r="D727" s="80"/>
      <c r="E727" s="80"/>
      <c r="F727" s="80"/>
    </row>
    <row r="728" spans="1:6" ht="12.6" customHeight="1" x14ac:dyDescent="0.3">
      <c r="A728" s="80"/>
      <c r="B728" s="80"/>
      <c r="C728" s="80"/>
      <c r="D728" s="80"/>
      <c r="E728" s="80"/>
      <c r="F728" s="80"/>
    </row>
    <row r="729" spans="1:6" ht="12.6" customHeight="1" x14ac:dyDescent="0.3">
      <c r="A729" s="80"/>
      <c r="B729" s="80"/>
      <c r="C729" s="80"/>
      <c r="D729" s="80"/>
      <c r="E729" s="80"/>
      <c r="F729" s="80"/>
    </row>
    <row r="730" spans="1:6" ht="12.6" customHeight="1" x14ac:dyDescent="0.3">
      <c r="A730" s="80"/>
      <c r="B730" s="80"/>
      <c r="C730" s="80"/>
      <c r="D730" s="80"/>
      <c r="E730" s="80"/>
      <c r="F730" s="80"/>
    </row>
    <row r="731" spans="1:6" ht="12.6" customHeight="1" x14ac:dyDescent="0.3">
      <c r="A731" s="80"/>
      <c r="B731" s="80"/>
      <c r="C731" s="80"/>
      <c r="D731" s="80"/>
      <c r="E731" s="80"/>
      <c r="F731" s="80"/>
    </row>
    <row r="732" spans="1:6" ht="12.6" customHeight="1" x14ac:dyDescent="0.3">
      <c r="A732" s="80"/>
      <c r="B732" s="80"/>
      <c r="C732" s="80"/>
      <c r="D732" s="80"/>
      <c r="E732" s="80"/>
      <c r="F732" s="80"/>
    </row>
    <row r="733" spans="1:6" ht="12.6" customHeight="1" x14ac:dyDescent="0.3">
      <c r="A733" s="80"/>
      <c r="B733" s="80"/>
      <c r="C733" s="80"/>
      <c r="D733" s="80"/>
      <c r="E733" s="80"/>
      <c r="F733" s="80"/>
    </row>
    <row r="734" spans="1:6" ht="12.6" customHeight="1" x14ac:dyDescent="0.3">
      <c r="A734" s="80"/>
      <c r="B734" s="80"/>
      <c r="C734" s="80"/>
      <c r="D734" s="80"/>
      <c r="E734" s="80"/>
      <c r="F734" s="80"/>
    </row>
    <row r="735" spans="1:6" ht="12.6" customHeight="1" x14ac:dyDescent="0.3">
      <c r="A735" s="80"/>
      <c r="B735" s="80"/>
      <c r="C735" s="80"/>
      <c r="D735" s="80"/>
      <c r="E735" s="80"/>
      <c r="F735" s="80"/>
    </row>
    <row r="736" spans="1:6" ht="12.6" customHeight="1" x14ac:dyDescent="0.3">
      <c r="A736" s="80"/>
      <c r="B736" s="80"/>
      <c r="C736" s="80"/>
      <c r="D736" s="80"/>
      <c r="E736" s="80"/>
      <c r="F736" s="80"/>
    </row>
    <row r="737" spans="1:25" ht="12.6" customHeight="1" x14ac:dyDescent="0.3">
      <c r="A737" s="80"/>
      <c r="B737" s="80"/>
      <c r="C737" s="80"/>
      <c r="D737" s="80"/>
      <c r="E737" s="80"/>
      <c r="F737" s="80"/>
    </row>
    <row r="738" spans="1:25" ht="12.6" customHeight="1" x14ac:dyDescent="0.3">
      <c r="A738" s="58"/>
      <c r="B738" s="58"/>
      <c r="C738" s="58"/>
      <c r="D738" s="58"/>
      <c r="E738" s="58"/>
      <c r="F738" s="58"/>
    </row>
    <row r="739" spans="1:25" ht="12.6" customHeight="1" x14ac:dyDescent="0.3">
      <c r="A739" s="141" t="s">
        <v>1346</v>
      </c>
      <c r="B739" s="142"/>
      <c r="C739" s="55">
        <f>E739+D739+F739</f>
        <v>970987</v>
      </c>
      <c r="D739" s="54">
        <f>ROUNDDOWN(SUMIF(N672:N706,M739,D672:D706),0)</f>
        <v>922307</v>
      </c>
      <c r="E739" s="63">
        <f>ROUNDDOWN(SUMIF(N672:N706,M739,E672:E706),0)</f>
        <v>13680</v>
      </c>
      <c r="F739" s="55">
        <f>ROUNDDOWN(SUMIF(N672:N706,M739,F672:F706),0)</f>
        <v>35000</v>
      </c>
      <c r="M739" s="20" t="s">
        <v>1129</v>
      </c>
    </row>
    <row r="740" spans="1:25" ht="12.6" customHeight="1" x14ac:dyDescent="0.3">
      <c r="A740" s="99" t="s">
        <v>75</v>
      </c>
      <c r="B740" s="100" t="s">
        <v>75</v>
      </c>
      <c r="C740" s="147">
        <f>C809</f>
        <v>27665</v>
      </c>
      <c r="D740" s="147">
        <f>D809</f>
        <v>22142</v>
      </c>
      <c r="E740" s="147">
        <f>E809</f>
        <v>2285</v>
      </c>
      <c r="F740" s="147">
        <f>F809</f>
        <v>3238</v>
      </c>
      <c r="G740" s="36" t="str">
        <f>HYPERLINK("#G"&amp;ROW(G773),"_x0005_`BDCOD|D02262_x0007_`POSS|"&amp;ROW(G742)&amp;"_x0007_`POSE|"&amp;ROW(G773)&amp;"_x0007_`")</f>
        <v>_x0005_`BDCOD|D02262_x0007_`POSS|742_x0007_`POSE|773_x0007_`</v>
      </c>
    </row>
    <row r="741" spans="1:25" ht="12.6" customHeight="1" x14ac:dyDescent="0.3">
      <c r="A741" s="85"/>
      <c r="B741" s="100" t="s">
        <v>215</v>
      </c>
      <c r="C741" s="137"/>
      <c r="D741" s="137"/>
      <c r="E741" s="137"/>
      <c r="F741" s="137"/>
      <c r="M741" s="20" t="s">
        <v>214</v>
      </c>
    </row>
    <row r="742" spans="1:25" ht="12.6" customHeight="1" x14ac:dyDescent="0.3">
      <c r="A742" s="80"/>
      <c r="B742" s="80"/>
      <c r="C742" s="102"/>
      <c r="D742" s="102"/>
      <c r="E742" s="102"/>
      <c r="F742" s="102"/>
      <c r="G742" s="16" t="s">
        <v>1324</v>
      </c>
    </row>
    <row r="743" spans="1:25" ht="12.6" customHeight="1" x14ac:dyDescent="0.3">
      <c r="A743" s="70"/>
      <c r="B743" s="79" t="s">
        <v>1647</v>
      </c>
      <c r="C743" s="80"/>
      <c r="D743" s="80"/>
      <c r="E743" s="80"/>
      <c r="F743" s="80"/>
      <c r="G743" s="16" t="s">
        <v>1646</v>
      </c>
    </row>
    <row r="744" spans="1:25" ht="12.6" customHeight="1" x14ac:dyDescent="0.3">
      <c r="A744" s="80"/>
      <c r="B744" s="80"/>
      <c r="C744" s="80"/>
      <c r="D744" s="80"/>
      <c r="E744" s="80"/>
      <c r="F744" s="80"/>
      <c r="G744" s="16" t="s">
        <v>1324</v>
      </c>
    </row>
    <row r="745" spans="1:25" ht="12.6" customHeight="1" x14ac:dyDescent="0.3">
      <c r="A745" s="70"/>
      <c r="B745" s="79" t="s">
        <v>1649</v>
      </c>
      <c r="C745" s="80"/>
      <c r="D745" s="80"/>
      <c r="E745" s="80"/>
      <c r="F745" s="80"/>
      <c r="G745" s="16" t="s">
        <v>1648</v>
      </c>
    </row>
    <row r="746" spans="1:25" ht="12.6" customHeight="1" x14ac:dyDescent="0.3">
      <c r="A746" s="80"/>
      <c r="B746" s="80"/>
      <c r="C746" s="80"/>
      <c r="D746" s="80"/>
      <c r="E746" s="80"/>
      <c r="F746" s="80"/>
      <c r="G746" s="16" t="s">
        <v>1324</v>
      </c>
    </row>
    <row r="747" spans="1:25" ht="12.6" customHeight="1" x14ac:dyDescent="0.3">
      <c r="A747" s="70"/>
      <c r="B747" s="79" t="s">
        <v>1651</v>
      </c>
      <c r="C747" s="80"/>
      <c r="D747" s="80"/>
      <c r="E747" s="80"/>
      <c r="F747" s="80"/>
      <c r="G747" s="16" t="s">
        <v>1650</v>
      </c>
    </row>
    <row r="748" spans="1:25" ht="12.6" customHeight="1" x14ac:dyDescent="0.3">
      <c r="A748" s="80"/>
      <c r="B748" s="80"/>
      <c r="C748" s="80"/>
      <c r="D748" s="80"/>
      <c r="E748" s="80"/>
      <c r="F748" s="80"/>
      <c r="G748" s="16" t="s">
        <v>1324</v>
      </c>
    </row>
    <row r="749" spans="1:25" ht="12.6" customHeight="1" x14ac:dyDescent="0.3">
      <c r="A749" s="70" t="s">
        <v>1653</v>
      </c>
      <c r="B749" s="101" t="str">
        <f>" ○콘크리트공: "&amp;TEXT(I749,"#,##0"&amp;IF(I749&lt;&gt;INT(I749),".###",""))&amp;" * 3.0 인 / Q = "&amp;TEXT(C749,"#,##0.0")&amp;"  원/m3 "</f>
        <v xml:space="preserve"> ○콘크리트공: 261,283 * 3.0 인 / Q = 12,442.0  원/m3 </v>
      </c>
      <c r="C749" s="103">
        <f>E749+D749+F749</f>
        <v>12442</v>
      </c>
      <c r="D749" s="103">
        <f>IF(H749=0,0,ROUNDDOWN(J749*H749,1))</f>
        <v>12442</v>
      </c>
      <c r="E749" s="103">
        <f>IF(H749=0,0,ROUNDDOWN(K749*H749,1))</f>
        <v>0</v>
      </c>
      <c r="F749" s="103">
        <f>IF(H749=0,0,ROUNDDOWN(L749*H749,1))</f>
        <v>0</v>
      </c>
      <c r="G749" s="16" t="s">
        <v>1652</v>
      </c>
      <c r="H749" s="108">
        <v>4.7619047629200002E-2</v>
      </c>
      <c r="I749" s="109">
        <f>K749+J749+L749</f>
        <v>261283</v>
      </c>
      <c r="J749" s="39">
        <f>노무비목록표!E7</f>
        <v>261283</v>
      </c>
      <c r="M749" s="20" t="s">
        <v>1151</v>
      </c>
      <c r="N749" s="20" t="s">
        <v>1345</v>
      </c>
      <c r="O749" s="20" t="s">
        <v>1309</v>
      </c>
      <c r="X749" s="110" t="str">
        <f>노무비목록표!B7&amp;" / "&amp;노무비목록표!C7</f>
        <v xml:space="preserve">콘크리트공 / </v>
      </c>
      <c r="Y749" s="19" t="str">
        <f ca="1">HYPERLINK("#"&amp;노무비목록표!G2&amp;"!A"&amp;ROW(노무비목록표!A7),"노무    4 →")</f>
        <v>노무    4 →</v>
      </c>
    </row>
    <row r="750" spans="1:25" ht="12.6" customHeight="1" x14ac:dyDescent="0.3">
      <c r="A750" s="80"/>
      <c r="B750" s="80"/>
      <c r="C750" s="80"/>
      <c r="D750" s="80"/>
      <c r="E750" s="80"/>
      <c r="F750" s="80"/>
      <c r="G750" s="16" t="s">
        <v>1324</v>
      </c>
    </row>
    <row r="751" spans="1:25" ht="12.6" customHeight="1" x14ac:dyDescent="0.3">
      <c r="A751" s="70" t="s">
        <v>1655</v>
      </c>
      <c r="B751" s="101" t="str">
        <f>" ○보통인부 : "&amp;TEXT(I751,"#,##0"&amp;IF(I751&lt;&gt;INT(I751),".###",""))&amp;" * 1.0 인  / Q = "&amp;TEXT(C751,"#,##0.0")&amp;"  원/m3 "</f>
        <v xml:space="preserve"> ○보통인부 : 165,545 * 1.0 인  / Q = 2,627.6  원/m3 </v>
      </c>
      <c r="C751" s="103">
        <f>E751+D751+F751</f>
        <v>2627.6</v>
      </c>
      <c r="D751" s="103">
        <f>IF(H751=0,0,ROUNDDOWN(J751*H751,1))</f>
        <v>2627.6</v>
      </c>
      <c r="E751" s="103">
        <f>IF(H751=0,0,ROUNDDOWN(K751*H751,1))</f>
        <v>0</v>
      </c>
      <c r="F751" s="103">
        <f>IF(H751=0,0,ROUNDDOWN(L751*H751,1))</f>
        <v>0</v>
      </c>
      <c r="G751" s="16" t="s">
        <v>1654</v>
      </c>
      <c r="H751" s="108">
        <v>1.58730158831E-2</v>
      </c>
      <c r="I751" s="109">
        <f>K751+J751+L751</f>
        <v>165545</v>
      </c>
      <c r="J751" s="39">
        <f>노무비목록표!E9</f>
        <v>165545</v>
      </c>
      <c r="M751" s="20" t="s">
        <v>1127</v>
      </c>
      <c r="N751" s="20" t="s">
        <v>1345</v>
      </c>
      <c r="O751" s="20" t="s">
        <v>1309</v>
      </c>
      <c r="X751" s="110" t="str">
        <f>노무비목록표!B9&amp;" / "&amp;노무비목록표!C9</f>
        <v xml:space="preserve">보통인부 / </v>
      </c>
      <c r="Y751" s="19" t="str">
        <f ca="1">HYPERLINK("#"&amp;노무비목록표!G2&amp;"!A"&amp;ROW(노무비목록표!A9),"노무    6 →")</f>
        <v>노무    6 →</v>
      </c>
    </row>
    <row r="752" spans="1:25" ht="12.6" customHeight="1" x14ac:dyDescent="0.3">
      <c r="A752" s="80"/>
      <c r="B752" s="80"/>
      <c r="C752" s="80"/>
      <c r="D752" s="80"/>
      <c r="E752" s="80"/>
      <c r="F752" s="80"/>
      <c r="G752" s="16" t="s">
        <v>1324</v>
      </c>
    </row>
    <row r="753" spans="1:25" ht="12.6" customHeight="1" x14ac:dyDescent="0.3">
      <c r="A753" s="70"/>
      <c r="B753" s="79" t="s">
        <v>1344</v>
      </c>
      <c r="C753" s="104">
        <f>E753+D753+F753</f>
        <v>15069.6</v>
      </c>
      <c r="D753" s="104">
        <f>SUMIF(N742:N752,M753,D742:D752)</f>
        <v>15069.6</v>
      </c>
      <c r="E753" s="104">
        <f>SUMIF(N742:N752,M753,E742:E752)</f>
        <v>0</v>
      </c>
      <c r="F753" s="104">
        <f>SUMIF(N742:N752,M753,F742:F752)</f>
        <v>0</v>
      </c>
      <c r="G753" s="16" t="s">
        <v>1343</v>
      </c>
      <c r="M753" s="20" t="s">
        <v>1345</v>
      </c>
      <c r="N753" s="20" t="s">
        <v>1368</v>
      </c>
    </row>
    <row r="754" spans="1:25" ht="12.6" customHeight="1" x14ac:dyDescent="0.3">
      <c r="A754" s="80"/>
      <c r="B754" s="80"/>
      <c r="C754" s="102"/>
      <c r="D754" s="102"/>
      <c r="E754" s="102"/>
      <c r="F754" s="102"/>
      <c r="G754" s="16" t="s">
        <v>1324</v>
      </c>
    </row>
    <row r="755" spans="1:25" ht="12.6" customHeight="1" x14ac:dyDescent="0.3">
      <c r="A755" s="70"/>
      <c r="B755" s="79" t="s">
        <v>1657</v>
      </c>
      <c r="C755" s="80"/>
      <c r="D755" s="80"/>
      <c r="E755" s="80"/>
      <c r="F755" s="80"/>
      <c r="G755" s="16" t="s">
        <v>1656</v>
      </c>
    </row>
    <row r="756" spans="1:25" ht="12.6" customHeight="1" x14ac:dyDescent="0.3">
      <c r="A756" s="80"/>
      <c r="B756" s="80"/>
      <c r="C756" s="80"/>
      <c r="D756" s="80"/>
      <c r="E756" s="80"/>
      <c r="F756" s="80"/>
      <c r="G756" s="16" t="s">
        <v>1324</v>
      </c>
    </row>
    <row r="757" spans="1:25" ht="12.6" customHeight="1" x14ac:dyDescent="0.3">
      <c r="A757" s="70"/>
      <c r="B757" s="101" t="str">
        <f>"  공구손료 :  "&amp;TEXT(I757,"#,##0.0")&amp;" * 2 % = "&amp;TEXT(C757,"#,##0.0")&amp;""</f>
        <v xml:space="preserve">  공구손료 :  15,069.6 * 2 % = 301.3</v>
      </c>
      <c r="C757" s="103">
        <f>E757+D757+F757</f>
        <v>301.3</v>
      </c>
      <c r="D757" s="103">
        <f>IF(H757=0,0,ROUNDDOWN(J757*H757/100,1))</f>
        <v>0</v>
      </c>
      <c r="E757" s="103">
        <f>IF(H757=0,0,ROUNDDOWN(K757*H757/100,1))</f>
        <v>0</v>
      </c>
      <c r="F757" s="103">
        <f>IF(H757=0,0,ROUNDDOWN(L757*H757/100,1))</f>
        <v>301.3</v>
      </c>
      <c r="G757" s="16" t="s">
        <v>1658</v>
      </c>
      <c r="H757" s="108">
        <v>2</v>
      </c>
      <c r="I757" s="109">
        <f>K757+J757+L757</f>
        <v>15069.6</v>
      </c>
      <c r="J757" s="37">
        <v>0</v>
      </c>
      <c r="K757" s="37">
        <v>0</v>
      </c>
      <c r="L757" s="39">
        <f>SUMIF(O742:O756,"1_01",C742:C756)</f>
        <v>15069.6</v>
      </c>
      <c r="M757" s="20" t="s">
        <v>1572</v>
      </c>
      <c r="N757" s="20" t="s">
        <v>1345</v>
      </c>
    </row>
    <row r="758" spans="1:25" ht="12.6" customHeight="1" x14ac:dyDescent="0.3">
      <c r="A758" s="80"/>
      <c r="B758" s="80"/>
      <c r="C758" s="80"/>
      <c r="D758" s="80"/>
      <c r="E758" s="80"/>
      <c r="F758" s="80"/>
      <c r="G758" s="16" t="s">
        <v>1324</v>
      </c>
    </row>
    <row r="759" spans="1:25" ht="12.6" customHeight="1" x14ac:dyDescent="0.3">
      <c r="A759" s="70"/>
      <c r="B759" s="79" t="s">
        <v>1344</v>
      </c>
      <c r="C759" s="104">
        <f>E759+D759+F759</f>
        <v>301.3</v>
      </c>
      <c r="D759" s="104">
        <f>SUMIF(N754:N758,M759,D754:D758)</f>
        <v>0</v>
      </c>
      <c r="E759" s="104">
        <f>SUMIF(N754:N758,M759,E754:E758)</f>
        <v>0</v>
      </c>
      <c r="F759" s="104">
        <f>SUMIF(N754:N758,M759,F754:F758)</f>
        <v>301.3</v>
      </c>
      <c r="G759" s="16" t="s">
        <v>1343</v>
      </c>
      <c r="M759" s="20" t="s">
        <v>1345</v>
      </c>
      <c r="N759" s="20" t="s">
        <v>1368</v>
      </c>
    </row>
    <row r="760" spans="1:25" ht="12.6" customHeight="1" x14ac:dyDescent="0.3">
      <c r="A760" s="80"/>
      <c r="B760" s="80"/>
      <c r="C760" s="102"/>
      <c r="D760" s="102"/>
      <c r="E760" s="102"/>
      <c r="F760" s="102"/>
      <c r="G760" s="16" t="s">
        <v>1324</v>
      </c>
    </row>
    <row r="761" spans="1:25" ht="12.6" customHeight="1" x14ac:dyDescent="0.3">
      <c r="A761" s="70"/>
      <c r="B761" s="79" t="s">
        <v>1660</v>
      </c>
      <c r="C761" s="80"/>
      <c r="D761" s="80"/>
      <c r="E761" s="80"/>
      <c r="F761" s="80"/>
      <c r="G761" s="16" t="s">
        <v>1659</v>
      </c>
    </row>
    <row r="762" spans="1:25" ht="12.6" customHeight="1" x14ac:dyDescent="0.3">
      <c r="A762" s="80"/>
      <c r="B762" s="80"/>
      <c r="C762" s="80"/>
      <c r="D762" s="80"/>
      <c r="E762" s="80"/>
      <c r="F762" s="80"/>
      <c r="G762" s="16" t="s">
        <v>1324</v>
      </c>
    </row>
    <row r="763" spans="1:25" ht="12.6" customHeight="1" x14ac:dyDescent="0.3">
      <c r="A763" s="70"/>
      <c r="B763" s="79" t="s">
        <v>1662</v>
      </c>
      <c r="C763" s="80"/>
      <c r="D763" s="80"/>
      <c r="E763" s="80"/>
      <c r="F763" s="80"/>
      <c r="G763" s="16" t="s">
        <v>1661</v>
      </c>
    </row>
    <row r="764" spans="1:25" ht="12.6" customHeight="1" x14ac:dyDescent="0.3">
      <c r="A764" s="80"/>
      <c r="B764" s="80"/>
      <c r="C764" s="80"/>
      <c r="D764" s="80"/>
      <c r="E764" s="80"/>
      <c r="F764" s="80"/>
      <c r="G764" s="16" t="s">
        <v>1324</v>
      </c>
    </row>
    <row r="765" spans="1:25" ht="12.6" customHeight="1" x14ac:dyDescent="0.3">
      <c r="A765" s="70" t="s">
        <v>1524</v>
      </c>
      <c r="B765" s="101" t="str">
        <f>" 노 무 비 :  "&amp;TEXT(I765,"#,##0"&amp;IF(I765&lt;&gt;INT(I765),".###",""))&amp;" * 8 / Q = "&amp;TEXT(C765,"#,##0.0")&amp;""</f>
        <v xml:space="preserve"> 노 무 비 :  55,700 * 8 / Q = 7,073.0</v>
      </c>
      <c r="C765" s="103">
        <f>E765+D765+F765</f>
        <v>7073</v>
      </c>
      <c r="D765" s="103">
        <f>IF(H765=0,0,ROUNDDOWN(J765*H765,1))</f>
        <v>7073</v>
      </c>
      <c r="E765" s="103">
        <f>IF(H765=0,0,ROUNDDOWN(K765*H765,1))</f>
        <v>0</v>
      </c>
      <c r="F765" s="103">
        <f>IF(H765=0,0,ROUNDDOWN(L765*H765,1))</f>
        <v>0</v>
      </c>
      <c r="G765" s="16" t="s">
        <v>1663</v>
      </c>
      <c r="H765" s="108">
        <v>0.1269841269942</v>
      </c>
      <c r="I765" s="109">
        <f>K765+J765+L765</f>
        <v>55700</v>
      </c>
      <c r="J765" s="39">
        <f>중기목록표!F7</f>
        <v>55700</v>
      </c>
      <c r="M765" s="20" t="s">
        <v>1179</v>
      </c>
      <c r="N765" s="20" t="s">
        <v>1345</v>
      </c>
      <c r="X765" s="110" t="str">
        <f>중기목록표!B7&amp;" / "&amp;중기목록표!C7</f>
        <v xml:space="preserve">굴삭기(0.7m3) / </v>
      </c>
      <c r="Y765" s="19" t="str">
        <f ca="1">HYPERLINK("#"&amp;중기목록표!J2&amp;"!A"&amp;ROW(중기목록표!A7),"중기    4 →")</f>
        <v>중기    4 →</v>
      </c>
    </row>
    <row r="766" spans="1:25" ht="12.6" customHeight="1" x14ac:dyDescent="0.3">
      <c r="A766" s="80"/>
      <c r="B766" s="80"/>
      <c r="C766" s="80"/>
      <c r="D766" s="80"/>
      <c r="E766" s="80"/>
      <c r="F766" s="80"/>
      <c r="G766" s="16" t="s">
        <v>1324</v>
      </c>
    </row>
    <row r="767" spans="1:25" ht="12.6" customHeight="1" x14ac:dyDescent="0.3">
      <c r="A767" s="70" t="s">
        <v>1526</v>
      </c>
      <c r="B767" s="101" t="str">
        <f>" 재 료 비 :  "&amp;TEXT(I767,"#,##0"&amp;IF(I767&lt;&gt;INT(I767),".###",""))&amp;" * 8 / Q = "&amp;TEXT(C767,"#,##0.0")&amp;""</f>
        <v xml:space="preserve"> 재 료 비 :  18,001 * 8 / Q = 2,285.8</v>
      </c>
      <c r="C767" s="103">
        <f>E767+D767+F767</f>
        <v>2285.8000000000002</v>
      </c>
      <c r="D767" s="103">
        <f>IF(H767=0,0,ROUNDDOWN(J767*H767,1))</f>
        <v>0</v>
      </c>
      <c r="E767" s="103">
        <f>IF(H767=0,0,ROUNDDOWN(K767*H767,1))</f>
        <v>2285.8000000000002</v>
      </c>
      <c r="F767" s="103">
        <f>IF(H767=0,0,ROUNDDOWN(L767*H767,1))</f>
        <v>0</v>
      </c>
      <c r="G767" s="16" t="s">
        <v>1664</v>
      </c>
      <c r="H767" s="108">
        <v>0.1269841269942</v>
      </c>
      <c r="I767" s="109">
        <f>K767+J767+L767</f>
        <v>18001</v>
      </c>
      <c r="K767" s="39">
        <f>중기목록표!G7</f>
        <v>18001</v>
      </c>
      <c r="M767" s="20" t="s">
        <v>1179</v>
      </c>
      <c r="N767" s="20" t="s">
        <v>1345</v>
      </c>
      <c r="X767" s="110" t="str">
        <f>중기목록표!B7&amp;" / "&amp;중기목록표!C7</f>
        <v xml:space="preserve">굴삭기(0.7m3) / </v>
      </c>
      <c r="Y767" s="19" t="str">
        <f ca="1">HYPERLINK("#"&amp;중기목록표!J2&amp;"!A"&amp;ROW(중기목록표!A7),"중기    4 →")</f>
        <v>중기    4 →</v>
      </c>
    </row>
    <row r="768" spans="1:25" ht="12.6" customHeight="1" x14ac:dyDescent="0.3">
      <c r="A768" s="80"/>
      <c r="B768" s="80"/>
      <c r="C768" s="80"/>
      <c r="D768" s="80"/>
      <c r="E768" s="80"/>
      <c r="F768" s="80"/>
      <c r="G768" s="16" t="s">
        <v>1324</v>
      </c>
    </row>
    <row r="769" spans="1:25" ht="12.6" customHeight="1" x14ac:dyDescent="0.3">
      <c r="A769" s="70" t="s">
        <v>1528</v>
      </c>
      <c r="B769" s="101" t="str">
        <f>" 경    비 :  "&amp;TEXT(I769,"#,##0"&amp;IF(I769&lt;&gt;INT(I769),".###",""))&amp;" * 8 / Q = "&amp;TEXT(C769,"#,##0.0")&amp;""</f>
        <v xml:space="preserve"> 경    비 :  23,128 * 8 / Q = 2,936.8</v>
      </c>
      <c r="C769" s="103">
        <f>E769+D769+F769</f>
        <v>2936.8</v>
      </c>
      <c r="D769" s="103">
        <f>IF(H769=0,0,ROUNDDOWN(J769*H769,1))</f>
        <v>0</v>
      </c>
      <c r="E769" s="103">
        <f>IF(H769=0,0,ROUNDDOWN(K769*H769,1))</f>
        <v>0</v>
      </c>
      <c r="F769" s="103">
        <f>IF(H769=0,0,ROUNDDOWN(L769*H769,1))</f>
        <v>2936.8</v>
      </c>
      <c r="G769" s="16" t="s">
        <v>1665</v>
      </c>
      <c r="H769" s="108">
        <v>0.1269841269942</v>
      </c>
      <c r="I769" s="109">
        <f>K769+J769+L769</f>
        <v>23128</v>
      </c>
      <c r="L769" s="39">
        <f>중기목록표!H7</f>
        <v>23128</v>
      </c>
      <c r="M769" s="20" t="s">
        <v>1179</v>
      </c>
      <c r="N769" s="20" t="s">
        <v>1345</v>
      </c>
      <c r="X769" s="110" t="str">
        <f>중기목록표!B7&amp;" / "&amp;중기목록표!C7</f>
        <v xml:space="preserve">굴삭기(0.7m3) / </v>
      </c>
      <c r="Y769" s="19" t="str">
        <f ca="1">HYPERLINK("#"&amp;중기목록표!J2&amp;"!A"&amp;ROW(중기목록표!A7),"중기    4 →")</f>
        <v>중기    4 →</v>
      </c>
    </row>
    <row r="770" spans="1:25" ht="12.6" customHeight="1" x14ac:dyDescent="0.3">
      <c r="A770" s="80"/>
      <c r="B770" s="80"/>
      <c r="C770" s="80"/>
      <c r="D770" s="80"/>
      <c r="E770" s="80"/>
      <c r="F770" s="80"/>
      <c r="G770" s="16" t="s">
        <v>1324</v>
      </c>
    </row>
    <row r="771" spans="1:25" ht="12.6" customHeight="1" x14ac:dyDescent="0.3">
      <c r="A771" s="70"/>
      <c r="B771" s="79" t="s">
        <v>1344</v>
      </c>
      <c r="C771" s="104">
        <f>E771+D771+F771</f>
        <v>12295.599999999999</v>
      </c>
      <c r="D771" s="104">
        <f>SUMIF(N760:N770,M771,D760:D770)</f>
        <v>7073</v>
      </c>
      <c r="E771" s="104">
        <f>SUMIF(N760:N770,M771,E760:E770)</f>
        <v>2285.8000000000002</v>
      </c>
      <c r="F771" s="104">
        <f>SUMIF(N760:N770,M771,F760:F770)</f>
        <v>2936.8</v>
      </c>
      <c r="G771" s="16" t="s">
        <v>1343</v>
      </c>
      <c r="M771" s="20" t="s">
        <v>1345</v>
      </c>
      <c r="N771" s="20" t="s">
        <v>1368</v>
      </c>
    </row>
    <row r="772" spans="1:25" ht="12.6" customHeight="1" x14ac:dyDescent="0.3">
      <c r="A772" s="80"/>
      <c r="B772" s="80"/>
      <c r="C772" s="102"/>
      <c r="D772" s="102"/>
      <c r="E772" s="102"/>
      <c r="F772" s="102"/>
      <c r="G772" s="16" t="s">
        <v>1324</v>
      </c>
    </row>
    <row r="773" spans="1:25" ht="12.6" customHeight="1" x14ac:dyDescent="0.3">
      <c r="A773" s="70"/>
      <c r="B773" s="79" t="s">
        <v>1171</v>
      </c>
      <c r="C773" s="104">
        <f>E773+D773+F773</f>
        <v>27666.5</v>
      </c>
      <c r="D773" s="104">
        <f>SUMIF(N742:N772,M773,D742:D772)</f>
        <v>22142.6</v>
      </c>
      <c r="E773" s="104">
        <f>SUMIF(N742:N772,M773,E742:E772)</f>
        <v>2285.8000000000002</v>
      </c>
      <c r="F773" s="104">
        <f>SUMIF(N742:N772,M773,F742:F772)</f>
        <v>3238.1000000000004</v>
      </c>
      <c r="G773" s="16" t="s">
        <v>1367</v>
      </c>
      <c r="M773" s="20" t="s">
        <v>1368</v>
      </c>
      <c r="N773" s="20" t="s">
        <v>1129</v>
      </c>
    </row>
    <row r="774" spans="1:25" ht="12.6" customHeight="1" x14ac:dyDescent="0.3">
      <c r="A774" s="80"/>
      <c r="B774" s="80"/>
      <c r="C774" s="102"/>
      <c r="D774" s="102"/>
      <c r="E774" s="102"/>
      <c r="F774" s="102"/>
    </row>
    <row r="775" spans="1:25" ht="12.6" customHeight="1" x14ac:dyDescent="0.3">
      <c r="A775" s="80"/>
      <c r="B775" s="80"/>
      <c r="C775" s="80"/>
      <c r="D775" s="80"/>
      <c r="E775" s="80"/>
      <c r="F775" s="80"/>
    </row>
    <row r="776" spans="1:25" ht="12.6" customHeight="1" x14ac:dyDescent="0.3">
      <c r="A776" s="80"/>
      <c r="B776" s="80"/>
      <c r="C776" s="80"/>
      <c r="D776" s="80"/>
      <c r="E776" s="80"/>
      <c r="F776" s="80"/>
    </row>
    <row r="777" spans="1:25" ht="12.6" customHeight="1" x14ac:dyDescent="0.3">
      <c r="A777" s="80"/>
      <c r="B777" s="80"/>
      <c r="C777" s="80"/>
      <c r="D777" s="80"/>
      <c r="E777" s="80"/>
      <c r="F777" s="80"/>
    </row>
    <row r="778" spans="1:25" ht="12.6" customHeight="1" x14ac:dyDescent="0.3">
      <c r="A778" s="80"/>
      <c r="B778" s="80"/>
      <c r="C778" s="80"/>
      <c r="D778" s="80"/>
      <c r="E778" s="80"/>
      <c r="F778" s="80"/>
    </row>
    <row r="779" spans="1:25" ht="12.6" customHeight="1" x14ac:dyDescent="0.3">
      <c r="A779" s="80"/>
      <c r="B779" s="80"/>
      <c r="C779" s="80"/>
      <c r="D779" s="80"/>
      <c r="E779" s="80"/>
      <c r="F779" s="80"/>
    </row>
    <row r="780" spans="1:25" ht="12.6" customHeight="1" x14ac:dyDescent="0.3">
      <c r="A780" s="80"/>
      <c r="B780" s="80"/>
      <c r="C780" s="80"/>
      <c r="D780" s="80"/>
      <c r="E780" s="80"/>
      <c r="F780" s="80"/>
    </row>
    <row r="781" spans="1:25" ht="12.6" customHeight="1" x14ac:dyDescent="0.3">
      <c r="A781" s="80"/>
      <c r="B781" s="80"/>
      <c r="C781" s="80"/>
      <c r="D781" s="80"/>
      <c r="E781" s="80"/>
      <c r="F781" s="80"/>
    </row>
    <row r="782" spans="1:25" ht="12.6" customHeight="1" x14ac:dyDescent="0.3">
      <c r="A782" s="80"/>
      <c r="B782" s="80"/>
      <c r="C782" s="80"/>
      <c r="D782" s="80"/>
      <c r="E782" s="80"/>
      <c r="F782" s="80"/>
    </row>
    <row r="783" spans="1:25" ht="12.6" customHeight="1" x14ac:dyDescent="0.3">
      <c r="A783" s="80"/>
      <c r="B783" s="80"/>
      <c r="C783" s="80"/>
      <c r="D783" s="80"/>
      <c r="E783" s="80"/>
      <c r="F783" s="80"/>
    </row>
    <row r="784" spans="1:25" ht="12.6" customHeight="1" x14ac:dyDescent="0.3">
      <c r="A784" s="80"/>
      <c r="B784" s="80"/>
      <c r="C784" s="80"/>
      <c r="D784" s="80"/>
      <c r="E784" s="80"/>
      <c r="F784" s="80"/>
    </row>
    <row r="785" spans="1:6" ht="12.6" customHeight="1" x14ac:dyDescent="0.3">
      <c r="A785" s="80"/>
      <c r="B785" s="80"/>
      <c r="C785" s="80"/>
      <c r="D785" s="80"/>
      <c r="E785" s="80"/>
      <c r="F785" s="80"/>
    </row>
    <row r="786" spans="1:6" ht="12.6" customHeight="1" x14ac:dyDescent="0.3">
      <c r="A786" s="80"/>
      <c r="B786" s="80"/>
      <c r="C786" s="80"/>
      <c r="D786" s="80"/>
      <c r="E786" s="80"/>
      <c r="F786" s="80"/>
    </row>
    <row r="787" spans="1:6" ht="12.6" customHeight="1" x14ac:dyDescent="0.3">
      <c r="A787" s="80"/>
      <c r="B787" s="80"/>
      <c r="C787" s="80"/>
      <c r="D787" s="80"/>
      <c r="E787" s="80"/>
      <c r="F787" s="80"/>
    </row>
    <row r="788" spans="1:6" ht="12.6" customHeight="1" x14ac:dyDescent="0.3">
      <c r="A788" s="80"/>
      <c r="B788" s="80"/>
      <c r="C788" s="80"/>
      <c r="D788" s="80"/>
      <c r="E788" s="80"/>
      <c r="F788" s="80"/>
    </row>
    <row r="789" spans="1:6" ht="12.6" customHeight="1" x14ac:dyDescent="0.3">
      <c r="A789" s="80"/>
      <c r="B789" s="80"/>
      <c r="C789" s="80"/>
      <c r="D789" s="80"/>
      <c r="E789" s="80"/>
      <c r="F789" s="80"/>
    </row>
    <row r="790" spans="1:6" ht="12.6" customHeight="1" x14ac:dyDescent="0.3">
      <c r="A790" s="80"/>
      <c r="B790" s="80"/>
      <c r="C790" s="80"/>
      <c r="D790" s="80"/>
      <c r="E790" s="80"/>
      <c r="F790" s="80"/>
    </row>
    <row r="791" spans="1:6" ht="12.6" customHeight="1" x14ac:dyDescent="0.3">
      <c r="A791" s="80"/>
      <c r="B791" s="80"/>
      <c r="C791" s="80"/>
      <c r="D791" s="80"/>
      <c r="E791" s="80"/>
      <c r="F791" s="80"/>
    </row>
    <row r="792" spans="1:6" ht="12.6" customHeight="1" x14ac:dyDescent="0.3">
      <c r="A792" s="80"/>
      <c r="B792" s="80"/>
      <c r="C792" s="80"/>
      <c r="D792" s="80"/>
      <c r="E792" s="80"/>
      <c r="F792" s="80"/>
    </row>
    <row r="793" spans="1:6" ht="12.6" customHeight="1" x14ac:dyDescent="0.3">
      <c r="A793" s="80"/>
      <c r="B793" s="80"/>
      <c r="C793" s="80"/>
      <c r="D793" s="80"/>
      <c r="E793" s="80"/>
      <c r="F793" s="80"/>
    </row>
    <row r="794" spans="1:6" ht="12.6" customHeight="1" x14ac:dyDescent="0.3">
      <c r="A794" s="80"/>
      <c r="B794" s="80"/>
      <c r="C794" s="80"/>
      <c r="D794" s="80"/>
      <c r="E794" s="80"/>
      <c r="F794" s="80"/>
    </row>
    <row r="795" spans="1:6" ht="12.6" customHeight="1" x14ac:dyDescent="0.3">
      <c r="A795" s="80"/>
      <c r="B795" s="80"/>
      <c r="C795" s="80"/>
      <c r="D795" s="80"/>
      <c r="E795" s="80"/>
      <c r="F795" s="80"/>
    </row>
    <row r="796" spans="1:6" ht="12.6" customHeight="1" x14ac:dyDescent="0.3">
      <c r="A796" s="80"/>
      <c r="B796" s="80"/>
      <c r="C796" s="80"/>
      <c r="D796" s="80"/>
      <c r="E796" s="80"/>
      <c r="F796" s="80"/>
    </row>
    <row r="797" spans="1:6" ht="12.6" customHeight="1" x14ac:dyDescent="0.3">
      <c r="A797" s="80"/>
      <c r="B797" s="80"/>
      <c r="C797" s="80"/>
      <c r="D797" s="80"/>
      <c r="E797" s="80"/>
      <c r="F797" s="80"/>
    </row>
    <row r="798" spans="1:6" ht="12.6" customHeight="1" x14ac:dyDescent="0.3">
      <c r="A798" s="80"/>
      <c r="B798" s="80"/>
      <c r="C798" s="80"/>
      <c r="D798" s="80"/>
      <c r="E798" s="80"/>
      <c r="F798" s="80"/>
    </row>
    <row r="799" spans="1:6" ht="12.6" customHeight="1" x14ac:dyDescent="0.3">
      <c r="A799" s="80"/>
      <c r="B799" s="80"/>
      <c r="C799" s="80"/>
      <c r="D799" s="80"/>
      <c r="E799" s="80"/>
      <c r="F799" s="80"/>
    </row>
    <row r="800" spans="1:6" ht="12.6" customHeight="1" x14ac:dyDescent="0.3">
      <c r="A800" s="80"/>
      <c r="B800" s="80"/>
      <c r="C800" s="80"/>
      <c r="D800" s="80"/>
      <c r="E800" s="80"/>
      <c r="F800" s="80"/>
    </row>
    <row r="801" spans="1:13" ht="12.6" customHeight="1" x14ac:dyDescent="0.3">
      <c r="A801" s="80"/>
      <c r="B801" s="80"/>
      <c r="C801" s="80"/>
      <c r="D801" s="80"/>
      <c r="E801" s="80"/>
      <c r="F801" s="80"/>
    </row>
    <row r="802" spans="1:13" ht="12.6" customHeight="1" x14ac:dyDescent="0.3">
      <c r="A802" s="80"/>
      <c r="B802" s="80"/>
      <c r="C802" s="80"/>
      <c r="D802" s="80"/>
      <c r="E802" s="80"/>
      <c r="F802" s="80"/>
    </row>
    <row r="803" spans="1:13" ht="12.6" customHeight="1" x14ac:dyDescent="0.3">
      <c r="A803" s="80"/>
      <c r="B803" s="80"/>
      <c r="C803" s="80"/>
      <c r="D803" s="80"/>
      <c r="E803" s="80"/>
      <c r="F803" s="80"/>
    </row>
    <row r="804" spans="1:13" ht="12.6" customHeight="1" x14ac:dyDescent="0.3">
      <c r="A804" s="80"/>
      <c r="B804" s="80"/>
      <c r="C804" s="80"/>
      <c r="D804" s="80"/>
      <c r="E804" s="80"/>
      <c r="F804" s="80"/>
    </row>
    <row r="805" spans="1:13" ht="12.6" customHeight="1" x14ac:dyDescent="0.3">
      <c r="A805" s="80"/>
      <c r="B805" s="80"/>
      <c r="C805" s="80"/>
      <c r="D805" s="80"/>
      <c r="E805" s="80"/>
      <c r="F805" s="80"/>
    </row>
    <row r="806" spans="1:13" ht="12.6" customHeight="1" x14ac:dyDescent="0.3">
      <c r="A806" s="80"/>
      <c r="B806" s="80"/>
      <c r="C806" s="80"/>
      <c r="D806" s="80"/>
      <c r="E806" s="80"/>
      <c r="F806" s="80"/>
    </row>
    <row r="807" spans="1:13" ht="12.6" customHeight="1" x14ac:dyDescent="0.3">
      <c r="A807" s="80"/>
      <c r="B807" s="80"/>
      <c r="C807" s="80"/>
      <c r="D807" s="80"/>
      <c r="E807" s="80"/>
      <c r="F807" s="80"/>
    </row>
    <row r="808" spans="1:13" ht="12.6" customHeight="1" x14ac:dyDescent="0.3">
      <c r="A808" s="58"/>
      <c r="B808" s="58"/>
      <c r="C808" s="58"/>
      <c r="D808" s="58"/>
      <c r="E808" s="58"/>
      <c r="F808" s="58"/>
    </row>
    <row r="809" spans="1:13" ht="12.6" customHeight="1" x14ac:dyDescent="0.3">
      <c r="A809" s="141" t="s">
        <v>1346</v>
      </c>
      <c r="B809" s="142"/>
      <c r="C809" s="55">
        <f>E809+D809+F809</f>
        <v>27665</v>
      </c>
      <c r="D809" s="54">
        <f>ROUNDDOWN(SUMIF(N742:N773,M809,D742:D773),0)</f>
        <v>22142</v>
      </c>
      <c r="E809" s="63">
        <f>ROUNDDOWN(SUMIF(N742:N773,M809,E742:E773),0)</f>
        <v>2285</v>
      </c>
      <c r="F809" s="55">
        <f>ROUNDDOWN(SUMIF(N742:N773,M809,F742:F773),0)</f>
        <v>3238</v>
      </c>
      <c r="M809" s="20" t="s">
        <v>1129</v>
      </c>
    </row>
    <row r="810" spans="1:13" ht="12.6" customHeight="1" x14ac:dyDescent="0.3">
      <c r="A810" s="99" t="s">
        <v>79</v>
      </c>
      <c r="B810" s="100" t="s">
        <v>79</v>
      </c>
      <c r="C810" s="147">
        <f>C843</f>
        <v>1714</v>
      </c>
      <c r="D810" s="147">
        <f>D843</f>
        <v>987</v>
      </c>
      <c r="E810" s="147">
        <f>E843</f>
        <v>318</v>
      </c>
      <c r="F810" s="147">
        <f>F843</f>
        <v>409</v>
      </c>
      <c r="G810" s="36" t="str">
        <f>HYPERLINK("#G"&amp;ROW(G839),"_x0005_`BDCOD|D02264_x0007_`POSS|"&amp;ROW(G812)&amp;"_x0007_`POSE|"&amp;ROW(G839)&amp;"_x0007_`")</f>
        <v>_x0005_`BDCOD|D02264_x0007_`POSS|812_x0007_`POSE|839_x0007_`</v>
      </c>
    </row>
    <row r="811" spans="1:13" ht="12.6" customHeight="1" x14ac:dyDescent="0.3">
      <c r="A811" s="85"/>
      <c r="B811" s="100" t="s">
        <v>219</v>
      </c>
      <c r="C811" s="137"/>
      <c r="D811" s="137"/>
      <c r="E811" s="137"/>
      <c r="F811" s="137"/>
      <c r="M811" s="20" t="s">
        <v>218</v>
      </c>
    </row>
    <row r="812" spans="1:13" ht="12.6" customHeight="1" x14ac:dyDescent="0.3">
      <c r="A812" s="80"/>
      <c r="B812" s="80"/>
      <c r="C812" s="102"/>
      <c r="D812" s="102"/>
      <c r="E812" s="102"/>
      <c r="F812" s="102"/>
      <c r="G812" s="16" t="s">
        <v>1324</v>
      </c>
    </row>
    <row r="813" spans="1:13" ht="12.6" customHeight="1" x14ac:dyDescent="0.3">
      <c r="A813" s="70"/>
      <c r="B813" s="79" t="s">
        <v>1667</v>
      </c>
      <c r="C813" s="80"/>
      <c r="D813" s="80"/>
      <c r="E813" s="80"/>
      <c r="F813" s="80"/>
      <c r="G813" s="16" t="s">
        <v>1666</v>
      </c>
    </row>
    <row r="814" spans="1:13" ht="12.6" customHeight="1" x14ac:dyDescent="0.3">
      <c r="A814" s="80"/>
      <c r="B814" s="80"/>
      <c r="C814" s="80"/>
      <c r="D814" s="80"/>
      <c r="E814" s="80"/>
      <c r="F814" s="80"/>
      <c r="G814" s="16" t="s">
        <v>1324</v>
      </c>
    </row>
    <row r="815" spans="1:13" ht="12.6" customHeight="1" x14ac:dyDescent="0.3">
      <c r="A815" s="70"/>
      <c r="B815" s="79" t="s">
        <v>1669</v>
      </c>
      <c r="C815" s="80"/>
      <c r="D815" s="80"/>
      <c r="E815" s="80"/>
      <c r="F815" s="80"/>
      <c r="G815" s="16" t="s">
        <v>1668</v>
      </c>
    </row>
    <row r="816" spans="1:13" ht="12.6" customHeight="1" x14ac:dyDescent="0.3">
      <c r="A816" s="80"/>
      <c r="B816" s="80"/>
      <c r="C816" s="80"/>
      <c r="D816" s="80"/>
      <c r="E816" s="80"/>
      <c r="F816" s="80"/>
      <c r="G816" s="16" t="s">
        <v>1324</v>
      </c>
    </row>
    <row r="817" spans="1:25" ht="12.6" customHeight="1" x14ac:dyDescent="0.3">
      <c r="A817" s="70"/>
      <c r="B817" s="79" t="s">
        <v>1671</v>
      </c>
      <c r="C817" s="80"/>
      <c r="D817" s="80"/>
      <c r="E817" s="80"/>
      <c r="F817" s="80"/>
      <c r="G817" s="16" t="s">
        <v>1670</v>
      </c>
    </row>
    <row r="818" spans="1:25" ht="12.6" customHeight="1" x14ac:dyDescent="0.3">
      <c r="A818" s="80"/>
      <c r="B818" s="80"/>
      <c r="C818" s="80"/>
      <c r="D818" s="80"/>
      <c r="E818" s="80"/>
      <c r="F818" s="80"/>
      <c r="G818" s="16" t="s">
        <v>1324</v>
      </c>
    </row>
    <row r="819" spans="1:25" ht="12.6" customHeight="1" x14ac:dyDescent="0.3">
      <c r="A819" s="70"/>
      <c r="B819" s="79" t="s">
        <v>1673</v>
      </c>
      <c r="C819" s="80"/>
      <c r="D819" s="80"/>
      <c r="E819" s="80"/>
      <c r="F819" s="80"/>
      <c r="G819" s="16" t="s">
        <v>1672</v>
      </c>
    </row>
    <row r="820" spans="1:25" ht="12.6" customHeight="1" x14ac:dyDescent="0.3">
      <c r="A820" s="80"/>
      <c r="B820" s="80"/>
      <c r="C820" s="80"/>
      <c r="D820" s="80"/>
      <c r="E820" s="80"/>
      <c r="F820" s="80"/>
      <c r="G820" s="16" t="s">
        <v>1324</v>
      </c>
    </row>
    <row r="821" spans="1:25" ht="12.6" customHeight="1" x14ac:dyDescent="0.3">
      <c r="A821" s="70"/>
      <c r="B821" s="79" t="s">
        <v>1675</v>
      </c>
      <c r="C821" s="80"/>
      <c r="D821" s="80"/>
      <c r="E821" s="80"/>
      <c r="F821" s="80"/>
      <c r="G821" s="16" t="s">
        <v>1674</v>
      </c>
    </row>
    <row r="822" spans="1:25" ht="12.6" customHeight="1" x14ac:dyDescent="0.3">
      <c r="A822" s="80"/>
      <c r="B822" s="80"/>
      <c r="C822" s="80"/>
      <c r="D822" s="80"/>
      <c r="E822" s="80"/>
      <c r="F822" s="80"/>
      <c r="G822" s="16" t="s">
        <v>1327</v>
      </c>
    </row>
    <row r="823" spans="1:25" ht="12.6" customHeight="1" x14ac:dyDescent="0.3">
      <c r="A823" s="70"/>
      <c r="B823" s="79" t="s">
        <v>1676</v>
      </c>
      <c r="C823" s="80"/>
      <c r="D823" s="80"/>
      <c r="E823" s="80"/>
      <c r="F823" s="80"/>
      <c r="G823" s="16" t="s">
        <v>1391</v>
      </c>
    </row>
    <row r="824" spans="1:25" ht="12.6" customHeight="1" x14ac:dyDescent="0.3">
      <c r="A824" s="80"/>
      <c r="B824" s="80"/>
      <c r="C824" s="80"/>
      <c r="D824" s="80"/>
      <c r="E824" s="80"/>
      <c r="F824" s="80"/>
      <c r="G824" s="16" t="s">
        <v>1324</v>
      </c>
    </row>
    <row r="825" spans="1:25" ht="12.6" customHeight="1" x14ac:dyDescent="0.3">
      <c r="A825" s="80"/>
      <c r="B825" s="80"/>
      <c r="C825" s="80"/>
      <c r="D825" s="80"/>
      <c r="E825" s="80"/>
      <c r="F825" s="80"/>
      <c r="G825" s="16" t="s">
        <v>1324</v>
      </c>
    </row>
    <row r="826" spans="1:25" ht="12.6" customHeight="1" x14ac:dyDescent="0.3">
      <c r="A826" s="70" t="s">
        <v>1524</v>
      </c>
      <c r="B826" s="101" t="str">
        <f>" 노 무 비  : "&amp;TEXT(I826,"#,##0"&amp;IF(I826&lt;&gt;INT(I826),".###",""))&amp;" / Q = "&amp;TEXT(C826,"#,##0.0")&amp;""</f>
        <v xml:space="preserve"> 노 무 비  : 55,700 / Q = 1,116.2</v>
      </c>
      <c r="C826" s="103">
        <f>E826+D826+F826</f>
        <v>1116.2</v>
      </c>
      <c r="D826" s="103">
        <f>IF(H826=0,0,ROUNDDOWN(J826*H826,1))</f>
        <v>1116.2</v>
      </c>
      <c r="E826" s="103">
        <f>IF(H826=0,0,ROUNDDOWN(K826*H826,1))</f>
        <v>0</v>
      </c>
      <c r="F826" s="103">
        <f>IF(H826=0,0,ROUNDDOWN(L826*H826,1))</f>
        <v>0</v>
      </c>
      <c r="G826" s="16" t="s">
        <v>1677</v>
      </c>
      <c r="H826" s="108">
        <v>2.0040080170400001E-2</v>
      </c>
      <c r="I826" s="109">
        <f>K826+J826+L826</f>
        <v>55700</v>
      </c>
      <c r="J826" s="39">
        <f>중기목록표!F7</f>
        <v>55700</v>
      </c>
      <c r="M826" s="20" t="s">
        <v>1179</v>
      </c>
      <c r="N826" s="20" t="s">
        <v>1345</v>
      </c>
      <c r="X826" s="110" t="str">
        <f>중기목록표!B7&amp;" / "&amp;중기목록표!C7</f>
        <v xml:space="preserve">굴삭기(0.7m3) / </v>
      </c>
      <c r="Y826" s="19" t="str">
        <f ca="1">HYPERLINK("#"&amp;중기목록표!J2&amp;"!A"&amp;ROW(중기목록표!A7),"중기    4 →")</f>
        <v>중기    4 →</v>
      </c>
    </row>
    <row r="827" spans="1:25" ht="12.6" customHeight="1" x14ac:dyDescent="0.3">
      <c r="A827" s="80"/>
      <c r="B827" s="80"/>
      <c r="C827" s="80"/>
      <c r="D827" s="80"/>
      <c r="E827" s="80"/>
      <c r="F827" s="80"/>
      <c r="G827" s="16" t="s">
        <v>1324</v>
      </c>
    </row>
    <row r="828" spans="1:25" ht="12.6" customHeight="1" x14ac:dyDescent="0.3">
      <c r="A828" s="80"/>
      <c r="B828" s="80"/>
      <c r="C828" s="80"/>
      <c r="D828" s="80"/>
      <c r="E828" s="80"/>
      <c r="F828" s="80"/>
      <c r="G828" s="16" t="s">
        <v>1324</v>
      </c>
    </row>
    <row r="829" spans="1:25" ht="12.6" customHeight="1" x14ac:dyDescent="0.3">
      <c r="A829" s="80"/>
      <c r="B829" s="80"/>
      <c r="C829" s="80"/>
      <c r="D829" s="80"/>
      <c r="E829" s="80"/>
      <c r="F829" s="80"/>
      <c r="G829" s="16" t="s">
        <v>1324</v>
      </c>
    </row>
    <row r="830" spans="1:25" ht="12.6" customHeight="1" x14ac:dyDescent="0.3">
      <c r="A830" s="70" t="s">
        <v>1526</v>
      </c>
      <c r="B830" s="101" t="str">
        <f>" 재 료 비  : "&amp;TEXT(I830,"#,##0"&amp;IF(I830&lt;&gt;INT(I830),".###",""))&amp;" / Q = "&amp;TEXT(C830,"#,##0.0")&amp;""</f>
        <v xml:space="preserve"> 재 료 비  : 18,001 / Q = 360.7</v>
      </c>
      <c r="C830" s="103">
        <f>E830+D830+F830</f>
        <v>360.7</v>
      </c>
      <c r="D830" s="103">
        <f>IF(H830=0,0,ROUNDDOWN(J830*H830,1))</f>
        <v>0</v>
      </c>
      <c r="E830" s="103">
        <f>IF(H830=0,0,ROUNDDOWN(K830*H830,1))</f>
        <v>360.7</v>
      </c>
      <c r="F830" s="103">
        <f>IF(H830=0,0,ROUNDDOWN(L830*H830,1))</f>
        <v>0</v>
      </c>
      <c r="G830" s="16" t="s">
        <v>1678</v>
      </c>
      <c r="H830" s="108">
        <v>2.0040080170400001E-2</v>
      </c>
      <c r="I830" s="109">
        <f>K830+J830+L830</f>
        <v>18001</v>
      </c>
      <c r="K830" s="39">
        <f>중기목록표!G7</f>
        <v>18001</v>
      </c>
      <c r="M830" s="20" t="s">
        <v>1179</v>
      </c>
      <c r="N830" s="20" t="s">
        <v>1345</v>
      </c>
      <c r="X830" s="110" t="str">
        <f>중기목록표!B7&amp;" / "&amp;중기목록표!C7</f>
        <v xml:space="preserve">굴삭기(0.7m3) / </v>
      </c>
      <c r="Y830" s="19" t="str">
        <f ca="1">HYPERLINK("#"&amp;중기목록표!J2&amp;"!A"&amp;ROW(중기목록표!A7),"중기    4 →")</f>
        <v>중기    4 →</v>
      </c>
    </row>
    <row r="831" spans="1:25" ht="12.6" customHeight="1" x14ac:dyDescent="0.3">
      <c r="A831" s="80"/>
      <c r="B831" s="80"/>
      <c r="C831" s="80"/>
      <c r="D831" s="80"/>
      <c r="E831" s="80"/>
      <c r="F831" s="80"/>
      <c r="G831" s="16" t="s">
        <v>1324</v>
      </c>
    </row>
    <row r="832" spans="1:25" ht="12.6" customHeight="1" x14ac:dyDescent="0.3">
      <c r="A832" s="80"/>
      <c r="B832" s="80"/>
      <c r="C832" s="80"/>
      <c r="D832" s="80"/>
      <c r="E832" s="80"/>
      <c r="F832" s="80"/>
      <c r="G832" s="16" t="s">
        <v>1324</v>
      </c>
    </row>
    <row r="833" spans="1:25" ht="12.6" customHeight="1" x14ac:dyDescent="0.3">
      <c r="A833" s="80"/>
      <c r="B833" s="80"/>
      <c r="C833" s="80"/>
      <c r="D833" s="80"/>
      <c r="E833" s="80"/>
      <c r="F833" s="80"/>
      <c r="G833" s="16" t="s">
        <v>1324</v>
      </c>
    </row>
    <row r="834" spans="1:25" ht="12.6" customHeight="1" x14ac:dyDescent="0.3">
      <c r="A834" s="70" t="s">
        <v>1528</v>
      </c>
      <c r="B834" s="101" t="str">
        <f>" 경    비  : "&amp;TEXT(I834,"#,##0"&amp;IF(I834&lt;&gt;INT(I834),".###",""))&amp;" / Q = "&amp;TEXT(C834,"#,##0.0")&amp;""</f>
        <v xml:space="preserve"> 경    비  : 23,128 / Q = 463.4</v>
      </c>
      <c r="C834" s="103">
        <f>E834+D834+F834</f>
        <v>463.4</v>
      </c>
      <c r="D834" s="103">
        <f>IF(H834=0,0,ROUNDDOWN(J834*H834,1))</f>
        <v>0</v>
      </c>
      <c r="E834" s="103">
        <f>IF(H834=0,0,ROUNDDOWN(K834*H834,1))</f>
        <v>0</v>
      </c>
      <c r="F834" s="103">
        <f>IF(H834=0,0,ROUNDDOWN(L834*H834,1))</f>
        <v>463.4</v>
      </c>
      <c r="G834" s="16" t="s">
        <v>1679</v>
      </c>
      <c r="H834" s="108">
        <v>2.0040080170400001E-2</v>
      </c>
      <c r="I834" s="109">
        <f>K834+J834+L834</f>
        <v>23128</v>
      </c>
      <c r="L834" s="39">
        <f>중기목록표!H7</f>
        <v>23128</v>
      </c>
      <c r="M834" s="20" t="s">
        <v>1179</v>
      </c>
      <c r="N834" s="20" t="s">
        <v>1345</v>
      </c>
      <c r="X834" s="110" t="str">
        <f>중기목록표!B7&amp;" / "&amp;중기목록표!C7</f>
        <v xml:space="preserve">굴삭기(0.7m3) / </v>
      </c>
      <c r="Y834" s="19" t="str">
        <f ca="1">HYPERLINK("#"&amp;중기목록표!J2&amp;"!A"&amp;ROW(중기목록표!A7),"중기    4 →")</f>
        <v>중기    4 →</v>
      </c>
    </row>
    <row r="835" spans="1:25" ht="12.6" customHeight="1" x14ac:dyDescent="0.3">
      <c r="A835" s="80"/>
      <c r="B835" s="80"/>
      <c r="C835" s="80"/>
      <c r="D835" s="80"/>
      <c r="E835" s="80"/>
      <c r="F835" s="80"/>
      <c r="G835" s="16" t="s">
        <v>1324</v>
      </c>
    </row>
    <row r="836" spans="1:25" ht="12.6" customHeight="1" x14ac:dyDescent="0.3">
      <c r="A836" s="80"/>
      <c r="B836" s="80"/>
      <c r="C836" s="80"/>
      <c r="D836" s="80"/>
      <c r="E836" s="80"/>
      <c r="F836" s="80"/>
      <c r="G836" s="16" t="s">
        <v>1324</v>
      </c>
    </row>
    <row r="837" spans="1:25" ht="12.6" customHeight="1" x14ac:dyDescent="0.3">
      <c r="A837" s="80"/>
      <c r="B837" s="80"/>
      <c r="C837" s="80"/>
      <c r="D837" s="80"/>
      <c r="E837" s="80"/>
      <c r="F837" s="80"/>
      <c r="G837" s="16" t="s">
        <v>1324</v>
      </c>
    </row>
    <row r="838" spans="1:25" ht="12.6" customHeight="1" x14ac:dyDescent="0.3">
      <c r="A838" s="80"/>
      <c r="B838" s="80"/>
      <c r="C838" s="80"/>
      <c r="D838" s="80"/>
      <c r="E838" s="80"/>
      <c r="F838" s="80"/>
      <c r="G838" s="16" t="s">
        <v>1324</v>
      </c>
    </row>
    <row r="839" spans="1:25" ht="12.6" customHeight="1" x14ac:dyDescent="0.3">
      <c r="A839" s="70"/>
      <c r="B839" s="79" t="s">
        <v>1344</v>
      </c>
      <c r="C839" s="104">
        <f>E839+D839+F839</f>
        <v>1940.3000000000002</v>
      </c>
      <c r="D839" s="104">
        <f>SUMIF(N812:N838,M839,D812:D838)</f>
        <v>1116.2</v>
      </c>
      <c r="E839" s="104">
        <f>SUMIF(N812:N838,M839,E812:E838)</f>
        <v>360.7</v>
      </c>
      <c r="F839" s="104">
        <f>SUMIF(N812:N838,M839,F812:F838)</f>
        <v>463.4</v>
      </c>
      <c r="G839" s="16" t="s">
        <v>1343</v>
      </c>
      <c r="M839" s="20" t="s">
        <v>1345</v>
      </c>
      <c r="N839" s="20" t="s">
        <v>1129</v>
      </c>
    </row>
    <row r="840" spans="1:25" ht="12.6" customHeight="1" x14ac:dyDescent="0.3">
      <c r="A840" s="80"/>
      <c r="B840" s="80"/>
      <c r="C840" s="102"/>
      <c r="D840" s="102"/>
      <c r="E840" s="102"/>
      <c r="F840" s="102"/>
    </row>
    <row r="841" spans="1:25" ht="12.6" customHeight="1" x14ac:dyDescent="0.3">
      <c r="A841" s="58"/>
      <c r="B841" s="58"/>
      <c r="C841" s="58"/>
      <c r="D841" s="58"/>
      <c r="E841" s="58"/>
      <c r="F841" s="58"/>
    </row>
    <row r="842" spans="1:25" ht="12.6" customHeight="1" x14ac:dyDescent="0.3">
      <c r="A842" s="141" t="s">
        <v>1171</v>
      </c>
      <c r="B842" s="142"/>
      <c r="C842" s="55">
        <f>E842+D842+F842</f>
        <v>1939</v>
      </c>
      <c r="D842" s="54">
        <f>ROUNDDOWN(SUMIF(N812:N839,M842,D812:D839),0)</f>
        <v>1116</v>
      </c>
      <c r="E842" s="63">
        <f>ROUNDDOWN(SUMIF(N812:N839,M842,E812:E839),0)</f>
        <v>360</v>
      </c>
      <c r="F842" s="55">
        <f>ROUNDDOWN(SUMIF(N812:N839,M842,F812:F839),0)</f>
        <v>463</v>
      </c>
      <c r="M842" s="20" t="s">
        <v>1129</v>
      </c>
      <c r="N842" s="20" t="s">
        <v>1172</v>
      </c>
    </row>
    <row r="843" spans="1:25" ht="12.6" customHeight="1" x14ac:dyDescent="0.3">
      <c r="A843" s="141" t="s">
        <v>1173</v>
      </c>
      <c r="B843" s="142"/>
      <c r="C843" s="55">
        <f>E843+D843+F843</f>
        <v>1714</v>
      </c>
      <c r="D843" s="54">
        <f>ROUNDDOWN(D842*H843/100,0)</f>
        <v>987</v>
      </c>
      <c r="E843" s="63">
        <f>ROUNDDOWN(E842*H843/100,0)</f>
        <v>318</v>
      </c>
      <c r="F843" s="55">
        <f>ROUNDDOWN(F842*H843/100,0)</f>
        <v>409</v>
      </c>
      <c r="H843" s="67">
        <v>88.5</v>
      </c>
      <c r="M843" s="20" t="s">
        <v>1172</v>
      </c>
    </row>
    <row r="844" spans="1:25" ht="12.6" customHeight="1" x14ac:dyDescent="0.3">
      <c r="A844" s="99" t="s">
        <v>83</v>
      </c>
      <c r="B844" s="100" t="s">
        <v>83</v>
      </c>
      <c r="C844" s="147">
        <f>C912</f>
        <v>21128</v>
      </c>
      <c r="D844" s="147">
        <f>D912</f>
        <v>10971</v>
      </c>
      <c r="E844" s="147">
        <f>E912</f>
        <v>3625</v>
      </c>
      <c r="F844" s="147">
        <f>F912</f>
        <v>6532</v>
      </c>
      <c r="G844" s="36" t="str">
        <f>HYPERLINK("#G"&amp;ROW(G900),"_x0005_`BDCOD|D02265_x0007_`POSS|"&amp;ROW(G846)&amp;"_x0007_`POSE|"&amp;ROW(G900)&amp;"_x0007_`")</f>
        <v>_x0005_`BDCOD|D02265_x0007_`POSS|846_x0007_`POSE|900_x0007_`</v>
      </c>
    </row>
    <row r="845" spans="1:25" ht="12.6" customHeight="1" x14ac:dyDescent="0.3">
      <c r="A845" s="85"/>
      <c r="B845" s="100" t="s">
        <v>222</v>
      </c>
      <c r="C845" s="137"/>
      <c r="D845" s="137"/>
      <c r="E845" s="137"/>
      <c r="F845" s="137"/>
      <c r="M845" s="20" t="s">
        <v>221</v>
      </c>
    </row>
    <row r="846" spans="1:25" ht="12.6" customHeight="1" x14ac:dyDescent="0.3">
      <c r="A846" s="80"/>
      <c r="B846" s="80"/>
      <c r="C846" s="102"/>
      <c r="D846" s="102"/>
      <c r="E846" s="102"/>
      <c r="F846" s="102"/>
      <c r="G846" s="16" t="s">
        <v>1324</v>
      </c>
    </row>
    <row r="847" spans="1:25" ht="12.6" customHeight="1" x14ac:dyDescent="0.3">
      <c r="A847" s="70"/>
      <c r="B847" s="79" t="s">
        <v>1681</v>
      </c>
      <c r="C847" s="80"/>
      <c r="D847" s="80"/>
      <c r="E847" s="80"/>
      <c r="F847" s="80"/>
      <c r="G847" s="16" t="s">
        <v>1680</v>
      </c>
    </row>
    <row r="848" spans="1:25" ht="12.6" customHeight="1" x14ac:dyDescent="0.3">
      <c r="A848" s="80"/>
      <c r="B848" s="80"/>
      <c r="C848" s="80"/>
      <c r="D848" s="80"/>
      <c r="E848" s="80"/>
      <c r="F848" s="80"/>
      <c r="G848" s="16" t="s">
        <v>1324</v>
      </c>
    </row>
    <row r="849" spans="1:25" ht="12.6" customHeight="1" x14ac:dyDescent="0.3">
      <c r="A849" s="70"/>
      <c r="B849" s="79" t="s">
        <v>1683</v>
      </c>
      <c r="C849" s="80"/>
      <c r="D849" s="80"/>
      <c r="E849" s="80"/>
      <c r="F849" s="80"/>
      <c r="G849" s="16" t="s">
        <v>1682</v>
      </c>
    </row>
    <row r="850" spans="1:25" ht="12.6" customHeight="1" x14ac:dyDescent="0.3">
      <c r="A850" s="80"/>
      <c r="B850" s="80"/>
      <c r="C850" s="80"/>
      <c r="D850" s="80"/>
      <c r="E850" s="80"/>
      <c r="F850" s="80"/>
      <c r="G850" s="16" t="s">
        <v>1324</v>
      </c>
    </row>
    <row r="851" spans="1:25" ht="12.6" customHeight="1" x14ac:dyDescent="0.3">
      <c r="A851" s="70"/>
      <c r="B851" s="79" t="s">
        <v>1685</v>
      </c>
      <c r="C851" s="80"/>
      <c r="D851" s="80"/>
      <c r="E851" s="80"/>
      <c r="F851" s="80"/>
      <c r="G851" s="16" t="s">
        <v>1684</v>
      </c>
    </row>
    <row r="852" spans="1:25" ht="12.6" customHeight="1" x14ac:dyDescent="0.3">
      <c r="A852" s="80"/>
      <c r="B852" s="80"/>
      <c r="C852" s="80"/>
      <c r="D852" s="80"/>
      <c r="E852" s="80"/>
      <c r="F852" s="80"/>
      <c r="G852" s="16" t="s">
        <v>1324</v>
      </c>
    </row>
    <row r="853" spans="1:25" ht="12.6" customHeight="1" x14ac:dyDescent="0.3">
      <c r="A853" s="70"/>
      <c r="B853" s="79" t="s">
        <v>1687</v>
      </c>
      <c r="C853" s="80"/>
      <c r="D853" s="80"/>
      <c r="E853" s="80"/>
      <c r="F853" s="80"/>
      <c r="G853" s="16" t="s">
        <v>1686</v>
      </c>
    </row>
    <row r="854" spans="1:25" ht="12.6" customHeight="1" x14ac:dyDescent="0.3">
      <c r="A854" s="80"/>
      <c r="B854" s="80"/>
      <c r="C854" s="80"/>
      <c r="D854" s="80"/>
      <c r="E854" s="80"/>
      <c r="F854" s="80"/>
      <c r="G854" s="16" t="s">
        <v>1324</v>
      </c>
    </row>
    <row r="855" spans="1:25" ht="12.6" customHeight="1" x14ac:dyDescent="0.3">
      <c r="A855" s="80"/>
      <c r="B855" s="80"/>
      <c r="C855" s="80"/>
      <c r="D855" s="80"/>
      <c r="E855" s="80"/>
      <c r="F855" s="80"/>
      <c r="G855" s="16" t="s">
        <v>1324</v>
      </c>
    </row>
    <row r="856" spans="1:25" ht="12.6" customHeight="1" x14ac:dyDescent="0.3">
      <c r="A856" s="70" t="s">
        <v>1689</v>
      </c>
      <c r="B856" s="101" t="str">
        <f>" 노 무 비  :   "&amp;TEXT(I856,"#,##0"&amp;IF(I856&lt;&gt;INT(I856),".###",""))&amp;" / Q = "&amp;TEXT(C856,"#,##0.0")&amp;""</f>
        <v xml:space="preserve"> 노 무 비  :   55,700 / Q = 11,140.0</v>
      </c>
      <c r="C856" s="103">
        <f>E856+D856+F856</f>
        <v>11140</v>
      </c>
      <c r="D856" s="103">
        <f>IF(H856=0,0,ROUNDDOWN(J856*H856,1))</f>
        <v>11140</v>
      </c>
      <c r="E856" s="103">
        <f>IF(H856=0,0,ROUNDDOWN(K856*H856,1))</f>
        <v>0</v>
      </c>
      <c r="F856" s="103">
        <f>IF(H856=0,0,ROUNDDOWN(L856*H856,1))</f>
        <v>0</v>
      </c>
      <c r="G856" s="16" t="s">
        <v>1688</v>
      </c>
      <c r="H856" s="108">
        <v>0.20000000000009999</v>
      </c>
      <c r="I856" s="109">
        <f>K856+J856+L856</f>
        <v>55700</v>
      </c>
      <c r="J856" s="39">
        <f>중기목록표!F10</f>
        <v>55700</v>
      </c>
      <c r="M856" s="20" t="s">
        <v>1690</v>
      </c>
      <c r="N856" s="20" t="s">
        <v>1345</v>
      </c>
      <c r="X856" s="110" t="str">
        <f>중기목록표!B10&amp;" / "&amp;중기목록표!C10</f>
        <v xml:space="preserve">굴삭기+브레카(0.7m3) / </v>
      </c>
      <c r="Y856" s="19" t="str">
        <f ca="1">HYPERLINK("#"&amp;중기목록표!J2&amp;"!A"&amp;ROW(중기목록표!A10),"중기    7 →")</f>
        <v>중기    7 →</v>
      </c>
    </row>
    <row r="857" spans="1:25" ht="12.6" customHeight="1" x14ac:dyDescent="0.3">
      <c r="A857" s="80"/>
      <c r="B857" s="80"/>
      <c r="C857" s="80"/>
      <c r="D857" s="80"/>
      <c r="E857" s="80"/>
      <c r="F857" s="80"/>
      <c r="G857" s="16" t="s">
        <v>1324</v>
      </c>
    </row>
    <row r="858" spans="1:25" ht="12.6" customHeight="1" x14ac:dyDescent="0.3">
      <c r="A858" s="80"/>
      <c r="B858" s="80"/>
      <c r="C858" s="80"/>
      <c r="D858" s="80"/>
      <c r="E858" s="80"/>
      <c r="F858" s="80"/>
      <c r="G858" s="16" t="s">
        <v>1324</v>
      </c>
    </row>
    <row r="859" spans="1:25" ht="12.6" customHeight="1" x14ac:dyDescent="0.3">
      <c r="A859" s="70" t="s">
        <v>1692</v>
      </c>
      <c r="B859" s="101" t="str">
        <f>" 재 료 비  :   "&amp;TEXT(I859,"#,##0"&amp;IF(I859&lt;&gt;INT(I859),".###",""))&amp;" / Q = "&amp;TEXT(C859,"#,##0.0")&amp;""</f>
        <v xml:space="preserve"> 재 료 비  :   17,116 / Q = 3,423.2</v>
      </c>
      <c r="C859" s="103">
        <f>E859+D859+F859</f>
        <v>3423.2</v>
      </c>
      <c r="D859" s="103">
        <f>IF(H859=0,0,ROUNDDOWN(J859*H859,1))</f>
        <v>0</v>
      </c>
      <c r="E859" s="103">
        <f>IF(H859=0,0,ROUNDDOWN(K859*H859,1))</f>
        <v>3423.2</v>
      </c>
      <c r="F859" s="103">
        <f>IF(H859=0,0,ROUNDDOWN(L859*H859,1))</f>
        <v>0</v>
      </c>
      <c r="G859" s="16" t="s">
        <v>1691</v>
      </c>
      <c r="H859" s="108">
        <v>0.20000000000009999</v>
      </c>
      <c r="I859" s="109">
        <f>K859+J859+L859</f>
        <v>17116</v>
      </c>
      <c r="K859" s="39">
        <f>중기목록표!G10</f>
        <v>17116</v>
      </c>
      <c r="M859" s="20" t="s">
        <v>1690</v>
      </c>
      <c r="N859" s="20" t="s">
        <v>1345</v>
      </c>
      <c r="X859" s="110" t="str">
        <f>중기목록표!B10&amp;" / "&amp;중기목록표!C10</f>
        <v xml:space="preserve">굴삭기+브레카(0.7m3) / </v>
      </c>
      <c r="Y859" s="19" t="str">
        <f ca="1">HYPERLINK("#"&amp;중기목록표!J2&amp;"!A"&amp;ROW(중기목록표!A10),"중기    7 →")</f>
        <v>중기    7 →</v>
      </c>
    </row>
    <row r="860" spans="1:25" ht="12.6" customHeight="1" x14ac:dyDescent="0.3">
      <c r="A860" s="80"/>
      <c r="B860" s="80"/>
      <c r="C860" s="80"/>
      <c r="D860" s="80"/>
      <c r="E860" s="80"/>
      <c r="F860" s="80"/>
      <c r="G860" s="16" t="s">
        <v>1324</v>
      </c>
    </row>
    <row r="861" spans="1:25" ht="12.6" customHeight="1" x14ac:dyDescent="0.3">
      <c r="A861" s="80"/>
      <c r="B861" s="80"/>
      <c r="C861" s="80"/>
      <c r="D861" s="80"/>
      <c r="E861" s="80"/>
      <c r="F861" s="80"/>
      <c r="G861" s="16" t="s">
        <v>1324</v>
      </c>
    </row>
    <row r="862" spans="1:25" ht="12.6" customHeight="1" x14ac:dyDescent="0.3">
      <c r="A862" s="70" t="s">
        <v>1694</v>
      </c>
      <c r="B862" s="101" t="str">
        <f>" 경    비  :   "&amp;TEXT(I862,"#,##0"&amp;IF(I862&lt;&gt;INT(I862),".###",""))&amp;" / Q = "&amp;TEXT(C862,"#,##0.0")&amp;""</f>
        <v xml:space="preserve"> 경    비  :   33,897 / Q = 6,779.4</v>
      </c>
      <c r="C862" s="103">
        <f>E862+D862+F862</f>
        <v>6779.4</v>
      </c>
      <c r="D862" s="103">
        <f>IF(H862=0,0,ROUNDDOWN(J862*H862,1))</f>
        <v>0</v>
      </c>
      <c r="E862" s="103">
        <f>IF(H862=0,0,ROUNDDOWN(K862*H862,1))</f>
        <v>0</v>
      </c>
      <c r="F862" s="103">
        <f>IF(H862=0,0,ROUNDDOWN(L862*H862,1))</f>
        <v>6779.4</v>
      </c>
      <c r="G862" s="16" t="s">
        <v>1693</v>
      </c>
      <c r="H862" s="108">
        <v>0.20000000000009999</v>
      </c>
      <c r="I862" s="109">
        <f>K862+J862+L862</f>
        <v>33897</v>
      </c>
      <c r="L862" s="39">
        <f>중기목록표!H10</f>
        <v>33897</v>
      </c>
      <c r="M862" s="20" t="s">
        <v>1690</v>
      </c>
      <c r="N862" s="20" t="s">
        <v>1345</v>
      </c>
      <c r="X862" s="110" t="str">
        <f>중기목록표!B10&amp;" / "&amp;중기목록표!C10</f>
        <v xml:space="preserve">굴삭기+브레카(0.7m3) / </v>
      </c>
      <c r="Y862" s="19" t="str">
        <f ca="1">HYPERLINK("#"&amp;중기목록표!J2&amp;"!A"&amp;ROW(중기목록표!A10),"중기    7 →")</f>
        <v>중기    7 →</v>
      </c>
    </row>
    <row r="863" spans="1:25" ht="12.6" customHeight="1" x14ac:dyDescent="0.3">
      <c r="A863" s="80"/>
      <c r="B863" s="80"/>
      <c r="C863" s="80"/>
      <c r="D863" s="80"/>
      <c r="E863" s="80"/>
      <c r="F863" s="80"/>
      <c r="G863" s="16" t="s">
        <v>1324</v>
      </c>
    </row>
    <row r="864" spans="1:25" ht="12.6" customHeight="1" x14ac:dyDescent="0.3">
      <c r="A864" s="80"/>
      <c r="B864" s="80"/>
      <c r="C864" s="80"/>
      <c r="D864" s="80"/>
      <c r="E864" s="80"/>
      <c r="F864" s="80"/>
      <c r="G864" s="16" t="s">
        <v>1695</v>
      </c>
    </row>
    <row r="865" spans="1:25" ht="12.6" customHeight="1" x14ac:dyDescent="0.3">
      <c r="A865" s="70"/>
      <c r="B865" s="79" t="s">
        <v>1344</v>
      </c>
      <c r="C865" s="104">
        <f>E865+D865+F865</f>
        <v>21342.6</v>
      </c>
      <c r="D865" s="104">
        <f>SUMIF(N846:N864,M865,D846:D864)</f>
        <v>11140</v>
      </c>
      <c r="E865" s="104">
        <f>SUMIF(N846:N864,M865,E846:E864)</f>
        <v>3423.2</v>
      </c>
      <c r="F865" s="104">
        <f>SUMIF(N846:N864,M865,F846:F864)</f>
        <v>6779.4</v>
      </c>
      <c r="G865" s="16" t="s">
        <v>1343</v>
      </c>
      <c r="M865" s="20" t="s">
        <v>1345</v>
      </c>
      <c r="N865" s="20" t="s">
        <v>1368</v>
      </c>
    </row>
    <row r="866" spans="1:25" ht="12.6" customHeight="1" x14ac:dyDescent="0.3">
      <c r="A866" s="80"/>
      <c r="B866" s="80"/>
      <c r="C866" s="102"/>
      <c r="D866" s="102"/>
      <c r="E866" s="102"/>
      <c r="F866" s="102"/>
      <c r="G866" s="16" t="s">
        <v>1324</v>
      </c>
    </row>
    <row r="867" spans="1:25" ht="12.6" customHeight="1" x14ac:dyDescent="0.3">
      <c r="A867" s="80"/>
      <c r="B867" s="80"/>
      <c r="C867" s="80"/>
      <c r="D867" s="80"/>
      <c r="E867" s="80"/>
      <c r="F867" s="80"/>
      <c r="G867" s="16" t="s">
        <v>1324</v>
      </c>
    </row>
    <row r="868" spans="1:25" ht="12.6" customHeight="1" x14ac:dyDescent="0.3">
      <c r="A868" s="70"/>
      <c r="B868" s="79" t="s">
        <v>1697</v>
      </c>
      <c r="C868" s="80"/>
      <c r="D868" s="80"/>
      <c r="E868" s="80"/>
      <c r="F868" s="80"/>
      <c r="G868" s="16" t="s">
        <v>1696</v>
      </c>
    </row>
    <row r="869" spans="1:25" ht="12.6" customHeight="1" x14ac:dyDescent="0.3">
      <c r="A869" s="80"/>
      <c r="B869" s="80"/>
      <c r="C869" s="80"/>
      <c r="D869" s="80"/>
      <c r="E869" s="80"/>
      <c r="F869" s="80"/>
      <c r="G869" s="16" t="s">
        <v>1324</v>
      </c>
    </row>
    <row r="870" spans="1:25" ht="12.6" customHeight="1" x14ac:dyDescent="0.3">
      <c r="A870" s="80"/>
      <c r="B870" s="80"/>
      <c r="C870" s="80"/>
      <c r="D870" s="80"/>
      <c r="E870" s="80"/>
      <c r="F870" s="80"/>
      <c r="G870" s="16" t="s">
        <v>1324</v>
      </c>
    </row>
    <row r="871" spans="1:25" ht="12.6" customHeight="1" x14ac:dyDescent="0.3">
      <c r="A871" s="70" t="s">
        <v>1699</v>
      </c>
      <c r="B871" s="101" t="str">
        <f>"   0.006 * "&amp;TEXT(I871,"#,##0"&amp;IF(I871&lt;&gt;INT(I871),".###",""))&amp;"/ Q= "&amp;TEXT(C871,"#,##0.0")&amp;" W/㎥ "</f>
        <v xml:space="preserve">   0.006 * 223,000/ Q= 267.6 W/㎥ </v>
      </c>
      <c r="C871" s="103">
        <f>E871+D871+F871</f>
        <v>267.60000000000002</v>
      </c>
      <c r="D871" s="103">
        <f>IF(H871=0,0,ROUNDDOWN(J871*H871,1))</f>
        <v>0</v>
      </c>
      <c r="E871" s="103">
        <f>IF(H871=0,0,ROUNDDOWN(K871*H871,1))</f>
        <v>267.60000000000002</v>
      </c>
      <c r="F871" s="103">
        <f>IF(H871=0,0,ROUNDDOWN(L871*H871,1))</f>
        <v>0</v>
      </c>
      <c r="G871" s="16" t="s">
        <v>1698</v>
      </c>
      <c r="H871" s="108">
        <v>1.2000000001E-3</v>
      </c>
      <c r="I871" s="109">
        <f>K871+J871+L871</f>
        <v>223000</v>
      </c>
      <c r="K871" s="39">
        <f>재료비목록표!E23</f>
        <v>223000</v>
      </c>
      <c r="M871" s="20" t="s">
        <v>1700</v>
      </c>
      <c r="N871" s="20" t="s">
        <v>1345</v>
      </c>
      <c r="X871" s="110" t="str">
        <f>재료비목록표!B23&amp;" / "&amp;재료비목록표!C23</f>
        <v>치즐 / 0.7m3</v>
      </c>
      <c r="Y871" s="19" t="str">
        <f ca="1">HYPERLINK("#"&amp;재료비목록표!G2&amp;"!A"&amp;ROW(재료비목록표!A23),"자재   20 →")</f>
        <v>자재   20 →</v>
      </c>
    </row>
    <row r="872" spans="1:25" ht="12.6" customHeight="1" x14ac:dyDescent="0.3">
      <c r="A872" s="80"/>
      <c r="B872" s="80"/>
      <c r="C872" s="80"/>
      <c r="D872" s="80"/>
      <c r="E872" s="80"/>
      <c r="F872" s="80"/>
      <c r="G872" s="16" t="s">
        <v>1324</v>
      </c>
    </row>
    <row r="873" spans="1:25" ht="12.6" customHeight="1" x14ac:dyDescent="0.3">
      <c r="A873" s="70"/>
      <c r="B873" s="79" t="s">
        <v>1344</v>
      </c>
      <c r="C873" s="104">
        <f>E873+D873+F873</f>
        <v>267.60000000000002</v>
      </c>
      <c r="D873" s="104">
        <f>SUMIF(N866:N872,M873,D866:D872)</f>
        <v>0</v>
      </c>
      <c r="E873" s="104">
        <f>SUMIF(N866:N872,M873,E866:E872)</f>
        <v>267.60000000000002</v>
      </c>
      <c r="F873" s="104">
        <f>SUMIF(N866:N872,M873,F866:F872)</f>
        <v>0</v>
      </c>
      <c r="G873" s="16" t="s">
        <v>1343</v>
      </c>
      <c r="M873" s="20" t="s">
        <v>1345</v>
      </c>
      <c r="N873" s="20" t="s">
        <v>1368</v>
      </c>
    </row>
    <row r="874" spans="1:25" ht="12.6" customHeight="1" x14ac:dyDescent="0.3">
      <c r="A874" s="80"/>
      <c r="B874" s="80"/>
      <c r="C874" s="102"/>
      <c r="D874" s="102"/>
      <c r="E874" s="102"/>
      <c r="F874" s="102"/>
      <c r="G874" s="16" t="s">
        <v>1324</v>
      </c>
    </row>
    <row r="875" spans="1:25" ht="12.6" customHeight="1" x14ac:dyDescent="0.3">
      <c r="A875" s="70"/>
      <c r="B875" s="79" t="s">
        <v>1702</v>
      </c>
      <c r="C875" s="80"/>
      <c r="D875" s="80"/>
      <c r="E875" s="80"/>
      <c r="F875" s="80"/>
      <c r="G875" s="16" t="s">
        <v>1701</v>
      </c>
    </row>
    <row r="876" spans="1:25" ht="12.6" customHeight="1" x14ac:dyDescent="0.3">
      <c r="A876" s="80"/>
      <c r="B876" s="80"/>
      <c r="C876" s="80"/>
      <c r="D876" s="80"/>
      <c r="E876" s="80"/>
      <c r="F876" s="80"/>
      <c r="G876" s="16" t="s">
        <v>1324</v>
      </c>
    </row>
    <row r="877" spans="1:25" ht="12.6" customHeight="1" x14ac:dyDescent="0.3">
      <c r="A877" s="80"/>
      <c r="B877" s="80"/>
      <c r="C877" s="80"/>
      <c r="D877" s="80"/>
      <c r="E877" s="80"/>
      <c r="F877" s="80"/>
      <c r="G877" s="16" t="s">
        <v>1324</v>
      </c>
    </row>
    <row r="878" spans="1:25" ht="12.6" customHeight="1" x14ac:dyDescent="0.3">
      <c r="A878" s="70"/>
      <c r="B878" s="79" t="s">
        <v>1704</v>
      </c>
      <c r="C878" s="80"/>
      <c r="D878" s="80"/>
      <c r="E878" s="80"/>
      <c r="F878" s="80"/>
      <c r="G878" s="16" t="s">
        <v>1703</v>
      </c>
    </row>
    <row r="879" spans="1:25" ht="12.6" customHeight="1" x14ac:dyDescent="0.3">
      <c r="A879" s="80"/>
      <c r="B879" s="80"/>
      <c r="C879" s="80"/>
      <c r="D879" s="80"/>
      <c r="E879" s="80"/>
      <c r="F879" s="80"/>
      <c r="G879" s="16" t="s">
        <v>1324</v>
      </c>
    </row>
    <row r="880" spans="1:25" ht="12.6" customHeight="1" x14ac:dyDescent="0.3">
      <c r="A880" s="70"/>
      <c r="B880" s="79" t="s">
        <v>1706</v>
      </c>
      <c r="C880" s="80"/>
      <c r="D880" s="80"/>
      <c r="E880" s="80"/>
      <c r="F880" s="80"/>
      <c r="G880" s="16" t="s">
        <v>1705</v>
      </c>
    </row>
    <row r="881" spans="1:25" ht="12.6" customHeight="1" x14ac:dyDescent="0.3">
      <c r="A881" s="80"/>
      <c r="B881" s="80"/>
      <c r="C881" s="80"/>
      <c r="D881" s="80"/>
      <c r="E881" s="80"/>
      <c r="F881" s="80"/>
      <c r="G881" s="16" t="s">
        <v>1324</v>
      </c>
    </row>
    <row r="882" spans="1:25" ht="12.6" customHeight="1" x14ac:dyDescent="0.3">
      <c r="A882" s="70"/>
      <c r="B882" s="79" t="s">
        <v>1708</v>
      </c>
      <c r="C882" s="80"/>
      <c r="D882" s="80"/>
      <c r="E882" s="80"/>
      <c r="F882" s="80"/>
      <c r="G882" s="16" t="s">
        <v>1707</v>
      </c>
    </row>
    <row r="883" spans="1:25" ht="12.6" customHeight="1" x14ac:dyDescent="0.3">
      <c r="A883" s="80"/>
      <c r="B883" s="80"/>
      <c r="C883" s="80"/>
      <c r="D883" s="80"/>
      <c r="E883" s="80"/>
      <c r="F883" s="80"/>
      <c r="G883" s="16" t="s">
        <v>1324</v>
      </c>
    </row>
    <row r="884" spans="1:25" ht="12.6" customHeight="1" x14ac:dyDescent="0.3">
      <c r="A884" s="80"/>
      <c r="B884" s="80"/>
      <c r="C884" s="80"/>
      <c r="D884" s="80"/>
      <c r="E884" s="80"/>
      <c r="F884" s="80"/>
      <c r="G884" s="16" t="s">
        <v>1324</v>
      </c>
    </row>
    <row r="885" spans="1:25" ht="12.6" customHeight="1" x14ac:dyDescent="0.3">
      <c r="A885" s="70"/>
      <c r="B885" s="79" t="s">
        <v>1710</v>
      </c>
      <c r="C885" s="80"/>
      <c r="D885" s="80"/>
      <c r="E885" s="80"/>
      <c r="F885" s="80"/>
      <c r="G885" s="16" t="s">
        <v>1709</v>
      </c>
    </row>
    <row r="886" spans="1:25" ht="12.6" customHeight="1" x14ac:dyDescent="0.3">
      <c r="A886" s="80"/>
      <c r="B886" s="80"/>
      <c r="C886" s="80"/>
      <c r="D886" s="80"/>
      <c r="E886" s="80"/>
      <c r="F886" s="80"/>
      <c r="G886" s="16" t="s">
        <v>1324</v>
      </c>
    </row>
    <row r="887" spans="1:25" ht="12.6" customHeight="1" x14ac:dyDescent="0.3">
      <c r="A887" s="80"/>
      <c r="B887" s="80"/>
      <c r="C887" s="80"/>
      <c r="D887" s="80"/>
      <c r="E887" s="80"/>
      <c r="F887" s="80"/>
      <c r="G887" s="16" t="s">
        <v>1324</v>
      </c>
    </row>
    <row r="888" spans="1:25" ht="12.6" customHeight="1" x14ac:dyDescent="0.3">
      <c r="A888" s="70" t="s">
        <v>1394</v>
      </c>
      <c r="B888" s="101" t="str">
        <f>" 노 무 비  :   "&amp;TEXT(I888,"#,##0"&amp;IF(I888&lt;&gt;INT(I888),".###",""))&amp;" / Q1  / 2  = "&amp;TEXT(C888,"#,##0.0")&amp;""</f>
        <v xml:space="preserve"> 노 무 비  :   55,700 / Q1  / 2  = 1,257.9</v>
      </c>
      <c r="C888" s="103">
        <f>E888+D888+F888</f>
        <v>1257.9000000000001</v>
      </c>
      <c r="D888" s="103">
        <f>IF(H888=0,0,ROUNDDOWN(J888*H888,1))</f>
        <v>1257.9000000000001</v>
      </c>
      <c r="E888" s="103">
        <f>IF(H888=0,0,ROUNDDOWN(K888*H888,1))</f>
        <v>0</v>
      </c>
      <c r="F888" s="103">
        <f>IF(H888=0,0,ROUNDDOWN(L888*H888,1))</f>
        <v>0</v>
      </c>
      <c r="G888" s="16" t="s">
        <v>1711</v>
      </c>
      <c r="H888" s="108">
        <v>2.2583559178999998E-2</v>
      </c>
      <c r="I888" s="109">
        <f>K888+J888+L888</f>
        <v>55700</v>
      </c>
      <c r="J888" s="39">
        <f>중기목록표!F9</f>
        <v>55700</v>
      </c>
      <c r="M888" s="20" t="s">
        <v>1395</v>
      </c>
      <c r="N888" s="20" t="s">
        <v>1345</v>
      </c>
      <c r="X888" s="110" t="str">
        <f>중기목록표!B9&amp;" / "&amp;중기목록표!C9</f>
        <v>굴삭기(0.7m3) / 0.7㎥,(암석)</v>
      </c>
      <c r="Y888" s="19" t="str">
        <f ca="1">HYPERLINK("#"&amp;중기목록표!J2&amp;"!A"&amp;ROW(중기목록표!A9),"중기    6 →")</f>
        <v>중기    6 →</v>
      </c>
    </row>
    <row r="889" spans="1:25" ht="12.6" customHeight="1" x14ac:dyDescent="0.3">
      <c r="A889" s="80"/>
      <c r="B889" s="80"/>
      <c r="C889" s="80"/>
      <c r="D889" s="80"/>
      <c r="E889" s="80"/>
      <c r="F889" s="80"/>
      <c r="G889" s="16" t="s">
        <v>1324</v>
      </c>
    </row>
    <row r="890" spans="1:25" ht="12.6" customHeight="1" x14ac:dyDescent="0.3">
      <c r="A890" s="80"/>
      <c r="B890" s="80"/>
      <c r="C890" s="80"/>
      <c r="D890" s="80"/>
      <c r="E890" s="80"/>
      <c r="F890" s="80"/>
      <c r="G890" s="16" t="s">
        <v>1324</v>
      </c>
    </row>
    <row r="891" spans="1:25" ht="12.6" customHeight="1" x14ac:dyDescent="0.3">
      <c r="A891" s="70" t="s">
        <v>1397</v>
      </c>
      <c r="B891" s="101" t="str">
        <f>" 재 료 비  :   "&amp;TEXT(I891,"#,##0"&amp;IF(I891&lt;&gt;INT(I891),".###",""))&amp;" / Q1  / 2 = "&amp;TEXT(C891,"#,##0.0")&amp;""</f>
        <v xml:space="preserve"> 재 료 비  :   18,001 / Q1  / 2 = 406.5</v>
      </c>
      <c r="C891" s="103">
        <f>E891+D891+F891</f>
        <v>406.5</v>
      </c>
      <c r="D891" s="103">
        <f>IF(H891=0,0,ROUNDDOWN(J891*H891,1))</f>
        <v>0</v>
      </c>
      <c r="E891" s="103">
        <f>IF(H891=0,0,ROUNDDOWN(K891*H891,1))</f>
        <v>406.5</v>
      </c>
      <c r="F891" s="103">
        <f>IF(H891=0,0,ROUNDDOWN(L891*H891,1))</f>
        <v>0</v>
      </c>
      <c r="G891" s="16" t="s">
        <v>1712</v>
      </c>
      <c r="H891" s="108">
        <v>2.2583559178999998E-2</v>
      </c>
      <c r="I891" s="109">
        <f>K891+J891+L891</f>
        <v>18001</v>
      </c>
      <c r="K891" s="39">
        <f>중기목록표!G9</f>
        <v>18001</v>
      </c>
      <c r="M891" s="20" t="s">
        <v>1395</v>
      </c>
      <c r="N891" s="20" t="s">
        <v>1345</v>
      </c>
      <c r="X891" s="110" t="str">
        <f>중기목록표!B9&amp;" / "&amp;중기목록표!C9</f>
        <v>굴삭기(0.7m3) / 0.7㎥,(암석)</v>
      </c>
      <c r="Y891" s="19" t="str">
        <f ca="1">HYPERLINK("#"&amp;중기목록표!J2&amp;"!A"&amp;ROW(중기목록표!A9),"중기    6 →")</f>
        <v>중기    6 →</v>
      </c>
    </row>
    <row r="892" spans="1:25" ht="12.6" customHeight="1" x14ac:dyDescent="0.3">
      <c r="A892" s="80"/>
      <c r="B892" s="80"/>
      <c r="C892" s="80"/>
      <c r="D892" s="80"/>
      <c r="E892" s="80"/>
      <c r="F892" s="80"/>
      <c r="G892" s="16" t="s">
        <v>1324</v>
      </c>
    </row>
    <row r="893" spans="1:25" ht="12.6" customHeight="1" x14ac:dyDescent="0.3">
      <c r="A893" s="80"/>
      <c r="B893" s="80"/>
      <c r="C893" s="80"/>
      <c r="D893" s="80"/>
      <c r="E893" s="80"/>
      <c r="F893" s="80"/>
      <c r="G893" s="16" t="s">
        <v>1324</v>
      </c>
    </row>
    <row r="894" spans="1:25" ht="12.6" customHeight="1" x14ac:dyDescent="0.3">
      <c r="A894" s="70" t="s">
        <v>1399</v>
      </c>
      <c r="B894" s="101" t="str">
        <f>" 경    비  :   "&amp;TEXT(I894,"#,##0"&amp;IF(I894&lt;&gt;INT(I894),".###",""))&amp;" / Q1  / 2 = "&amp;TEXT(C894,"#,##0.0")&amp;""</f>
        <v xml:space="preserve"> 경    비  :   26,677 / Q1  / 2 = 602.4</v>
      </c>
      <c r="C894" s="103">
        <f>E894+D894+F894</f>
        <v>602.4</v>
      </c>
      <c r="D894" s="103">
        <f>IF(H894=0,0,ROUNDDOWN(J894*H894,1))</f>
        <v>0</v>
      </c>
      <c r="E894" s="103">
        <f>IF(H894=0,0,ROUNDDOWN(K894*H894,1))</f>
        <v>0</v>
      </c>
      <c r="F894" s="103">
        <f>IF(H894=0,0,ROUNDDOWN(L894*H894,1))</f>
        <v>602.4</v>
      </c>
      <c r="G894" s="16" t="s">
        <v>1713</v>
      </c>
      <c r="H894" s="108">
        <v>2.2583559178999998E-2</v>
      </c>
      <c r="I894" s="109">
        <f>K894+J894+L894</f>
        <v>26677</v>
      </c>
      <c r="L894" s="39">
        <f>중기목록표!H9</f>
        <v>26677</v>
      </c>
      <c r="M894" s="20" t="s">
        <v>1395</v>
      </c>
      <c r="N894" s="20" t="s">
        <v>1345</v>
      </c>
      <c r="X894" s="110" t="str">
        <f>중기목록표!B9&amp;" / "&amp;중기목록표!C9</f>
        <v>굴삭기(0.7m3) / 0.7㎥,(암석)</v>
      </c>
      <c r="Y894" s="19" t="str">
        <f ca="1">HYPERLINK("#"&amp;중기목록표!J2&amp;"!A"&amp;ROW(중기목록표!A9),"중기    6 →")</f>
        <v>중기    6 →</v>
      </c>
    </row>
    <row r="895" spans="1:25" ht="12.6" customHeight="1" x14ac:dyDescent="0.3">
      <c r="A895" s="80"/>
      <c r="B895" s="80"/>
      <c r="C895" s="80"/>
      <c r="D895" s="80"/>
      <c r="E895" s="80"/>
      <c r="F895" s="80"/>
      <c r="G895" s="16" t="s">
        <v>1324</v>
      </c>
    </row>
    <row r="896" spans="1:25" ht="12.6" customHeight="1" x14ac:dyDescent="0.3">
      <c r="A896" s="70"/>
      <c r="B896" s="79" t="s">
        <v>1344</v>
      </c>
      <c r="C896" s="104">
        <f>E896+D896+F896</f>
        <v>2266.8000000000002</v>
      </c>
      <c r="D896" s="104">
        <f>SUMIF(N874:N895,M896,D874:D895)</f>
        <v>1257.9000000000001</v>
      </c>
      <c r="E896" s="104">
        <f>SUMIF(N874:N895,M896,E874:E895)</f>
        <v>406.5</v>
      </c>
      <c r="F896" s="104">
        <f>SUMIF(N874:N895,M896,F874:F895)</f>
        <v>602.4</v>
      </c>
      <c r="G896" s="16" t="s">
        <v>1343</v>
      </c>
      <c r="M896" s="20" t="s">
        <v>1345</v>
      </c>
      <c r="N896" s="20" t="s">
        <v>1368</v>
      </c>
    </row>
    <row r="897" spans="1:14" ht="12.6" customHeight="1" x14ac:dyDescent="0.3">
      <c r="A897" s="80"/>
      <c r="B897" s="80"/>
      <c r="C897" s="102"/>
      <c r="D897" s="102"/>
      <c r="E897" s="102"/>
      <c r="F897" s="102"/>
      <c r="G897" s="16" t="s">
        <v>1324</v>
      </c>
    </row>
    <row r="898" spans="1:14" ht="12.6" customHeight="1" x14ac:dyDescent="0.3">
      <c r="A898" s="70"/>
      <c r="B898" s="79" t="s">
        <v>1171</v>
      </c>
      <c r="C898" s="104">
        <f>E898+D898+F898</f>
        <v>23876.999999999996</v>
      </c>
      <c r="D898" s="104">
        <f>SUMIF(N846:N897,M898,D846:D897)</f>
        <v>12397.9</v>
      </c>
      <c r="E898" s="104">
        <f>SUMIF(N846:N897,M898,E846:E897)</f>
        <v>4097.2999999999993</v>
      </c>
      <c r="F898" s="104">
        <f>SUMIF(N846:N897,M898,F846:F897)</f>
        <v>7381.7999999999993</v>
      </c>
      <c r="G898" s="16" t="s">
        <v>1367</v>
      </c>
      <c r="M898" s="20" t="s">
        <v>1368</v>
      </c>
      <c r="N898" s="20" t="s">
        <v>1129</v>
      </c>
    </row>
    <row r="899" spans="1:14" ht="12.6" customHeight="1" x14ac:dyDescent="0.3">
      <c r="A899" s="80"/>
      <c r="B899" s="80"/>
      <c r="C899" s="102"/>
      <c r="D899" s="102"/>
      <c r="E899" s="102"/>
      <c r="F899" s="102"/>
      <c r="G899" s="16" t="s">
        <v>1324</v>
      </c>
    </row>
    <row r="900" spans="1:14" ht="12.6" customHeight="1" x14ac:dyDescent="0.3">
      <c r="A900" s="70"/>
      <c r="B900" s="79" t="s">
        <v>1171</v>
      </c>
      <c r="C900" s="104">
        <f>E900+D900+F900</f>
        <v>0</v>
      </c>
      <c r="D900" s="104">
        <f>SUMIF(N899:N899,M900,D899:D899)</f>
        <v>0</v>
      </c>
      <c r="E900" s="104">
        <f>SUMIF(N899:N899,M900,E899:E899)</f>
        <v>0</v>
      </c>
      <c r="F900" s="104">
        <f>SUMIF(N899:N899,M900,F899:F899)</f>
        <v>0</v>
      </c>
      <c r="G900" s="16" t="s">
        <v>1367</v>
      </c>
      <c r="M900" s="20" t="s">
        <v>1368</v>
      </c>
      <c r="N900" s="20" t="s">
        <v>1129</v>
      </c>
    </row>
    <row r="901" spans="1:14" ht="12.6" customHeight="1" x14ac:dyDescent="0.3">
      <c r="A901" s="80"/>
      <c r="B901" s="80"/>
      <c r="C901" s="102"/>
      <c r="D901" s="102"/>
      <c r="E901" s="102"/>
      <c r="F901" s="102"/>
    </row>
    <row r="902" spans="1:14" ht="12.6" customHeight="1" x14ac:dyDescent="0.3">
      <c r="A902" s="80"/>
      <c r="B902" s="80"/>
      <c r="C902" s="80"/>
      <c r="D902" s="80"/>
      <c r="E902" s="80"/>
      <c r="F902" s="80"/>
    </row>
    <row r="903" spans="1:14" ht="12.6" customHeight="1" x14ac:dyDescent="0.3">
      <c r="A903" s="80"/>
      <c r="B903" s="80"/>
      <c r="C903" s="80"/>
      <c r="D903" s="80"/>
      <c r="E903" s="80"/>
      <c r="F903" s="80"/>
    </row>
    <row r="904" spans="1:14" ht="12.6" customHeight="1" x14ac:dyDescent="0.3">
      <c r="A904" s="80"/>
      <c r="B904" s="80"/>
      <c r="C904" s="80"/>
      <c r="D904" s="80"/>
      <c r="E904" s="80"/>
      <c r="F904" s="80"/>
    </row>
    <row r="905" spans="1:14" ht="12.6" customHeight="1" x14ac:dyDescent="0.3">
      <c r="A905" s="80"/>
      <c r="B905" s="80"/>
      <c r="C905" s="80"/>
      <c r="D905" s="80"/>
      <c r="E905" s="80"/>
      <c r="F905" s="80"/>
    </row>
    <row r="906" spans="1:14" ht="12.6" customHeight="1" x14ac:dyDescent="0.3">
      <c r="A906" s="80"/>
      <c r="B906" s="80"/>
      <c r="C906" s="80"/>
      <c r="D906" s="80"/>
      <c r="E906" s="80"/>
      <c r="F906" s="80"/>
    </row>
    <row r="907" spans="1:14" ht="12.6" customHeight="1" x14ac:dyDescent="0.3">
      <c r="A907" s="80"/>
      <c r="B907" s="80"/>
      <c r="C907" s="80"/>
      <c r="D907" s="80"/>
      <c r="E907" s="80"/>
      <c r="F907" s="80"/>
    </row>
    <row r="908" spans="1:14" ht="12.6" customHeight="1" x14ac:dyDescent="0.3">
      <c r="A908" s="80"/>
      <c r="B908" s="80"/>
      <c r="C908" s="80"/>
      <c r="D908" s="80"/>
      <c r="E908" s="80"/>
      <c r="F908" s="80"/>
    </row>
    <row r="909" spans="1:14" ht="12.6" customHeight="1" x14ac:dyDescent="0.3">
      <c r="A909" s="80"/>
      <c r="B909" s="80"/>
      <c r="C909" s="80"/>
      <c r="D909" s="80"/>
      <c r="E909" s="80"/>
      <c r="F909" s="80"/>
    </row>
    <row r="910" spans="1:14" ht="12.6" customHeight="1" x14ac:dyDescent="0.3">
      <c r="A910" s="58"/>
      <c r="B910" s="58"/>
      <c r="C910" s="58"/>
      <c r="D910" s="58"/>
      <c r="E910" s="58"/>
      <c r="F910" s="58"/>
    </row>
    <row r="911" spans="1:14" ht="12.6" customHeight="1" x14ac:dyDescent="0.3">
      <c r="A911" s="141" t="s">
        <v>1171</v>
      </c>
      <c r="B911" s="142"/>
      <c r="C911" s="55">
        <f>E911+D911+F911</f>
        <v>23875</v>
      </c>
      <c r="D911" s="54">
        <f>ROUNDDOWN(SUMIF(N846:N900,M911,D846:D900),0)</f>
        <v>12397</v>
      </c>
      <c r="E911" s="63">
        <f>ROUNDDOWN(SUMIF(N846:N900,M911,E846:E900),0)</f>
        <v>4097</v>
      </c>
      <c r="F911" s="55">
        <f>ROUNDDOWN(SUMIF(N846:N900,M911,F846:F900),0)</f>
        <v>7381</v>
      </c>
      <c r="M911" s="20" t="s">
        <v>1129</v>
      </c>
      <c r="N911" s="20" t="s">
        <v>1172</v>
      </c>
    </row>
    <row r="912" spans="1:14" ht="12.6" customHeight="1" x14ac:dyDescent="0.3">
      <c r="A912" s="141" t="s">
        <v>1173</v>
      </c>
      <c r="B912" s="142"/>
      <c r="C912" s="55">
        <f>E912+D912+F912</f>
        <v>21128</v>
      </c>
      <c r="D912" s="54">
        <f>ROUNDDOWN(D911*H912/100,0)</f>
        <v>10971</v>
      </c>
      <c r="E912" s="63">
        <f>ROUNDDOWN(E911*H912/100,0)</f>
        <v>3625</v>
      </c>
      <c r="F912" s="55">
        <f>ROUNDDOWN(F911*H912/100,0)</f>
        <v>6532</v>
      </c>
      <c r="H912" s="67">
        <v>88.5</v>
      </c>
      <c r="M912" s="20" t="s">
        <v>1172</v>
      </c>
    </row>
    <row r="913" spans="1:25" ht="12.6" customHeight="1" x14ac:dyDescent="0.3">
      <c r="A913" s="99" t="s">
        <v>86</v>
      </c>
      <c r="B913" s="100" t="s">
        <v>86</v>
      </c>
      <c r="C913" s="147">
        <f>C1016</f>
        <v>9944</v>
      </c>
      <c r="D913" s="147">
        <f>D1016</f>
        <v>3755</v>
      </c>
      <c r="E913" s="147">
        <f>E1016</f>
        <v>4866</v>
      </c>
      <c r="F913" s="147">
        <f>F1016</f>
        <v>1323</v>
      </c>
      <c r="G913" s="36" t="str">
        <f>HYPERLINK("#G"&amp;ROW(G1002),"_x0005_`BDCOD|D02266_x0007_`POSS|"&amp;ROW(G915)&amp;"_x0007_`POSE|"&amp;ROW(G1002)&amp;"_x0007_`")</f>
        <v>_x0005_`BDCOD|D02266_x0007_`POSS|915_x0007_`POSE|1002_x0007_`</v>
      </c>
    </row>
    <row r="914" spans="1:25" ht="12.6" customHeight="1" x14ac:dyDescent="0.3">
      <c r="A914" s="85"/>
      <c r="B914" s="100" t="s">
        <v>226</v>
      </c>
      <c r="C914" s="137"/>
      <c r="D914" s="137"/>
      <c r="E914" s="137"/>
      <c r="F914" s="137"/>
      <c r="M914" s="20" t="s">
        <v>225</v>
      </c>
    </row>
    <row r="915" spans="1:25" ht="12.6" customHeight="1" x14ac:dyDescent="0.3">
      <c r="A915" s="80"/>
      <c r="B915" s="80"/>
      <c r="C915" s="102"/>
      <c r="D915" s="102"/>
      <c r="E915" s="102"/>
      <c r="F915" s="102"/>
      <c r="G915" s="16" t="s">
        <v>1324</v>
      </c>
    </row>
    <row r="916" spans="1:25" ht="12.6" customHeight="1" x14ac:dyDescent="0.3">
      <c r="A916" s="70"/>
      <c r="B916" s="79" t="s">
        <v>1715</v>
      </c>
      <c r="C916" s="80"/>
      <c r="D916" s="80"/>
      <c r="E916" s="80"/>
      <c r="F916" s="80"/>
      <c r="G916" s="16" t="s">
        <v>1714</v>
      </c>
    </row>
    <row r="917" spans="1:25" ht="12.6" customHeight="1" x14ac:dyDescent="0.3">
      <c r="A917" s="80"/>
      <c r="B917" s="80"/>
      <c r="C917" s="80"/>
      <c r="D917" s="80"/>
      <c r="E917" s="80"/>
      <c r="F917" s="80"/>
      <c r="G917" s="16" t="s">
        <v>1324</v>
      </c>
    </row>
    <row r="918" spans="1:25" ht="12.6" customHeight="1" x14ac:dyDescent="0.3">
      <c r="A918" s="80"/>
      <c r="B918" s="80"/>
      <c r="C918" s="80"/>
      <c r="D918" s="80"/>
      <c r="E918" s="80"/>
      <c r="F918" s="80"/>
      <c r="G918" s="16" t="s">
        <v>1324</v>
      </c>
    </row>
    <row r="919" spans="1:25" ht="12.6" customHeight="1" x14ac:dyDescent="0.3">
      <c r="A919" s="70"/>
      <c r="B919" s="79" t="s">
        <v>1717</v>
      </c>
      <c r="C919" s="80"/>
      <c r="D919" s="80"/>
      <c r="E919" s="80"/>
      <c r="F919" s="80"/>
      <c r="G919" s="16" t="s">
        <v>1716</v>
      </c>
    </row>
    <row r="920" spans="1:25" ht="12.6" customHeight="1" x14ac:dyDescent="0.3">
      <c r="A920" s="80"/>
      <c r="B920" s="80"/>
      <c r="C920" s="80"/>
      <c r="D920" s="80"/>
      <c r="E920" s="80"/>
      <c r="F920" s="80"/>
      <c r="G920" s="16" t="s">
        <v>1324</v>
      </c>
    </row>
    <row r="921" spans="1:25" ht="12.6" customHeight="1" x14ac:dyDescent="0.3">
      <c r="A921" s="70" t="s">
        <v>1719</v>
      </c>
      <c r="B921" s="101" t="str">
        <f>"   폭약  0.31 Kg * "&amp;TEXT(I921,"#,##0"&amp;IF(I921&lt;&gt;INT(I921),".###",""))&amp;" = "&amp;TEXT(C921,"#,##0.0")&amp;""</f>
        <v xml:space="preserve">   폭약  0.31 Kg * 12,712 = 3,940.7</v>
      </c>
      <c r="C921" s="103">
        <f>E921+D921+F921</f>
        <v>3940.7</v>
      </c>
      <c r="D921" s="103">
        <f>IF(H921=0,0,ROUNDDOWN(J921*H921,1))</f>
        <v>0</v>
      </c>
      <c r="E921" s="103">
        <f>IF(H921=0,0,ROUNDDOWN(K921*H921,1))</f>
        <v>3940.7</v>
      </c>
      <c r="F921" s="103">
        <f>IF(H921=0,0,ROUNDDOWN(L921*H921,1))</f>
        <v>0</v>
      </c>
      <c r="G921" s="16" t="s">
        <v>1718</v>
      </c>
      <c r="H921" s="108">
        <v>0.31000000000009997</v>
      </c>
      <c r="I921" s="109">
        <f>K921+J921+L921</f>
        <v>12712</v>
      </c>
      <c r="K921" s="39">
        <f>재료비목록표!E10</f>
        <v>12712</v>
      </c>
      <c r="M921" s="20" t="s">
        <v>1720</v>
      </c>
      <c r="N921" s="20" t="s">
        <v>1345</v>
      </c>
      <c r="X921" s="110" t="str">
        <f>재료비목록표!B10&amp;" / "&amp;재료비목록표!C10</f>
        <v>폭약 / (28m/m(메가바이트))</v>
      </c>
      <c r="Y921" s="19" t="str">
        <f ca="1">HYPERLINK("#"&amp;재료비목록표!G2&amp;"!A"&amp;ROW(재료비목록표!A10),"자재    7 →")</f>
        <v>자재    7 →</v>
      </c>
    </row>
    <row r="922" spans="1:25" ht="12.6" customHeight="1" x14ac:dyDescent="0.3">
      <c r="A922" s="80"/>
      <c r="B922" s="80"/>
      <c r="C922" s="80"/>
      <c r="D922" s="80"/>
      <c r="E922" s="80"/>
      <c r="F922" s="80"/>
      <c r="G922" s="16" t="s">
        <v>1324</v>
      </c>
    </row>
    <row r="923" spans="1:25" ht="12.6" customHeight="1" x14ac:dyDescent="0.3">
      <c r="A923" s="70" t="s">
        <v>1722</v>
      </c>
      <c r="B923" s="101" t="str">
        <f>"   뇌 관(3.5m)  0.04 개   * "&amp;TEXT(I923,"#,##0"&amp;IF(I923&lt;&gt;INT(I923),".###",""))&amp;" = "&amp;TEXT(C923,"#,##0.0")&amp;""</f>
        <v xml:space="preserve">   뇌 관(3.5m)  0.04 개   * 3,920 = 156.8</v>
      </c>
      <c r="C923" s="103">
        <f>E923+D923+F923</f>
        <v>156.80000000000001</v>
      </c>
      <c r="D923" s="103">
        <f>IF(H923=0,0,ROUNDDOWN(J923*H923,1))</f>
        <v>0</v>
      </c>
      <c r="E923" s="103">
        <f>IF(H923=0,0,ROUNDDOWN(K923*H923,1))</f>
        <v>156.80000000000001</v>
      </c>
      <c r="F923" s="103">
        <f>IF(H923=0,0,ROUNDDOWN(L923*H923,1))</f>
        <v>0</v>
      </c>
      <c r="G923" s="16" t="s">
        <v>1721</v>
      </c>
      <c r="H923" s="108">
        <v>4.0000000000099997E-2</v>
      </c>
      <c r="I923" s="109">
        <f>K923+J923+L923</f>
        <v>3920</v>
      </c>
      <c r="K923" s="39">
        <f>재료비목록표!E9</f>
        <v>3920</v>
      </c>
      <c r="M923" s="20" t="s">
        <v>1723</v>
      </c>
      <c r="N923" s="20" t="s">
        <v>1345</v>
      </c>
      <c r="X923" s="110" t="str">
        <f>재료비목록표!B9&amp;" / "&amp;재료비목록표!C9</f>
        <v>전기뇌관 / (3.5m)</v>
      </c>
      <c r="Y923" s="19" t="str">
        <f ca="1">HYPERLINK("#"&amp;재료비목록표!G2&amp;"!A"&amp;ROW(재료비목록표!A9),"자재    6 →")</f>
        <v>자재    6 →</v>
      </c>
    </row>
    <row r="924" spans="1:25" ht="12.6" customHeight="1" x14ac:dyDescent="0.3">
      <c r="A924" s="80"/>
      <c r="B924" s="80"/>
      <c r="C924" s="80"/>
      <c r="D924" s="80"/>
      <c r="E924" s="80"/>
      <c r="F924" s="80"/>
      <c r="G924" s="16" t="s">
        <v>1324</v>
      </c>
    </row>
    <row r="925" spans="1:25" ht="12.6" customHeight="1" x14ac:dyDescent="0.3">
      <c r="A925" s="70"/>
      <c r="B925" s="79" t="s">
        <v>1344</v>
      </c>
      <c r="C925" s="104">
        <f>E925+D925+F925</f>
        <v>4097.5</v>
      </c>
      <c r="D925" s="104">
        <f>SUMIF(N915:N924,M925,D915:D924)</f>
        <v>0</v>
      </c>
      <c r="E925" s="104">
        <f>SUMIF(N915:N924,M925,E915:E924)</f>
        <v>4097.5</v>
      </c>
      <c r="F925" s="104">
        <f>SUMIF(N915:N924,M925,F915:F924)</f>
        <v>0</v>
      </c>
      <c r="G925" s="16" t="s">
        <v>1724</v>
      </c>
      <c r="M925" s="20" t="s">
        <v>1345</v>
      </c>
      <c r="N925" s="20" t="s">
        <v>1368</v>
      </c>
    </row>
    <row r="926" spans="1:25" ht="12.6" customHeight="1" x14ac:dyDescent="0.3">
      <c r="A926" s="80"/>
      <c r="B926" s="80"/>
      <c r="C926" s="102"/>
      <c r="D926" s="102"/>
      <c r="E926" s="102"/>
      <c r="F926" s="102"/>
      <c r="G926" s="16" t="s">
        <v>1324</v>
      </c>
    </row>
    <row r="927" spans="1:25" ht="12.6" customHeight="1" x14ac:dyDescent="0.3">
      <c r="A927" s="70"/>
      <c r="B927" s="79" t="s">
        <v>1726</v>
      </c>
      <c r="C927" s="80"/>
      <c r="D927" s="80"/>
      <c r="E927" s="80"/>
      <c r="F927" s="80"/>
      <c r="G927" s="16" t="s">
        <v>1725</v>
      </c>
    </row>
    <row r="928" spans="1:25" ht="12.6" customHeight="1" x14ac:dyDescent="0.3">
      <c r="A928" s="80"/>
      <c r="B928" s="80"/>
      <c r="C928" s="80"/>
      <c r="D928" s="80"/>
      <c r="E928" s="80"/>
      <c r="F928" s="80"/>
      <c r="G928" s="16" t="s">
        <v>1324</v>
      </c>
    </row>
    <row r="929" spans="1:25" ht="12.6" customHeight="1" x14ac:dyDescent="0.3">
      <c r="A929" s="70" t="s">
        <v>1728</v>
      </c>
      <c r="B929" s="101" t="str">
        <f>"    "&amp;TEXT(I929,"#,##0"&amp;IF(I929&lt;&gt;INT(I929),".###",""))&amp;" * 5 %  = "&amp;TEXT(C929,"#,##0.0")&amp;""</f>
        <v xml:space="preserve">    4,097.5 * 5 %  = 204.8</v>
      </c>
      <c r="C929" s="103">
        <f>E929+D929+F929</f>
        <v>204.8</v>
      </c>
      <c r="D929" s="103">
        <f>IF(H929=0,0,ROUNDDOWN(J929*H929/100,1))</f>
        <v>0</v>
      </c>
      <c r="E929" s="103">
        <f>IF(H929=0,0,ROUNDDOWN(K929*H929/100,1))</f>
        <v>204.8</v>
      </c>
      <c r="F929" s="103">
        <f>IF(H929=0,0,ROUNDDOWN(L929*H929/100,1))</f>
        <v>0</v>
      </c>
      <c r="G929" s="16" t="s">
        <v>1727</v>
      </c>
      <c r="H929" s="108">
        <v>5</v>
      </c>
      <c r="I929" s="109">
        <f>K929+J929+L929</f>
        <v>4097.5</v>
      </c>
      <c r="J929" s="37">
        <v>0</v>
      </c>
      <c r="K929" s="67">
        <v>4097.5</v>
      </c>
      <c r="L929" s="37">
        <v>0</v>
      </c>
      <c r="M929" s="20" t="s">
        <v>1729</v>
      </c>
      <c r="N929" s="20" t="s">
        <v>1345</v>
      </c>
    </row>
    <row r="930" spans="1:25" ht="12.6" customHeight="1" x14ac:dyDescent="0.3">
      <c r="A930" s="80"/>
      <c r="B930" s="80"/>
      <c r="C930" s="80"/>
      <c r="D930" s="80"/>
      <c r="E930" s="80"/>
      <c r="F930" s="80"/>
      <c r="G930" s="16" t="s">
        <v>1324</v>
      </c>
    </row>
    <row r="931" spans="1:25" ht="12.6" customHeight="1" x14ac:dyDescent="0.3">
      <c r="A931" s="70"/>
      <c r="B931" s="79" t="s">
        <v>1344</v>
      </c>
      <c r="C931" s="104">
        <f>E931+D931+F931</f>
        <v>204.8</v>
      </c>
      <c r="D931" s="104">
        <f>SUMIF(N926:N930,M931,D926:D930)</f>
        <v>0</v>
      </c>
      <c r="E931" s="104">
        <f>SUMIF(N926:N930,M931,E926:E930)</f>
        <v>204.8</v>
      </c>
      <c r="F931" s="104">
        <f>SUMIF(N926:N930,M931,F926:F930)</f>
        <v>0</v>
      </c>
      <c r="G931" s="16" t="s">
        <v>1724</v>
      </c>
      <c r="M931" s="20" t="s">
        <v>1345</v>
      </c>
      <c r="N931" s="20" t="s">
        <v>1368</v>
      </c>
    </row>
    <row r="932" spans="1:25" ht="12.6" customHeight="1" x14ac:dyDescent="0.3">
      <c r="A932" s="80"/>
      <c r="B932" s="80"/>
      <c r="C932" s="102"/>
      <c r="D932" s="102"/>
      <c r="E932" s="102"/>
      <c r="F932" s="102"/>
      <c r="G932" s="16" t="s">
        <v>1324</v>
      </c>
    </row>
    <row r="933" spans="1:25" ht="12.6" customHeight="1" x14ac:dyDescent="0.3">
      <c r="A933" s="70"/>
      <c r="B933" s="79" t="s">
        <v>1171</v>
      </c>
      <c r="C933" s="104">
        <f>E933+D933+F933</f>
        <v>4302.3</v>
      </c>
      <c r="D933" s="104">
        <f>SUMIF(N915:N932,M933,D915:D932)</f>
        <v>0</v>
      </c>
      <c r="E933" s="104">
        <f>SUMIF(N915:N932,M933,E915:E932)</f>
        <v>4302.3</v>
      </c>
      <c r="F933" s="104">
        <f>SUMIF(N915:N932,M933,F915:F932)</f>
        <v>0</v>
      </c>
      <c r="G933" s="16" t="s">
        <v>1730</v>
      </c>
      <c r="M933" s="20" t="s">
        <v>1368</v>
      </c>
      <c r="N933" s="20" t="s">
        <v>1558</v>
      </c>
    </row>
    <row r="934" spans="1:25" ht="12.6" customHeight="1" x14ac:dyDescent="0.3">
      <c r="A934" s="80"/>
      <c r="B934" s="80"/>
      <c r="C934" s="102"/>
      <c r="D934" s="102"/>
      <c r="E934" s="102"/>
      <c r="F934" s="102"/>
      <c r="G934" s="16" t="s">
        <v>1324</v>
      </c>
    </row>
    <row r="935" spans="1:25" ht="12.6" customHeight="1" x14ac:dyDescent="0.3">
      <c r="A935" s="80"/>
      <c r="B935" s="80"/>
      <c r="C935" s="80"/>
      <c r="D935" s="80"/>
      <c r="E935" s="80"/>
      <c r="F935" s="80"/>
      <c r="G935" s="16" t="s">
        <v>1324</v>
      </c>
    </row>
    <row r="936" spans="1:25" ht="12.6" customHeight="1" x14ac:dyDescent="0.3">
      <c r="A936" s="70"/>
      <c r="B936" s="79" t="s">
        <v>1732</v>
      </c>
      <c r="C936" s="80"/>
      <c r="D936" s="80"/>
      <c r="E936" s="80"/>
      <c r="F936" s="80"/>
      <c r="G936" s="16" t="s">
        <v>1731</v>
      </c>
    </row>
    <row r="937" spans="1:25" ht="12.6" customHeight="1" x14ac:dyDescent="0.3">
      <c r="A937" s="80"/>
      <c r="B937" s="80"/>
      <c r="C937" s="80"/>
      <c r="D937" s="80"/>
      <c r="E937" s="80"/>
      <c r="F937" s="80"/>
      <c r="G937" s="16" t="s">
        <v>1324</v>
      </c>
    </row>
    <row r="938" spans="1:25" ht="12.6" customHeight="1" x14ac:dyDescent="0.3">
      <c r="A938" s="70" t="s">
        <v>1734</v>
      </c>
      <c r="B938" s="101" t="str">
        <f>"   화약취급공 :   "&amp;TEXT(I938,"#,##0"&amp;IF(I938&lt;&gt;INT(I938),".###",""))&amp;" *  0.004  인  = "&amp;TEXT(C938,"#,##0.0")&amp;""</f>
        <v xml:space="preserve">   화약취급공 :   254,202 *  0.004  인  = 1,016.8</v>
      </c>
      <c r="C938" s="103">
        <f>E938+D938+F938</f>
        <v>1016.8</v>
      </c>
      <c r="D938" s="103">
        <f>IF(H938=0,0,ROUNDDOWN(J938*H938,1))</f>
        <v>1016.8</v>
      </c>
      <c r="E938" s="103">
        <f>IF(H938=0,0,ROUNDDOWN(K938*H938,1))</f>
        <v>0</v>
      </c>
      <c r="F938" s="103">
        <f>IF(H938=0,0,ROUNDDOWN(L938*H938,1))</f>
        <v>0</v>
      </c>
      <c r="G938" s="16" t="s">
        <v>1733</v>
      </c>
      <c r="H938" s="108">
        <v>4.0000000001E-3</v>
      </c>
      <c r="I938" s="109">
        <f>K938+J938+L938</f>
        <v>254202</v>
      </c>
      <c r="J938" s="39">
        <f>노무비목록표!E8</f>
        <v>254202</v>
      </c>
      <c r="M938" s="20" t="s">
        <v>1735</v>
      </c>
      <c r="N938" s="20" t="s">
        <v>1368</v>
      </c>
      <c r="X938" s="110" t="str">
        <f>노무비목록표!B8&amp;" / "&amp;노무비목록표!C8</f>
        <v xml:space="preserve">화약취급공 / </v>
      </c>
      <c r="Y938" s="19" t="str">
        <f ca="1">HYPERLINK("#"&amp;노무비목록표!G2&amp;"!A"&amp;ROW(노무비목록표!A8),"노무    5 →")</f>
        <v>노무    5 →</v>
      </c>
    </row>
    <row r="939" spans="1:25" ht="12.6" customHeight="1" x14ac:dyDescent="0.3">
      <c r="A939" s="80"/>
      <c r="B939" s="80"/>
      <c r="C939" s="80"/>
      <c r="D939" s="80"/>
      <c r="E939" s="80"/>
      <c r="F939" s="80"/>
      <c r="G939" s="16" t="s">
        <v>1736</v>
      </c>
    </row>
    <row r="940" spans="1:25" ht="12.6" customHeight="1" x14ac:dyDescent="0.3">
      <c r="A940" s="70" t="s">
        <v>1655</v>
      </c>
      <c r="B940" s="101" t="str">
        <f>"   보통인부 :   "&amp;TEXT(I940,"#,##0"&amp;IF(I940&lt;&gt;INT(I940),".###",""))&amp;" *  0.006  인  = "&amp;TEXT(C940,"#,##0.0")&amp;""</f>
        <v xml:space="preserve">   보통인부 :   165,545 *  0.006  인  = 993.2</v>
      </c>
      <c r="C940" s="103">
        <f>E940+D940+F940</f>
        <v>993.2</v>
      </c>
      <c r="D940" s="103">
        <f>IF(H940=0,0,ROUNDDOWN(J940*H940,1))</f>
        <v>993.2</v>
      </c>
      <c r="E940" s="103">
        <f>IF(H940=0,0,ROUNDDOWN(K940*H940,1))</f>
        <v>0</v>
      </c>
      <c r="F940" s="103">
        <f>IF(H940=0,0,ROUNDDOWN(L940*H940,1))</f>
        <v>0</v>
      </c>
      <c r="G940" s="16" t="s">
        <v>1737</v>
      </c>
      <c r="H940" s="108">
        <v>6.0000000001E-3</v>
      </c>
      <c r="I940" s="109">
        <f>K940+J940+L940</f>
        <v>165545</v>
      </c>
      <c r="J940" s="39">
        <f>노무비목록표!E9</f>
        <v>165545</v>
      </c>
      <c r="M940" s="20" t="s">
        <v>1127</v>
      </c>
      <c r="N940" s="20" t="s">
        <v>1368</v>
      </c>
      <c r="X940" s="110" t="str">
        <f>노무비목록표!B9&amp;" / "&amp;노무비목록표!C9</f>
        <v xml:space="preserve">보통인부 / </v>
      </c>
      <c r="Y940" s="19" t="str">
        <f ca="1">HYPERLINK("#"&amp;노무비목록표!G2&amp;"!A"&amp;ROW(노무비목록표!A9),"노무    6 →")</f>
        <v>노무    6 →</v>
      </c>
    </row>
    <row r="941" spans="1:25" ht="12.6" customHeight="1" x14ac:dyDescent="0.3">
      <c r="A941" s="70"/>
      <c r="B941" s="79" t="s">
        <v>1171</v>
      </c>
      <c r="C941" s="104">
        <f>E941+D941+F941</f>
        <v>2010</v>
      </c>
      <c r="D941" s="104">
        <f>SUMIF(N934:N940,M941,D934:D940)</f>
        <v>2010</v>
      </c>
      <c r="E941" s="104">
        <f>SUMIF(N934:N940,M941,E934:E940)</f>
        <v>0</v>
      </c>
      <c r="F941" s="104">
        <f>SUMIF(N934:N940,M941,F934:F940)</f>
        <v>0</v>
      </c>
      <c r="G941" s="16" t="s">
        <v>1730</v>
      </c>
      <c r="M941" s="20" t="s">
        <v>1368</v>
      </c>
      <c r="N941" s="20" t="s">
        <v>1558</v>
      </c>
    </row>
    <row r="942" spans="1:25" ht="12.6" customHeight="1" x14ac:dyDescent="0.3">
      <c r="A942" s="80"/>
      <c r="B942" s="80"/>
      <c r="C942" s="102"/>
      <c r="D942" s="102"/>
      <c r="E942" s="102"/>
      <c r="F942" s="102"/>
      <c r="G942" s="16" t="s">
        <v>1324</v>
      </c>
    </row>
    <row r="943" spans="1:25" ht="12.6" customHeight="1" x14ac:dyDescent="0.3">
      <c r="A943" s="80"/>
      <c r="B943" s="80"/>
      <c r="C943" s="80"/>
      <c r="D943" s="80"/>
      <c r="E943" s="80"/>
      <c r="F943" s="80"/>
      <c r="G943" s="16" t="s">
        <v>1324</v>
      </c>
    </row>
    <row r="944" spans="1:25" ht="12.6" customHeight="1" x14ac:dyDescent="0.3">
      <c r="A944" s="80"/>
      <c r="B944" s="80"/>
      <c r="C944" s="80"/>
      <c r="D944" s="80"/>
      <c r="E944" s="80"/>
      <c r="F944" s="80"/>
      <c r="G944" s="16" t="s">
        <v>1324</v>
      </c>
    </row>
    <row r="945" spans="1:25" ht="12.6" customHeight="1" x14ac:dyDescent="0.3">
      <c r="A945" s="70"/>
      <c r="B945" s="79" t="s">
        <v>1739</v>
      </c>
      <c r="C945" s="80"/>
      <c r="D945" s="80"/>
      <c r="E945" s="80"/>
      <c r="F945" s="80"/>
      <c r="G945" s="16" t="s">
        <v>1738</v>
      </c>
    </row>
    <row r="946" spans="1:25" ht="12.6" customHeight="1" x14ac:dyDescent="0.3">
      <c r="A946" s="80"/>
      <c r="B946" s="80"/>
      <c r="C946" s="80"/>
      <c r="D946" s="80"/>
      <c r="E946" s="80"/>
      <c r="F946" s="80"/>
      <c r="G946" s="16" t="s">
        <v>1324</v>
      </c>
    </row>
    <row r="947" spans="1:25" ht="12.6" customHeight="1" x14ac:dyDescent="0.3">
      <c r="A947" s="80"/>
      <c r="B947" s="80"/>
      <c r="C947" s="80"/>
      <c r="D947" s="80"/>
      <c r="E947" s="80"/>
      <c r="F947" s="80"/>
      <c r="G947" s="16" t="s">
        <v>1324</v>
      </c>
    </row>
    <row r="948" spans="1:25" ht="12.6" customHeight="1" x14ac:dyDescent="0.3">
      <c r="A948" s="70"/>
      <c r="B948" s="79" t="s">
        <v>1741</v>
      </c>
      <c r="C948" s="80"/>
      <c r="D948" s="80"/>
      <c r="E948" s="80"/>
      <c r="F948" s="80"/>
      <c r="G948" s="16" t="s">
        <v>1740</v>
      </c>
    </row>
    <row r="949" spans="1:25" ht="12.6" customHeight="1" x14ac:dyDescent="0.3">
      <c r="A949" s="80"/>
      <c r="B949" s="80"/>
      <c r="C949" s="80"/>
      <c r="D949" s="80"/>
      <c r="E949" s="80"/>
      <c r="F949" s="80"/>
      <c r="G949" s="16" t="s">
        <v>1324</v>
      </c>
    </row>
    <row r="950" spans="1:25" ht="12.6" customHeight="1" x14ac:dyDescent="0.3">
      <c r="A950" s="80"/>
      <c r="B950" s="80"/>
      <c r="C950" s="80"/>
      <c r="D950" s="80"/>
      <c r="E950" s="80"/>
      <c r="F950" s="80"/>
      <c r="G950" s="16" t="s">
        <v>1324</v>
      </c>
    </row>
    <row r="951" spans="1:25" ht="12.6" customHeight="1" x14ac:dyDescent="0.3">
      <c r="A951" s="70" t="s">
        <v>1743</v>
      </c>
      <c r="B951" s="101" t="str">
        <f>" 노 무 비 : "&amp;TEXT(I951,"#,##0"&amp;IF(I951&lt;&gt;INT(I951),".###",""))&amp;" * 0.014 = "&amp;TEXT(C951,"#,##0.0")&amp;""</f>
        <v xml:space="preserve"> 노 무 비 : 55,700 * 0.014 = 779.8</v>
      </c>
      <c r="C951" s="103">
        <f>E951+D951+F951</f>
        <v>779.8</v>
      </c>
      <c r="D951" s="103">
        <f>IF(H951=0,0,ROUNDDOWN(J951*H951,1))</f>
        <v>779.8</v>
      </c>
      <c r="E951" s="103">
        <f>IF(H951=0,0,ROUNDDOWN(K951*H951,1))</f>
        <v>0</v>
      </c>
      <c r="F951" s="103">
        <f>IF(H951=0,0,ROUNDDOWN(L951*H951,1))</f>
        <v>0</v>
      </c>
      <c r="G951" s="16" t="s">
        <v>1742</v>
      </c>
      <c r="H951" s="108">
        <v>1.40000000001E-2</v>
      </c>
      <c r="I951" s="109">
        <f>K951+J951+L951</f>
        <v>55700</v>
      </c>
      <c r="J951" s="39">
        <f>중기목록표!F18</f>
        <v>55700</v>
      </c>
      <c r="M951" s="20" t="s">
        <v>1744</v>
      </c>
      <c r="N951" s="20" t="s">
        <v>1345</v>
      </c>
      <c r="O951" s="20" t="s">
        <v>1309</v>
      </c>
      <c r="X951" s="110" t="str">
        <f>중기목록표!B18&amp;" / "&amp;중기목록표!C18</f>
        <v>크로울러드릴 / 탑승유압식</v>
      </c>
      <c r="Y951" s="19" t="str">
        <f ca="1">HYPERLINK("#"&amp;중기목록표!J2&amp;"!A"&amp;ROW(중기목록표!A18),"중기   15 →")</f>
        <v>중기   15 →</v>
      </c>
    </row>
    <row r="952" spans="1:25" ht="12.6" customHeight="1" x14ac:dyDescent="0.3">
      <c r="A952" s="80"/>
      <c r="B952" s="80"/>
      <c r="C952" s="80"/>
      <c r="D952" s="80"/>
      <c r="E952" s="80"/>
      <c r="F952" s="80"/>
      <c r="G952" s="16" t="s">
        <v>1324</v>
      </c>
    </row>
    <row r="953" spans="1:25" ht="12.6" customHeight="1" x14ac:dyDescent="0.3">
      <c r="A953" s="70" t="s">
        <v>1746</v>
      </c>
      <c r="B953" s="101" t="str">
        <f>" 재 료 비 : "&amp;TEXT(I953,"#,##0"&amp;IF(I953&lt;&gt;INT(I953),".###",""))&amp;" * 0.014 = "&amp;TEXT(C953,"#,##0.0")&amp;""</f>
        <v xml:space="preserve"> 재 료 비 : 29,100 * 0.014 = 407.4</v>
      </c>
      <c r="C953" s="103">
        <f>E953+D953+F953</f>
        <v>407.4</v>
      </c>
      <c r="D953" s="103">
        <f>IF(H953=0,0,ROUNDDOWN(J953*H953,1))</f>
        <v>0</v>
      </c>
      <c r="E953" s="103">
        <f>IF(H953=0,0,ROUNDDOWN(K953*H953,1))</f>
        <v>407.4</v>
      </c>
      <c r="F953" s="103">
        <f>IF(H953=0,0,ROUNDDOWN(L953*H953,1))</f>
        <v>0</v>
      </c>
      <c r="G953" s="16" t="s">
        <v>1745</v>
      </c>
      <c r="H953" s="108">
        <v>1.40000000001E-2</v>
      </c>
      <c r="I953" s="109">
        <f>K953+J953+L953</f>
        <v>29100</v>
      </c>
      <c r="K953" s="39">
        <f>중기목록표!G18</f>
        <v>29100</v>
      </c>
      <c r="M953" s="20" t="s">
        <v>1744</v>
      </c>
      <c r="N953" s="20" t="s">
        <v>1345</v>
      </c>
      <c r="O953" s="20" t="s">
        <v>1578</v>
      </c>
      <c r="X953" s="110" t="str">
        <f>중기목록표!B18&amp;" / "&amp;중기목록표!C18</f>
        <v>크로울러드릴 / 탑승유압식</v>
      </c>
      <c r="Y953" s="19" t="str">
        <f ca="1">HYPERLINK("#"&amp;중기목록표!J2&amp;"!A"&amp;ROW(중기목록표!A18),"중기   15 →")</f>
        <v>중기   15 →</v>
      </c>
    </row>
    <row r="954" spans="1:25" ht="12.6" customHeight="1" x14ac:dyDescent="0.3">
      <c r="A954" s="80"/>
      <c r="B954" s="80"/>
      <c r="C954" s="80"/>
      <c r="D954" s="80"/>
      <c r="E954" s="80"/>
      <c r="F954" s="80"/>
      <c r="G954" s="16" t="s">
        <v>1324</v>
      </c>
    </row>
    <row r="955" spans="1:25" ht="12.6" customHeight="1" x14ac:dyDescent="0.3">
      <c r="A955" s="70" t="s">
        <v>1748</v>
      </c>
      <c r="B955" s="101" t="str">
        <f>" 경    비 : "&amp;TEXT(I955,"#,##0"&amp;IF(I955&lt;&gt;INT(I955),".###",""))&amp;" * 0.014 = "&amp;TEXT(C955,"#,##0.0")&amp;""</f>
        <v xml:space="preserve"> 경    비 : 23,323 * 0.014 = 326.5</v>
      </c>
      <c r="C955" s="103">
        <f>E955+D955+F955</f>
        <v>326.5</v>
      </c>
      <c r="D955" s="103">
        <f>IF(H955=0,0,ROUNDDOWN(J955*H955,1))</f>
        <v>0</v>
      </c>
      <c r="E955" s="103">
        <f>IF(H955=0,0,ROUNDDOWN(K955*H955,1))</f>
        <v>0</v>
      </c>
      <c r="F955" s="103">
        <f>IF(H955=0,0,ROUNDDOWN(L955*H955,1))</f>
        <v>326.5</v>
      </c>
      <c r="G955" s="16" t="s">
        <v>1747</v>
      </c>
      <c r="H955" s="108">
        <v>1.40000000001E-2</v>
      </c>
      <c r="I955" s="109">
        <f>K955+J955+L955</f>
        <v>23323</v>
      </c>
      <c r="L955" s="39">
        <f>중기목록표!H18</f>
        <v>23323</v>
      </c>
      <c r="M955" s="20" t="s">
        <v>1744</v>
      </c>
      <c r="N955" s="20" t="s">
        <v>1345</v>
      </c>
      <c r="O955" s="20" t="s">
        <v>1749</v>
      </c>
      <c r="X955" s="110" t="str">
        <f>중기목록표!B18&amp;" / "&amp;중기목록표!C18</f>
        <v>크로울러드릴 / 탑승유압식</v>
      </c>
      <c r="Y955" s="19" t="str">
        <f ca="1">HYPERLINK("#"&amp;중기목록표!J2&amp;"!A"&amp;ROW(중기목록표!A18),"중기   15 →")</f>
        <v>중기   15 →</v>
      </c>
    </row>
    <row r="956" spans="1:25" ht="12.6" customHeight="1" x14ac:dyDescent="0.3">
      <c r="A956" s="70"/>
      <c r="B956" s="79" t="s">
        <v>1344</v>
      </c>
      <c r="C956" s="104">
        <f>E956+D956+F956</f>
        <v>1513.6999999999998</v>
      </c>
      <c r="D956" s="104">
        <f>SUMIF(N942:N955,M956,D942:D955)</f>
        <v>779.8</v>
      </c>
      <c r="E956" s="104">
        <f>SUMIF(N942:N955,M956,E942:E955)</f>
        <v>407.4</v>
      </c>
      <c r="F956" s="104">
        <f>SUMIF(N942:N955,M956,F942:F955)</f>
        <v>326.5</v>
      </c>
      <c r="G956" s="16" t="s">
        <v>1603</v>
      </c>
      <c r="M956" s="20" t="s">
        <v>1345</v>
      </c>
      <c r="N956" s="20" t="s">
        <v>1368</v>
      </c>
    </row>
    <row r="957" spans="1:25" ht="12.6" customHeight="1" x14ac:dyDescent="0.3">
      <c r="A957" s="80"/>
      <c r="B957" s="80"/>
      <c r="C957" s="102"/>
      <c r="D957" s="102"/>
      <c r="E957" s="102"/>
      <c r="F957" s="102"/>
      <c r="G957" s="16" t="s">
        <v>1324</v>
      </c>
    </row>
    <row r="958" spans="1:25" ht="12.6" customHeight="1" x14ac:dyDescent="0.3">
      <c r="A958" s="70"/>
      <c r="B958" s="79" t="s">
        <v>1751</v>
      </c>
      <c r="C958" s="80"/>
      <c r="D958" s="80"/>
      <c r="E958" s="80"/>
      <c r="F958" s="80"/>
      <c r="G958" s="16" t="s">
        <v>1750</v>
      </c>
    </row>
    <row r="959" spans="1:25" ht="12.6" customHeight="1" x14ac:dyDescent="0.3">
      <c r="A959" s="80"/>
      <c r="B959" s="80"/>
      <c r="C959" s="80"/>
      <c r="D959" s="80"/>
      <c r="E959" s="80"/>
      <c r="F959" s="80"/>
      <c r="G959" s="16" t="s">
        <v>1324</v>
      </c>
    </row>
    <row r="960" spans="1:25" ht="12.6" customHeight="1" x14ac:dyDescent="0.3">
      <c r="A960" s="70"/>
      <c r="B960" s="101" t="str">
        <f>" "&amp;TEXT(I960,"#,##0.0")&amp;" * 24 %  = "&amp;TEXT(C960,"#,##0.0")&amp;""</f>
        <v xml:space="preserve"> 1,513.7 * 24 %  = 363.2</v>
      </c>
      <c r="C960" s="103">
        <f>E960+D960+F960</f>
        <v>363.2</v>
      </c>
      <c r="D960" s="103">
        <f>IF(H960=0,0,ROUNDDOWN(J960*H960/100,1))</f>
        <v>0</v>
      </c>
      <c r="E960" s="103">
        <f>IF(H960=0,0,ROUNDDOWN(K960*H960/100,1))</f>
        <v>0</v>
      </c>
      <c r="F960" s="103">
        <f>IF(H960=0,0,ROUNDDOWN(L960*H960/100,1))</f>
        <v>363.2</v>
      </c>
      <c r="G960" s="16" t="s">
        <v>1752</v>
      </c>
      <c r="H960" s="108">
        <v>24</v>
      </c>
      <c r="I960" s="109">
        <f>K960+J960+L960</f>
        <v>1513.6999999999998</v>
      </c>
      <c r="J960" s="37">
        <v>0</v>
      </c>
      <c r="K960" s="37">
        <v>0</v>
      </c>
      <c r="L960" s="39">
        <f>(SUMIF(O915:O959,"&gt;=1_01",C915:C959)-SUMIF(O915:O959,"&gt;1_03",C915:C959))</f>
        <v>1513.6999999999998</v>
      </c>
      <c r="M960" s="20" t="s">
        <v>1572</v>
      </c>
      <c r="N960" s="20" t="s">
        <v>1345</v>
      </c>
    </row>
    <row r="961" spans="1:25" ht="12.6" customHeight="1" x14ac:dyDescent="0.3">
      <c r="A961" s="80"/>
      <c r="B961" s="80"/>
      <c r="C961" s="80"/>
      <c r="D961" s="80"/>
      <c r="E961" s="80"/>
      <c r="F961" s="80"/>
      <c r="G961" s="16" t="s">
        <v>1324</v>
      </c>
    </row>
    <row r="962" spans="1:25" ht="12.6" customHeight="1" x14ac:dyDescent="0.3">
      <c r="A962" s="70"/>
      <c r="B962" s="79" t="s">
        <v>1344</v>
      </c>
      <c r="C962" s="104">
        <f>E962+D962+F962</f>
        <v>363.2</v>
      </c>
      <c r="D962" s="104">
        <f>SUMIF(N957:N961,M962,D957:D961)</f>
        <v>0</v>
      </c>
      <c r="E962" s="104">
        <f>SUMIF(N957:N961,M962,E957:E961)</f>
        <v>0</v>
      </c>
      <c r="F962" s="104">
        <f>SUMIF(N957:N961,M962,F957:F961)</f>
        <v>363.2</v>
      </c>
      <c r="G962" s="16" t="s">
        <v>1603</v>
      </c>
      <c r="M962" s="20" t="s">
        <v>1345</v>
      </c>
      <c r="N962" s="20" t="s">
        <v>1368</v>
      </c>
    </row>
    <row r="963" spans="1:25" ht="12.6" customHeight="1" x14ac:dyDescent="0.3">
      <c r="A963" s="80"/>
      <c r="B963" s="80"/>
      <c r="C963" s="102"/>
      <c r="D963" s="102"/>
      <c r="E963" s="102"/>
      <c r="F963" s="102"/>
      <c r="G963" s="16" t="s">
        <v>1324</v>
      </c>
    </row>
    <row r="964" spans="1:25" ht="12.6" customHeight="1" x14ac:dyDescent="0.3">
      <c r="A964" s="70"/>
      <c r="B964" s="79" t="s">
        <v>1171</v>
      </c>
      <c r="C964" s="104">
        <f>E964+D964+F964</f>
        <v>1876.8999999999999</v>
      </c>
      <c r="D964" s="104">
        <f>SUMIF(N942:N963,M964,D942:D963)</f>
        <v>779.8</v>
      </c>
      <c r="E964" s="104">
        <f>SUMIF(N942:N963,M964,E942:E963)</f>
        <v>407.4</v>
      </c>
      <c r="F964" s="104">
        <f>SUMIF(N942:N963,M964,F942:F963)</f>
        <v>689.7</v>
      </c>
      <c r="G964" s="16" t="s">
        <v>1607</v>
      </c>
      <c r="M964" s="20" t="s">
        <v>1368</v>
      </c>
      <c r="N964" s="20" t="s">
        <v>1558</v>
      </c>
    </row>
    <row r="965" spans="1:25" ht="12.6" customHeight="1" x14ac:dyDescent="0.3">
      <c r="A965" s="80"/>
      <c r="B965" s="80"/>
      <c r="C965" s="102"/>
      <c r="D965" s="102"/>
      <c r="E965" s="102"/>
      <c r="F965" s="102"/>
      <c r="G965" s="16" t="s">
        <v>1324</v>
      </c>
    </row>
    <row r="966" spans="1:25" ht="12.6" customHeight="1" x14ac:dyDescent="0.3">
      <c r="A966" s="80"/>
      <c r="B966" s="80"/>
      <c r="C966" s="80"/>
      <c r="D966" s="80"/>
      <c r="E966" s="80"/>
      <c r="F966" s="80"/>
      <c r="G966" s="16" t="s">
        <v>1324</v>
      </c>
    </row>
    <row r="967" spans="1:25" ht="12.6" customHeight="1" x14ac:dyDescent="0.3">
      <c r="A967" s="70"/>
      <c r="B967" s="79" t="s">
        <v>1754</v>
      </c>
      <c r="C967" s="80"/>
      <c r="D967" s="80"/>
      <c r="E967" s="80"/>
      <c r="F967" s="80"/>
      <c r="G967" s="16" t="s">
        <v>1753</v>
      </c>
    </row>
    <row r="968" spans="1:25" ht="12.6" customHeight="1" x14ac:dyDescent="0.3">
      <c r="A968" s="80"/>
      <c r="B968" s="80"/>
      <c r="C968" s="80"/>
      <c r="D968" s="80"/>
      <c r="E968" s="80"/>
      <c r="F968" s="80"/>
      <c r="G968" s="16" t="s">
        <v>1324</v>
      </c>
    </row>
    <row r="969" spans="1:25" ht="12.6" customHeight="1" x14ac:dyDescent="0.3">
      <c r="A969" s="70"/>
      <c r="B969" s="79" t="s">
        <v>1756</v>
      </c>
      <c r="C969" s="80"/>
      <c r="D969" s="80"/>
      <c r="E969" s="80"/>
      <c r="F969" s="80"/>
      <c r="G969" s="16" t="s">
        <v>1755</v>
      </c>
    </row>
    <row r="970" spans="1:25" ht="12.6" customHeight="1" x14ac:dyDescent="0.3">
      <c r="A970" s="80"/>
      <c r="B970" s="80"/>
      <c r="C970" s="80"/>
      <c r="D970" s="80"/>
      <c r="E970" s="80"/>
      <c r="F970" s="80"/>
      <c r="G970" s="16" t="s">
        <v>1324</v>
      </c>
    </row>
    <row r="971" spans="1:25" ht="12.6" customHeight="1" x14ac:dyDescent="0.3">
      <c r="A971" s="70" t="s">
        <v>1758</v>
      </c>
      <c r="B971" s="101" t="str">
        <f>" 노 무 비  : "&amp;TEXT(I971,"#,##0"&amp;IF(I971&lt;&gt;INT(I971),".###",""))&amp;"  * 0.008 = "&amp;TEXT(C971,"#,##0.0")&amp;""</f>
        <v xml:space="preserve"> 노 무 비  : 55,700  * 0.008 = 445.6</v>
      </c>
      <c r="C971" s="103">
        <f>E971+D971+F971</f>
        <v>445.6</v>
      </c>
      <c r="D971" s="103">
        <f>IF(H971=0,0,ROUNDDOWN(J971*H971,1))</f>
        <v>445.6</v>
      </c>
      <c r="E971" s="103">
        <f>IF(H971=0,0,ROUNDDOWN(K971*H971,1))</f>
        <v>0</v>
      </c>
      <c r="F971" s="103">
        <f>IF(H971=0,0,ROUNDDOWN(L971*H971,1))</f>
        <v>0</v>
      </c>
      <c r="G971" s="16" t="s">
        <v>1757</v>
      </c>
      <c r="H971" s="108">
        <v>8.0000000001E-3</v>
      </c>
      <c r="I971" s="109">
        <f>K971+J971+L971</f>
        <v>55700</v>
      </c>
      <c r="J971" s="39">
        <f>중기목록표!F8</f>
        <v>55700</v>
      </c>
      <c r="M971" s="20" t="s">
        <v>1759</v>
      </c>
      <c r="N971" s="20" t="s">
        <v>1368</v>
      </c>
      <c r="X971" s="110" t="str">
        <f>중기목록표!B8&amp;" / "&amp;중기목록표!C8</f>
        <v xml:space="preserve">굴삭기(1.0m3) / </v>
      </c>
      <c r="Y971" s="19" t="str">
        <f ca="1">HYPERLINK("#"&amp;중기목록표!J2&amp;"!A"&amp;ROW(중기목록표!A8),"중기    5 →")</f>
        <v>중기    5 →</v>
      </c>
    </row>
    <row r="972" spans="1:25" ht="12.6" customHeight="1" x14ac:dyDescent="0.3">
      <c r="A972" s="80"/>
      <c r="B972" s="80"/>
      <c r="C972" s="80"/>
      <c r="D972" s="80"/>
      <c r="E972" s="80"/>
      <c r="F972" s="80"/>
      <c r="G972" s="16" t="s">
        <v>1324</v>
      </c>
    </row>
    <row r="973" spans="1:25" ht="12.6" customHeight="1" x14ac:dyDescent="0.3">
      <c r="A973" s="70" t="s">
        <v>1761</v>
      </c>
      <c r="B973" s="101" t="str">
        <f>" 재 료 비  : "&amp;TEXT(I973,"#,##0"&amp;IF(I973&lt;&gt;INT(I973),".###",""))&amp;"  * 0.008 = "&amp;TEXT(C973,"#,##0.0")&amp;""</f>
        <v xml:space="preserve"> 재 료 비  : 30,260  * 0.008 = 242.0</v>
      </c>
      <c r="C973" s="103">
        <f>E973+D973+F973</f>
        <v>242</v>
      </c>
      <c r="D973" s="103">
        <f>IF(H973=0,0,ROUNDDOWN(J973*H973,1))</f>
        <v>0</v>
      </c>
      <c r="E973" s="103">
        <f>IF(H973=0,0,ROUNDDOWN(K973*H973,1))</f>
        <v>242</v>
      </c>
      <c r="F973" s="103">
        <f>IF(H973=0,0,ROUNDDOWN(L973*H973,1))</f>
        <v>0</v>
      </c>
      <c r="G973" s="16" t="s">
        <v>1760</v>
      </c>
      <c r="H973" s="108">
        <v>8.0000000001E-3</v>
      </c>
      <c r="I973" s="109">
        <f>K973+J973+L973</f>
        <v>30260</v>
      </c>
      <c r="K973" s="39">
        <f>중기목록표!G8</f>
        <v>30260</v>
      </c>
      <c r="M973" s="20" t="s">
        <v>1759</v>
      </c>
      <c r="N973" s="20" t="s">
        <v>1368</v>
      </c>
      <c r="X973" s="110" t="str">
        <f>중기목록표!B8&amp;" / "&amp;중기목록표!C8</f>
        <v xml:space="preserve">굴삭기(1.0m3) / </v>
      </c>
      <c r="Y973" s="19" t="str">
        <f ca="1">HYPERLINK("#"&amp;중기목록표!J2&amp;"!A"&amp;ROW(중기목록표!A8),"중기    5 →")</f>
        <v>중기    5 →</v>
      </c>
    </row>
    <row r="974" spans="1:25" ht="12.6" customHeight="1" x14ac:dyDescent="0.3">
      <c r="A974" s="80"/>
      <c r="B974" s="80"/>
      <c r="C974" s="80"/>
      <c r="D974" s="80"/>
      <c r="E974" s="80"/>
      <c r="F974" s="80"/>
      <c r="G974" s="16" t="s">
        <v>1324</v>
      </c>
    </row>
    <row r="975" spans="1:25" ht="12.6" customHeight="1" x14ac:dyDescent="0.3">
      <c r="A975" s="70" t="s">
        <v>1763</v>
      </c>
      <c r="B975" s="101" t="str">
        <f>" 경    비  : "&amp;TEXT(I975,"#,##0"&amp;IF(I975&lt;&gt;INT(I975),".###",""))&amp;"  * 0.008 = "&amp;TEXT(C975,"#,##0.0")&amp;""</f>
        <v xml:space="preserve"> 경    비  : 27,901  * 0.008 = 223.2</v>
      </c>
      <c r="C975" s="103">
        <f>E975+D975+F975</f>
        <v>223.2</v>
      </c>
      <c r="D975" s="103">
        <f>IF(H975=0,0,ROUNDDOWN(J975*H975,1))</f>
        <v>0</v>
      </c>
      <c r="E975" s="103">
        <f>IF(H975=0,0,ROUNDDOWN(K975*H975,1))</f>
        <v>0</v>
      </c>
      <c r="F975" s="103">
        <f>IF(H975=0,0,ROUNDDOWN(L975*H975,1))</f>
        <v>223.2</v>
      </c>
      <c r="G975" s="16" t="s">
        <v>1762</v>
      </c>
      <c r="H975" s="108">
        <v>8.0000000001E-3</v>
      </c>
      <c r="I975" s="109">
        <f>K975+J975+L975</f>
        <v>27901</v>
      </c>
      <c r="L975" s="39">
        <f>중기목록표!H8</f>
        <v>27901</v>
      </c>
      <c r="M975" s="20" t="s">
        <v>1759</v>
      </c>
      <c r="N975" s="20" t="s">
        <v>1368</v>
      </c>
      <c r="X975" s="110" t="str">
        <f>중기목록표!B8&amp;" / "&amp;중기목록표!C8</f>
        <v xml:space="preserve">굴삭기(1.0m3) / </v>
      </c>
      <c r="Y975" s="19" t="str">
        <f ca="1">HYPERLINK("#"&amp;중기목록표!J2&amp;"!A"&amp;ROW(중기목록표!A8),"중기    5 →")</f>
        <v>중기    5 →</v>
      </c>
    </row>
    <row r="976" spans="1:25" ht="12.6" customHeight="1" x14ac:dyDescent="0.3">
      <c r="A976" s="80"/>
      <c r="B976" s="80"/>
      <c r="C976" s="80"/>
      <c r="D976" s="80"/>
      <c r="E976" s="80"/>
      <c r="F976" s="80"/>
      <c r="G976" s="16" t="s">
        <v>1324</v>
      </c>
    </row>
    <row r="977" spans="1:25" ht="12.6" customHeight="1" x14ac:dyDescent="0.3">
      <c r="A977" s="70"/>
      <c r="B977" s="79" t="s">
        <v>1171</v>
      </c>
      <c r="C977" s="104">
        <f>E977+D977+F977</f>
        <v>910.8</v>
      </c>
      <c r="D977" s="104">
        <f>SUMIF(N965:N976,M977,D965:D976)</f>
        <v>445.6</v>
      </c>
      <c r="E977" s="104">
        <f>SUMIF(N965:N976,M977,E965:E976)</f>
        <v>242</v>
      </c>
      <c r="F977" s="104">
        <f>SUMIF(N965:N976,M977,F965:F976)</f>
        <v>223.2</v>
      </c>
      <c r="G977" s="16" t="s">
        <v>1367</v>
      </c>
      <c r="M977" s="20" t="s">
        <v>1368</v>
      </c>
      <c r="N977" s="20" t="s">
        <v>1558</v>
      </c>
    </row>
    <row r="978" spans="1:25" ht="12.6" customHeight="1" x14ac:dyDescent="0.3">
      <c r="A978" s="80"/>
      <c r="B978" s="80"/>
      <c r="C978" s="102"/>
      <c r="D978" s="102"/>
      <c r="E978" s="102"/>
      <c r="F978" s="102"/>
      <c r="G978" s="16" t="s">
        <v>1324</v>
      </c>
    </row>
    <row r="979" spans="1:25" ht="12.6" customHeight="1" x14ac:dyDescent="0.3">
      <c r="A979" s="80"/>
      <c r="B979" s="80"/>
      <c r="C979" s="80"/>
      <c r="D979" s="80"/>
      <c r="E979" s="80"/>
      <c r="F979" s="80"/>
      <c r="G979" s="16" t="s">
        <v>1324</v>
      </c>
    </row>
    <row r="980" spans="1:25" ht="12.6" customHeight="1" x14ac:dyDescent="0.3">
      <c r="A980" s="70"/>
      <c r="B980" s="79" t="s">
        <v>1765</v>
      </c>
      <c r="C980" s="80"/>
      <c r="D980" s="80"/>
      <c r="E980" s="80"/>
      <c r="F980" s="80"/>
      <c r="G980" s="16" t="s">
        <v>1764</v>
      </c>
    </row>
    <row r="981" spans="1:25" ht="12.6" customHeight="1" x14ac:dyDescent="0.3">
      <c r="A981" s="80"/>
      <c r="B981" s="80"/>
      <c r="C981" s="80"/>
      <c r="D981" s="80"/>
      <c r="E981" s="80"/>
      <c r="F981" s="80"/>
      <c r="G981" s="16" t="s">
        <v>1324</v>
      </c>
    </row>
    <row r="982" spans="1:25" ht="12.6" customHeight="1" x14ac:dyDescent="0.3">
      <c r="A982" s="70"/>
      <c r="B982" s="79" t="s">
        <v>1767</v>
      </c>
      <c r="C982" s="80"/>
      <c r="D982" s="80"/>
      <c r="E982" s="80"/>
      <c r="F982" s="80"/>
      <c r="G982" s="16" t="s">
        <v>1766</v>
      </c>
    </row>
    <row r="983" spans="1:25" ht="12.6" customHeight="1" x14ac:dyDescent="0.3">
      <c r="A983" s="80"/>
      <c r="B983" s="80"/>
      <c r="C983" s="80"/>
      <c r="D983" s="80"/>
      <c r="E983" s="80"/>
      <c r="F983" s="80"/>
      <c r="G983" s="16" t="s">
        <v>1324</v>
      </c>
    </row>
    <row r="984" spans="1:25" ht="12.6" customHeight="1" x14ac:dyDescent="0.3">
      <c r="A984" s="70"/>
      <c r="B984" s="79" t="s">
        <v>1769</v>
      </c>
      <c r="C984" s="80"/>
      <c r="D984" s="80"/>
      <c r="E984" s="80"/>
      <c r="F984" s="80"/>
      <c r="G984" s="16" t="s">
        <v>1768</v>
      </c>
    </row>
    <row r="985" spans="1:25" ht="12.6" customHeight="1" x14ac:dyDescent="0.3">
      <c r="A985" s="80"/>
      <c r="B985" s="80"/>
      <c r="C985" s="80"/>
      <c r="D985" s="80"/>
      <c r="E985" s="80"/>
      <c r="F985" s="80"/>
      <c r="G985" s="16" t="s">
        <v>1324</v>
      </c>
    </row>
    <row r="986" spans="1:25" ht="12.6" customHeight="1" x14ac:dyDescent="0.3">
      <c r="A986" s="70"/>
      <c r="B986" s="79" t="s">
        <v>1708</v>
      </c>
      <c r="C986" s="80"/>
      <c r="D986" s="80"/>
      <c r="E986" s="80"/>
      <c r="F986" s="80"/>
      <c r="G986" s="16" t="s">
        <v>1707</v>
      </c>
    </row>
    <row r="987" spans="1:25" ht="12.6" customHeight="1" x14ac:dyDescent="0.3">
      <c r="A987" s="80"/>
      <c r="B987" s="80"/>
      <c r="C987" s="80"/>
      <c r="D987" s="80"/>
      <c r="E987" s="80"/>
      <c r="F987" s="80"/>
      <c r="G987" s="16" t="s">
        <v>1324</v>
      </c>
    </row>
    <row r="988" spans="1:25" ht="12.6" customHeight="1" x14ac:dyDescent="0.3">
      <c r="A988" s="80"/>
      <c r="B988" s="80"/>
      <c r="C988" s="80"/>
      <c r="D988" s="80"/>
      <c r="E988" s="80"/>
      <c r="F988" s="80"/>
      <c r="G988" s="16" t="s">
        <v>1324</v>
      </c>
    </row>
    <row r="989" spans="1:25" ht="12.6" customHeight="1" x14ac:dyDescent="0.3">
      <c r="A989" s="70"/>
      <c r="B989" s="79" t="s">
        <v>1770</v>
      </c>
      <c r="C989" s="80"/>
      <c r="D989" s="80"/>
      <c r="E989" s="80"/>
      <c r="F989" s="80"/>
      <c r="G989" s="16" t="s">
        <v>1709</v>
      </c>
    </row>
    <row r="990" spans="1:25" ht="12.6" customHeight="1" x14ac:dyDescent="0.3">
      <c r="A990" s="80"/>
      <c r="B990" s="80"/>
      <c r="C990" s="80"/>
      <c r="D990" s="80"/>
      <c r="E990" s="80"/>
      <c r="F990" s="80"/>
      <c r="G990" s="16" t="s">
        <v>1324</v>
      </c>
    </row>
    <row r="991" spans="1:25" ht="12.6" customHeight="1" x14ac:dyDescent="0.3">
      <c r="A991" s="80"/>
      <c r="B991" s="80"/>
      <c r="C991" s="80"/>
      <c r="D991" s="80"/>
      <c r="E991" s="80"/>
      <c r="F991" s="80"/>
      <c r="G991" s="16" t="s">
        <v>1324</v>
      </c>
    </row>
    <row r="992" spans="1:25" ht="12.6" customHeight="1" x14ac:dyDescent="0.3">
      <c r="A992" s="70" t="s">
        <v>1772</v>
      </c>
      <c r="B992" s="101" t="str">
        <f>" 노 무 비  :   "&amp;TEXT(I992,"#,##0"&amp;IF(I992&lt;&gt;INT(I992),".###",""))&amp;" / Q1  / 2  = "&amp;TEXT(C992,"#,##0.0")&amp;""</f>
        <v xml:space="preserve"> 노 무 비  :   55,700 / Q1  / 2  = 1,008.3</v>
      </c>
      <c r="C992" s="103">
        <f>E992+D992+F992</f>
        <v>1008.3</v>
      </c>
      <c r="D992" s="103">
        <f>IF(H992=0,0,ROUNDDOWN(J992*H992,1))</f>
        <v>1008.3</v>
      </c>
      <c r="E992" s="103">
        <f>IF(H992=0,0,ROUNDDOWN(K992*H992,1))</f>
        <v>0</v>
      </c>
      <c r="F992" s="103">
        <f>IF(H992=0,0,ROUNDDOWN(L992*H992,1))</f>
        <v>0</v>
      </c>
      <c r="G992" s="16" t="s">
        <v>1771</v>
      </c>
      <c r="H992" s="108">
        <v>1.81028240507E-2</v>
      </c>
      <c r="I992" s="109">
        <f>K992+J992+L992</f>
        <v>55700</v>
      </c>
      <c r="J992" s="39">
        <f>중기목록표!F26</f>
        <v>55700</v>
      </c>
      <c r="M992" s="20" t="s">
        <v>1773</v>
      </c>
      <c r="N992" s="20" t="s">
        <v>1368</v>
      </c>
      <c r="X992" s="110" t="str">
        <f>중기목록표!B26&amp;" / "&amp;중기목록표!C26</f>
        <v>굴삭기(1.0m3) / 할증율:1.20</v>
      </c>
      <c r="Y992" s="19" t="str">
        <f ca="1">HYPERLINK("#"&amp;중기목록표!J2&amp;"!A"&amp;ROW(중기목록표!A26),"중기   23 →")</f>
        <v>중기   23 →</v>
      </c>
    </row>
    <row r="993" spans="1:25" ht="12.6" customHeight="1" x14ac:dyDescent="0.3">
      <c r="A993" s="80"/>
      <c r="B993" s="80"/>
      <c r="C993" s="80"/>
      <c r="D993" s="80"/>
      <c r="E993" s="80"/>
      <c r="F993" s="80"/>
      <c r="G993" s="16" t="s">
        <v>1324</v>
      </c>
    </row>
    <row r="994" spans="1:25" ht="12.6" customHeight="1" x14ac:dyDescent="0.3">
      <c r="A994" s="80"/>
      <c r="B994" s="80"/>
      <c r="C994" s="80"/>
      <c r="D994" s="80"/>
      <c r="E994" s="80"/>
      <c r="F994" s="80"/>
      <c r="G994" s="16" t="s">
        <v>1324</v>
      </c>
    </row>
    <row r="995" spans="1:25" ht="12.6" customHeight="1" x14ac:dyDescent="0.3">
      <c r="A995" s="70" t="s">
        <v>1775</v>
      </c>
      <c r="B995" s="101" t="str">
        <f>" 재 료 비  :   "&amp;TEXT(I995,"#,##0"&amp;IF(I995&lt;&gt;INT(I995),".###",""))&amp;" / Q1  / 2 = "&amp;TEXT(C995,"#,##0.0")&amp;""</f>
        <v xml:space="preserve"> 재 료 비  :   30,260 / Q1  / 2 = 547.7</v>
      </c>
      <c r="C995" s="103">
        <f>E995+D995+F995</f>
        <v>547.70000000000005</v>
      </c>
      <c r="D995" s="103">
        <f>IF(H995=0,0,ROUNDDOWN(J995*H995,1))</f>
        <v>0</v>
      </c>
      <c r="E995" s="103">
        <f>IF(H995=0,0,ROUNDDOWN(K995*H995,1))</f>
        <v>547.70000000000005</v>
      </c>
      <c r="F995" s="103">
        <f>IF(H995=0,0,ROUNDDOWN(L995*H995,1))</f>
        <v>0</v>
      </c>
      <c r="G995" s="16" t="s">
        <v>1774</v>
      </c>
      <c r="H995" s="108">
        <v>1.81028240507E-2</v>
      </c>
      <c r="I995" s="109">
        <f>K995+J995+L995</f>
        <v>30260</v>
      </c>
      <c r="K995" s="39">
        <f>중기목록표!G26</f>
        <v>30260</v>
      </c>
      <c r="M995" s="20" t="s">
        <v>1773</v>
      </c>
      <c r="N995" s="20" t="s">
        <v>1368</v>
      </c>
      <c r="X995" s="110" t="str">
        <f>중기목록표!B26&amp;" / "&amp;중기목록표!C26</f>
        <v>굴삭기(1.0m3) / 할증율:1.20</v>
      </c>
      <c r="Y995" s="19" t="str">
        <f ca="1">HYPERLINK("#"&amp;중기목록표!J2&amp;"!A"&amp;ROW(중기목록표!A26),"중기   23 →")</f>
        <v>중기   23 →</v>
      </c>
    </row>
    <row r="996" spans="1:25" ht="12.6" customHeight="1" x14ac:dyDescent="0.3">
      <c r="A996" s="80"/>
      <c r="B996" s="80"/>
      <c r="C996" s="80"/>
      <c r="D996" s="80"/>
      <c r="E996" s="80"/>
      <c r="F996" s="80"/>
      <c r="G996" s="16" t="s">
        <v>1324</v>
      </c>
    </row>
    <row r="997" spans="1:25" ht="12.6" customHeight="1" x14ac:dyDescent="0.3">
      <c r="A997" s="80"/>
      <c r="B997" s="80"/>
      <c r="C997" s="80"/>
      <c r="D997" s="80"/>
      <c r="E997" s="80"/>
      <c r="F997" s="80"/>
      <c r="G997" s="16" t="s">
        <v>1324</v>
      </c>
    </row>
    <row r="998" spans="1:25" ht="12.6" customHeight="1" x14ac:dyDescent="0.3">
      <c r="A998" s="70" t="s">
        <v>1777</v>
      </c>
      <c r="B998" s="101" t="str">
        <f>" 경    비  :   "&amp;TEXT(I998,"#,##0"&amp;IF(I998&lt;&gt;INT(I998),".###",""))&amp;" / Q1  / 2 = "&amp;TEXT(C998,"#,##0.0")&amp;""</f>
        <v xml:space="preserve"> 경    비  :   32,183 / Q1  / 2 = 582.6</v>
      </c>
      <c r="C998" s="103">
        <f>E998+D998+F998</f>
        <v>582.6</v>
      </c>
      <c r="D998" s="103">
        <f>IF(H998=0,0,ROUNDDOWN(J998*H998,1))</f>
        <v>0</v>
      </c>
      <c r="E998" s="103">
        <f>IF(H998=0,0,ROUNDDOWN(K998*H998,1))</f>
        <v>0</v>
      </c>
      <c r="F998" s="103">
        <f>IF(H998=0,0,ROUNDDOWN(L998*H998,1))</f>
        <v>582.6</v>
      </c>
      <c r="G998" s="16" t="s">
        <v>1776</v>
      </c>
      <c r="H998" s="108">
        <v>1.81028240507E-2</v>
      </c>
      <c r="I998" s="109">
        <f>K998+J998+L998</f>
        <v>32183</v>
      </c>
      <c r="L998" s="39">
        <f>중기목록표!H26</f>
        <v>32183</v>
      </c>
      <c r="M998" s="20" t="s">
        <v>1773</v>
      </c>
      <c r="N998" s="20" t="s">
        <v>1368</v>
      </c>
      <c r="X998" s="110" t="str">
        <f>중기목록표!B26&amp;" / "&amp;중기목록표!C26</f>
        <v>굴삭기(1.0m3) / 할증율:1.20</v>
      </c>
      <c r="Y998" s="19" t="str">
        <f ca="1">HYPERLINK("#"&amp;중기목록표!J2&amp;"!A"&amp;ROW(중기목록표!A26),"중기   23 →")</f>
        <v>중기   23 →</v>
      </c>
    </row>
    <row r="999" spans="1:25" ht="12.6" customHeight="1" x14ac:dyDescent="0.3">
      <c r="A999" s="80"/>
      <c r="B999" s="80"/>
      <c r="C999" s="80"/>
      <c r="D999" s="80"/>
      <c r="E999" s="80"/>
      <c r="F999" s="80"/>
      <c r="G999" s="16" t="s">
        <v>1324</v>
      </c>
    </row>
    <row r="1000" spans="1:25" ht="12.6" customHeight="1" x14ac:dyDescent="0.3">
      <c r="A1000" s="70"/>
      <c r="B1000" s="79" t="s">
        <v>1171</v>
      </c>
      <c r="C1000" s="104">
        <f>E1000+D1000+F1000</f>
        <v>2138.6</v>
      </c>
      <c r="D1000" s="104">
        <f>SUMIF(N978:N999,M1000,D978:D999)</f>
        <v>1008.3</v>
      </c>
      <c r="E1000" s="104">
        <f>SUMIF(N978:N999,M1000,E978:E999)</f>
        <v>547.70000000000005</v>
      </c>
      <c r="F1000" s="104">
        <f>SUMIF(N978:N999,M1000,F978:F999)</f>
        <v>582.6</v>
      </c>
      <c r="G1000" s="16" t="s">
        <v>1367</v>
      </c>
      <c r="M1000" s="20" t="s">
        <v>1368</v>
      </c>
      <c r="N1000" s="20" t="s">
        <v>1558</v>
      </c>
    </row>
    <row r="1001" spans="1:25" ht="12.6" customHeight="1" x14ac:dyDescent="0.3">
      <c r="A1001" s="80"/>
      <c r="B1001" s="80"/>
      <c r="C1001" s="102"/>
      <c r="D1001" s="102"/>
      <c r="E1001" s="102"/>
      <c r="F1001" s="102"/>
      <c r="G1001" s="16" t="s">
        <v>1324</v>
      </c>
    </row>
    <row r="1002" spans="1:25" ht="12.6" customHeight="1" x14ac:dyDescent="0.3">
      <c r="A1002" s="70"/>
      <c r="B1002" s="79" t="s">
        <v>1557</v>
      </c>
      <c r="C1002" s="104">
        <f>E1002+D1002+F1002</f>
        <v>11238.599999999999</v>
      </c>
      <c r="D1002" s="104">
        <f>SUMIF(N915:N1001,M1002,D915:D1001)</f>
        <v>4243.7</v>
      </c>
      <c r="E1002" s="104">
        <f>SUMIF(N915:N1001,M1002,E915:E1001)</f>
        <v>5499.4</v>
      </c>
      <c r="F1002" s="104">
        <f>SUMIF(N915:N1001,M1002,F915:F1001)</f>
        <v>1495.5</v>
      </c>
      <c r="G1002" s="16" t="s">
        <v>1556</v>
      </c>
      <c r="M1002" s="20" t="s">
        <v>1558</v>
      </c>
      <c r="N1002" s="20" t="s">
        <v>1129</v>
      </c>
    </row>
    <row r="1003" spans="1:25" ht="12.6" customHeight="1" x14ac:dyDescent="0.3">
      <c r="A1003" s="80"/>
      <c r="B1003" s="80"/>
      <c r="C1003" s="102"/>
      <c r="D1003" s="102"/>
      <c r="E1003" s="102"/>
      <c r="F1003" s="102"/>
    </row>
    <row r="1004" spans="1:25" ht="12.6" customHeight="1" x14ac:dyDescent="0.3">
      <c r="A1004" s="80"/>
      <c r="B1004" s="80"/>
      <c r="C1004" s="80"/>
      <c r="D1004" s="80"/>
      <c r="E1004" s="80"/>
      <c r="F1004" s="80"/>
    </row>
    <row r="1005" spans="1:25" ht="12.6" customHeight="1" x14ac:dyDescent="0.3">
      <c r="A1005" s="80"/>
      <c r="B1005" s="80"/>
      <c r="C1005" s="80"/>
      <c r="D1005" s="80"/>
      <c r="E1005" s="80"/>
      <c r="F1005" s="80"/>
    </row>
    <row r="1006" spans="1:25" ht="12.6" customHeight="1" x14ac:dyDescent="0.3">
      <c r="A1006" s="80"/>
      <c r="B1006" s="80"/>
      <c r="C1006" s="80"/>
      <c r="D1006" s="80"/>
      <c r="E1006" s="80"/>
      <c r="F1006" s="80"/>
    </row>
    <row r="1007" spans="1:25" ht="12.6" customHeight="1" x14ac:dyDescent="0.3">
      <c r="A1007" s="80"/>
      <c r="B1007" s="80"/>
      <c r="C1007" s="80"/>
      <c r="D1007" s="80"/>
      <c r="E1007" s="80"/>
      <c r="F1007" s="80"/>
    </row>
    <row r="1008" spans="1:25" ht="12.6" customHeight="1" x14ac:dyDescent="0.3">
      <c r="A1008" s="80"/>
      <c r="B1008" s="80"/>
      <c r="C1008" s="80"/>
      <c r="D1008" s="80"/>
      <c r="E1008" s="80"/>
      <c r="F1008" s="80"/>
    </row>
    <row r="1009" spans="1:14" ht="12.6" customHeight="1" x14ac:dyDescent="0.3">
      <c r="A1009" s="80"/>
      <c r="B1009" s="80"/>
      <c r="C1009" s="80"/>
      <c r="D1009" s="80"/>
      <c r="E1009" s="80"/>
      <c r="F1009" s="80"/>
    </row>
    <row r="1010" spans="1:14" ht="12.6" customHeight="1" x14ac:dyDescent="0.3">
      <c r="A1010" s="80"/>
      <c r="B1010" s="80"/>
      <c r="C1010" s="80"/>
      <c r="D1010" s="80"/>
      <c r="E1010" s="80"/>
      <c r="F1010" s="80"/>
    </row>
    <row r="1011" spans="1:14" ht="12.6" customHeight="1" x14ac:dyDescent="0.3">
      <c r="A1011" s="80"/>
      <c r="B1011" s="80"/>
      <c r="C1011" s="80"/>
      <c r="D1011" s="80"/>
      <c r="E1011" s="80"/>
      <c r="F1011" s="80"/>
    </row>
    <row r="1012" spans="1:14" ht="12.6" customHeight="1" x14ac:dyDescent="0.3">
      <c r="A1012" s="80"/>
      <c r="B1012" s="80"/>
      <c r="C1012" s="80"/>
      <c r="D1012" s="80"/>
      <c r="E1012" s="80"/>
      <c r="F1012" s="80"/>
    </row>
    <row r="1013" spans="1:14" ht="12.6" customHeight="1" x14ac:dyDescent="0.3">
      <c r="A1013" s="80"/>
      <c r="B1013" s="80"/>
      <c r="C1013" s="80"/>
      <c r="D1013" s="80"/>
      <c r="E1013" s="80"/>
      <c r="F1013" s="80"/>
    </row>
    <row r="1014" spans="1:14" ht="12.6" customHeight="1" x14ac:dyDescent="0.3">
      <c r="A1014" s="58"/>
      <c r="B1014" s="58"/>
      <c r="C1014" s="58"/>
      <c r="D1014" s="58"/>
      <c r="E1014" s="58"/>
      <c r="F1014" s="58"/>
    </row>
    <row r="1015" spans="1:14" ht="12.6" customHeight="1" x14ac:dyDescent="0.3">
      <c r="A1015" s="141" t="s">
        <v>1171</v>
      </c>
      <c r="B1015" s="142"/>
      <c r="C1015" s="55">
        <f>E1015+D1015+F1015</f>
        <v>11237</v>
      </c>
      <c r="D1015" s="54">
        <f>ROUNDDOWN(SUMIF(N915:N1002,M1015,D915:D1002),0)</f>
        <v>4243</v>
      </c>
      <c r="E1015" s="63">
        <f>ROUNDDOWN(SUMIF(N915:N1002,M1015,E915:E1002),0)</f>
        <v>5499</v>
      </c>
      <c r="F1015" s="55">
        <f>ROUNDDOWN(SUMIF(N915:N1002,M1015,F915:F1002),0)</f>
        <v>1495</v>
      </c>
      <c r="M1015" s="20" t="s">
        <v>1129</v>
      </c>
      <c r="N1015" s="20" t="s">
        <v>1172</v>
      </c>
    </row>
    <row r="1016" spans="1:14" ht="12.6" customHeight="1" x14ac:dyDescent="0.3">
      <c r="A1016" s="141" t="s">
        <v>1173</v>
      </c>
      <c r="B1016" s="142"/>
      <c r="C1016" s="55">
        <f>E1016+D1016+F1016</f>
        <v>9944</v>
      </c>
      <c r="D1016" s="54">
        <f>ROUNDDOWN(D1015*H1016/100,0)</f>
        <v>3755</v>
      </c>
      <c r="E1016" s="63">
        <f>ROUNDDOWN(E1015*H1016/100,0)</f>
        <v>4866</v>
      </c>
      <c r="F1016" s="55">
        <f>ROUNDDOWN(F1015*H1016/100,0)</f>
        <v>1323</v>
      </c>
      <c r="H1016" s="67">
        <v>88.5</v>
      </c>
      <c r="M1016" s="20" t="s">
        <v>1172</v>
      </c>
    </row>
    <row r="1017" spans="1:14" ht="12.6" customHeight="1" x14ac:dyDescent="0.3">
      <c r="A1017" s="99" t="s">
        <v>91</v>
      </c>
      <c r="B1017" s="100" t="s">
        <v>91</v>
      </c>
      <c r="C1017" s="147">
        <f>C1050</f>
        <v>1450</v>
      </c>
      <c r="D1017" s="147">
        <f>D1050</f>
        <v>835</v>
      </c>
      <c r="E1017" s="147">
        <f>E1050</f>
        <v>269</v>
      </c>
      <c r="F1017" s="147">
        <f>F1050</f>
        <v>346</v>
      </c>
      <c r="G1017" s="36" t="str">
        <f>HYPERLINK("#G"&amp;ROW(G1044),"_x0005_`BDCOD|D02267_x0007_`POSS|"&amp;ROW(G1019)&amp;"_x0007_`POSE|"&amp;ROW(G1044)&amp;"_x0007_`")</f>
        <v>_x0005_`BDCOD|D02267_x0007_`POSS|1019_x0007_`POSE|1044_x0007_`</v>
      </c>
    </row>
    <row r="1018" spans="1:14" ht="12.6" customHeight="1" x14ac:dyDescent="0.3">
      <c r="A1018" s="85"/>
      <c r="B1018" s="100" t="s">
        <v>186</v>
      </c>
      <c r="C1018" s="137"/>
      <c r="D1018" s="137"/>
      <c r="E1018" s="137"/>
      <c r="F1018" s="137"/>
      <c r="M1018" s="20" t="s">
        <v>230</v>
      </c>
    </row>
    <row r="1019" spans="1:14" ht="12.6" customHeight="1" x14ac:dyDescent="0.3">
      <c r="A1019" s="80"/>
      <c r="B1019" s="80"/>
      <c r="C1019" s="102"/>
      <c r="D1019" s="102"/>
      <c r="E1019" s="102"/>
      <c r="F1019" s="102"/>
      <c r="G1019" s="16" t="s">
        <v>1324</v>
      </c>
    </row>
    <row r="1020" spans="1:14" ht="12.6" customHeight="1" x14ac:dyDescent="0.3">
      <c r="A1020" s="70"/>
      <c r="B1020" s="79" t="s">
        <v>1508</v>
      </c>
      <c r="C1020" s="80"/>
      <c r="D1020" s="80"/>
      <c r="E1020" s="80"/>
      <c r="F1020" s="80"/>
      <c r="G1020" s="16" t="s">
        <v>1507</v>
      </c>
    </row>
    <row r="1021" spans="1:14" ht="12.6" customHeight="1" x14ac:dyDescent="0.3">
      <c r="A1021" s="80"/>
      <c r="B1021" s="80"/>
      <c r="C1021" s="80"/>
      <c r="D1021" s="80"/>
      <c r="E1021" s="80"/>
      <c r="F1021" s="80"/>
      <c r="G1021" s="16" t="s">
        <v>1324</v>
      </c>
    </row>
    <row r="1022" spans="1:14" ht="12.6" customHeight="1" x14ac:dyDescent="0.3">
      <c r="A1022" s="70"/>
      <c r="B1022" s="79" t="s">
        <v>1510</v>
      </c>
      <c r="C1022" s="80"/>
      <c r="D1022" s="80"/>
      <c r="E1022" s="80"/>
      <c r="F1022" s="80"/>
      <c r="G1022" s="16" t="s">
        <v>1509</v>
      </c>
    </row>
    <row r="1023" spans="1:14" ht="12.6" customHeight="1" x14ac:dyDescent="0.3">
      <c r="A1023" s="80"/>
      <c r="B1023" s="80"/>
      <c r="C1023" s="80"/>
      <c r="D1023" s="80"/>
      <c r="E1023" s="80"/>
      <c r="F1023" s="80"/>
      <c r="G1023" s="16" t="s">
        <v>1324</v>
      </c>
    </row>
    <row r="1024" spans="1:14" ht="12.6" customHeight="1" x14ac:dyDescent="0.3">
      <c r="A1024" s="80"/>
      <c r="B1024" s="80"/>
      <c r="C1024" s="80"/>
      <c r="D1024" s="80"/>
      <c r="E1024" s="80"/>
      <c r="F1024" s="80"/>
      <c r="G1024" s="16" t="s">
        <v>1324</v>
      </c>
    </row>
    <row r="1025" spans="1:25" ht="12.6" customHeight="1" x14ac:dyDescent="0.3">
      <c r="A1025" s="70"/>
      <c r="B1025" s="79" t="s">
        <v>1512</v>
      </c>
      <c r="C1025" s="80"/>
      <c r="D1025" s="80"/>
      <c r="E1025" s="80"/>
      <c r="F1025" s="80"/>
      <c r="G1025" s="16" t="s">
        <v>1511</v>
      </c>
    </row>
    <row r="1026" spans="1:25" ht="12.6" customHeight="1" x14ac:dyDescent="0.3">
      <c r="A1026" s="80"/>
      <c r="B1026" s="80"/>
      <c r="C1026" s="80"/>
      <c r="D1026" s="80"/>
      <c r="E1026" s="80"/>
      <c r="F1026" s="80"/>
      <c r="G1026" s="16" t="s">
        <v>1324</v>
      </c>
    </row>
    <row r="1027" spans="1:25" ht="12.6" customHeight="1" x14ac:dyDescent="0.3">
      <c r="A1027" s="70"/>
      <c r="B1027" s="79" t="s">
        <v>1514</v>
      </c>
      <c r="C1027" s="80"/>
      <c r="D1027" s="80"/>
      <c r="E1027" s="80"/>
      <c r="F1027" s="80"/>
      <c r="G1027" s="16" t="s">
        <v>1513</v>
      </c>
    </row>
    <row r="1028" spans="1:25" ht="12.6" customHeight="1" x14ac:dyDescent="0.3">
      <c r="A1028" s="80"/>
      <c r="B1028" s="80"/>
      <c r="C1028" s="80"/>
      <c r="D1028" s="80"/>
      <c r="E1028" s="80"/>
      <c r="F1028" s="80"/>
      <c r="G1028" s="16" t="s">
        <v>1324</v>
      </c>
    </row>
    <row r="1029" spans="1:25" ht="12.6" customHeight="1" x14ac:dyDescent="0.3">
      <c r="A1029" s="70"/>
      <c r="B1029" s="79" t="s">
        <v>1516</v>
      </c>
      <c r="C1029" s="80"/>
      <c r="D1029" s="80"/>
      <c r="E1029" s="80"/>
      <c r="F1029" s="80"/>
      <c r="G1029" s="16" t="s">
        <v>1515</v>
      </c>
    </row>
    <row r="1030" spans="1:25" ht="12.6" customHeight="1" x14ac:dyDescent="0.3">
      <c r="A1030" s="80"/>
      <c r="B1030" s="80"/>
      <c r="C1030" s="80"/>
      <c r="D1030" s="80"/>
      <c r="E1030" s="80"/>
      <c r="F1030" s="80"/>
      <c r="G1030" s="16" t="s">
        <v>1324</v>
      </c>
    </row>
    <row r="1031" spans="1:25" ht="12.6" customHeight="1" x14ac:dyDescent="0.3">
      <c r="A1031" s="70"/>
      <c r="B1031" s="79" t="s">
        <v>1518</v>
      </c>
      <c r="C1031" s="80"/>
      <c r="D1031" s="80"/>
      <c r="E1031" s="80"/>
      <c r="F1031" s="80"/>
      <c r="G1031" s="16" t="s">
        <v>1517</v>
      </c>
    </row>
    <row r="1032" spans="1:25" ht="12.6" customHeight="1" x14ac:dyDescent="0.3">
      <c r="A1032" s="80"/>
      <c r="B1032" s="80"/>
      <c r="C1032" s="80"/>
      <c r="D1032" s="80"/>
      <c r="E1032" s="80"/>
      <c r="F1032" s="80"/>
      <c r="G1032" s="16" t="s">
        <v>1324</v>
      </c>
    </row>
    <row r="1033" spans="1:25" ht="12.6" customHeight="1" x14ac:dyDescent="0.3">
      <c r="A1033" s="70"/>
      <c r="B1033" s="79" t="s">
        <v>1520</v>
      </c>
      <c r="C1033" s="80"/>
      <c r="D1033" s="80"/>
      <c r="E1033" s="80"/>
      <c r="F1033" s="80"/>
      <c r="G1033" s="16" t="s">
        <v>1519</v>
      </c>
    </row>
    <row r="1034" spans="1:25" ht="12.6" customHeight="1" x14ac:dyDescent="0.3">
      <c r="A1034" s="80"/>
      <c r="B1034" s="80"/>
      <c r="C1034" s="80"/>
      <c r="D1034" s="80"/>
      <c r="E1034" s="80"/>
      <c r="F1034" s="80"/>
      <c r="G1034" s="16" t="s">
        <v>1324</v>
      </c>
    </row>
    <row r="1035" spans="1:25" ht="12.6" customHeight="1" x14ac:dyDescent="0.3">
      <c r="A1035" s="70"/>
      <c r="B1035" s="79" t="s">
        <v>1522</v>
      </c>
      <c r="C1035" s="80"/>
      <c r="D1035" s="80"/>
      <c r="E1035" s="80"/>
      <c r="F1035" s="80"/>
      <c r="G1035" s="16" t="s">
        <v>1521</v>
      </c>
    </row>
    <row r="1036" spans="1:25" ht="12.6" customHeight="1" x14ac:dyDescent="0.3">
      <c r="A1036" s="80"/>
      <c r="B1036" s="80"/>
      <c r="C1036" s="80"/>
      <c r="D1036" s="80"/>
      <c r="E1036" s="80"/>
      <c r="F1036" s="80"/>
      <c r="G1036" s="16" t="s">
        <v>1324</v>
      </c>
    </row>
    <row r="1037" spans="1:25" ht="12.6" customHeight="1" x14ac:dyDescent="0.3">
      <c r="A1037" s="80"/>
      <c r="B1037" s="80"/>
      <c r="C1037" s="80"/>
      <c r="D1037" s="80"/>
      <c r="E1037" s="80"/>
      <c r="F1037" s="80"/>
      <c r="G1037" s="16" t="s">
        <v>1324</v>
      </c>
    </row>
    <row r="1038" spans="1:25" ht="12.6" customHeight="1" x14ac:dyDescent="0.3">
      <c r="A1038" s="70" t="s">
        <v>1524</v>
      </c>
      <c r="B1038" s="101" t="str">
        <f>" 노 무 비  : "&amp;TEXT(I1038,"#,##0"&amp;IF(I1038&lt;&gt;INT(I1038),".###",""))&amp;" / Q  = "&amp;TEXT(C1038,"#,##0.0")&amp;""</f>
        <v xml:space="preserve"> 노 무 비  : 55,700 / Q  = 944.5</v>
      </c>
      <c r="C1038" s="103">
        <f>E1038+D1038+F1038</f>
        <v>944.5</v>
      </c>
      <c r="D1038" s="103">
        <f>IF(H1038=0,0,ROUNDDOWN(J1038*H1038,1))</f>
        <v>944.5</v>
      </c>
      <c r="E1038" s="103">
        <f>IF(H1038=0,0,ROUNDDOWN(K1038*H1038,1))</f>
        <v>0</v>
      </c>
      <c r="F1038" s="103">
        <f>IF(H1038=0,0,ROUNDDOWN(L1038*H1038,1))</f>
        <v>0</v>
      </c>
      <c r="G1038" s="16" t="s">
        <v>1523</v>
      </c>
      <c r="H1038" s="108">
        <v>1.695777515E-2</v>
      </c>
      <c r="I1038" s="109">
        <f>K1038+J1038+L1038</f>
        <v>55700</v>
      </c>
      <c r="J1038" s="39">
        <f>중기목록표!F7</f>
        <v>55700</v>
      </c>
      <c r="M1038" s="20" t="s">
        <v>1179</v>
      </c>
      <c r="N1038" s="20" t="s">
        <v>1345</v>
      </c>
      <c r="X1038" s="110" t="str">
        <f>중기목록표!B7&amp;" / "&amp;중기목록표!C7</f>
        <v xml:space="preserve">굴삭기(0.7m3) / </v>
      </c>
      <c r="Y1038" s="19" t="str">
        <f ca="1">HYPERLINK("#"&amp;중기목록표!J2&amp;"!A"&amp;ROW(중기목록표!A7),"중기    4 →")</f>
        <v>중기    4 →</v>
      </c>
    </row>
    <row r="1039" spans="1:25" ht="12.6" customHeight="1" x14ac:dyDescent="0.3">
      <c r="A1039" s="80"/>
      <c r="B1039" s="80"/>
      <c r="C1039" s="80"/>
      <c r="D1039" s="80"/>
      <c r="E1039" s="80"/>
      <c r="F1039" s="80"/>
      <c r="G1039" s="16" t="s">
        <v>1324</v>
      </c>
    </row>
    <row r="1040" spans="1:25" ht="12.6" customHeight="1" x14ac:dyDescent="0.3">
      <c r="A1040" s="70" t="s">
        <v>1526</v>
      </c>
      <c r="B1040" s="101" t="str">
        <f>" 재 료 비  : "&amp;TEXT(I1040,"#,##0"&amp;IF(I1040&lt;&gt;INT(I1040),".###",""))&amp;" / Q  = "&amp;TEXT(C1040,"#,##0.0")&amp;""</f>
        <v xml:space="preserve"> 재 료 비  : 18,001 / Q  = 305.2</v>
      </c>
      <c r="C1040" s="103">
        <f>E1040+D1040+F1040</f>
        <v>305.2</v>
      </c>
      <c r="D1040" s="103">
        <f>IF(H1040=0,0,ROUNDDOWN(J1040*H1040,1))</f>
        <v>0</v>
      </c>
      <c r="E1040" s="103">
        <f>IF(H1040=0,0,ROUNDDOWN(K1040*H1040,1))</f>
        <v>305.2</v>
      </c>
      <c r="F1040" s="103">
        <f>IF(H1040=0,0,ROUNDDOWN(L1040*H1040,1))</f>
        <v>0</v>
      </c>
      <c r="G1040" s="16" t="s">
        <v>1525</v>
      </c>
      <c r="H1040" s="108">
        <v>1.695777515E-2</v>
      </c>
      <c r="I1040" s="109">
        <f>K1040+J1040+L1040</f>
        <v>18001</v>
      </c>
      <c r="K1040" s="39">
        <f>중기목록표!G7</f>
        <v>18001</v>
      </c>
      <c r="M1040" s="20" t="s">
        <v>1179</v>
      </c>
      <c r="N1040" s="20" t="s">
        <v>1345</v>
      </c>
      <c r="X1040" s="110" t="str">
        <f>중기목록표!B7&amp;" / "&amp;중기목록표!C7</f>
        <v xml:space="preserve">굴삭기(0.7m3) / </v>
      </c>
      <c r="Y1040" s="19" t="str">
        <f ca="1">HYPERLINK("#"&amp;중기목록표!J2&amp;"!A"&amp;ROW(중기목록표!A7),"중기    4 →")</f>
        <v>중기    4 →</v>
      </c>
    </row>
    <row r="1041" spans="1:25" ht="12.6" customHeight="1" x14ac:dyDescent="0.3">
      <c r="A1041" s="80"/>
      <c r="B1041" s="80"/>
      <c r="C1041" s="80"/>
      <c r="D1041" s="80"/>
      <c r="E1041" s="80"/>
      <c r="F1041" s="80"/>
      <c r="G1041" s="16" t="s">
        <v>1324</v>
      </c>
    </row>
    <row r="1042" spans="1:25" ht="12.6" customHeight="1" x14ac:dyDescent="0.3">
      <c r="A1042" s="70" t="s">
        <v>1528</v>
      </c>
      <c r="B1042" s="101" t="str">
        <f>" 경    비  : "&amp;TEXT(I1042,"#,##0"&amp;IF(I1042&lt;&gt;INT(I1042),".###",""))&amp;" / Q  = "&amp;TEXT(C1042,"#,##0.0")&amp;""</f>
        <v xml:space="preserve"> 경    비  : 23,128 / Q  = 392.1</v>
      </c>
      <c r="C1042" s="103">
        <f>E1042+D1042+F1042</f>
        <v>392.1</v>
      </c>
      <c r="D1042" s="103">
        <f>IF(H1042=0,0,ROUNDDOWN(J1042*H1042,1))</f>
        <v>0</v>
      </c>
      <c r="E1042" s="103">
        <f>IF(H1042=0,0,ROUNDDOWN(K1042*H1042,1))</f>
        <v>0</v>
      </c>
      <c r="F1042" s="103">
        <f>IF(H1042=0,0,ROUNDDOWN(L1042*H1042,1))</f>
        <v>392.1</v>
      </c>
      <c r="G1042" s="16" t="s">
        <v>1527</v>
      </c>
      <c r="H1042" s="108">
        <v>1.695777515E-2</v>
      </c>
      <c r="I1042" s="109">
        <f>K1042+J1042+L1042</f>
        <v>23128</v>
      </c>
      <c r="L1042" s="39">
        <f>중기목록표!H7</f>
        <v>23128</v>
      </c>
      <c r="M1042" s="20" t="s">
        <v>1179</v>
      </c>
      <c r="N1042" s="20" t="s">
        <v>1345</v>
      </c>
      <c r="X1042" s="110" t="str">
        <f>중기목록표!B7&amp;" / "&amp;중기목록표!C7</f>
        <v xml:space="preserve">굴삭기(0.7m3) / </v>
      </c>
      <c r="Y1042" s="19" t="str">
        <f ca="1">HYPERLINK("#"&amp;중기목록표!J2&amp;"!A"&amp;ROW(중기목록표!A7),"중기    4 →")</f>
        <v>중기    4 →</v>
      </c>
    </row>
    <row r="1043" spans="1:25" ht="12.6" customHeight="1" x14ac:dyDescent="0.3">
      <c r="A1043" s="80"/>
      <c r="B1043" s="80"/>
      <c r="C1043" s="80"/>
      <c r="D1043" s="80"/>
      <c r="E1043" s="80"/>
      <c r="F1043" s="80"/>
      <c r="G1043" s="16" t="s">
        <v>1324</v>
      </c>
    </row>
    <row r="1044" spans="1:25" ht="12.6" customHeight="1" x14ac:dyDescent="0.3">
      <c r="A1044" s="70"/>
      <c r="B1044" s="79" t="s">
        <v>1344</v>
      </c>
      <c r="C1044" s="104">
        <f>E1044+D1044+F1044</f>
        <v>1641.8000000000002</v>
      </c>
      <c r="D1044" s="104">
        <f>SUMIF(N1019:N1043,M1044,D1019:D1043)</f>
        <v>944.5</v>
      </c>
      <c r="E1044" s="104">
        <f>SUMIF(N1019:N1043,M1044,E1019:E1043)</f>
        <v>305.2</v>
      </c>
      <c r="F1044" s="104">
        <f>SUMIF(N1019:N1043,M1044,F1019:F1043)</f>
        <v>392.1</v>
      </c>
      <c r="G1044" s="16" t="s">
        <v>1343</v>
      </c>
      <c r="M1044" s="20" t="s">
        <v>1345</v>
      </c>
      <c r="N1044" s="20" t="s">
        <v>1129</v>
      </c>
    </row>
    <row r="1045" spans="1:25" ht="12.6" customHeight="1" x14ac:dyDescent="0.3">
      <c r="A1045" s="80"/>
      <c r="B1045" s="80"/>
      <c r="C1045" s="102"/>
      <c r="D1045" s="102"/>
      <c r="E1045" s="102"/>
      <c r="F1045" s="102"/>
    </row>
    <row r="1046" spans="1:25" ht="12.6" customHeight="1" x14ac:dyDescent="0.3">
      <c r="A1046" s="80"/>
      <c r="B1046" s="80"/>
      <c r="C1046" s="80"/>
      <c r="D1046" s="80"/>
      <c r="E1046" s="80"/>
      <c r="F1046" s="80"/>
    </row>
    <row r="1047" spans="1:25" ht="12.6" customHeight="1" x14ac:dyDescent="0.3">
      <c r="A1047" s="80"/>
      <c r="B1047" s="80"/>
      <c r="C1047" s="80"/>
      <c r="D1047" s="80"/>
      <c r="E1047" s="80"/>
      <c r="F1047" s="80"/>
    </row>
    <row r="1048" spans="1:25" ht="12.6" customHeight="1" x14ac:dyDescent="0.3">
      <c r="A1048" s="58"/>
      <c r="B1048" s="58"/>
      <c r="C1048" s="58"/>
      <c r="D1048" s="58"/>
      <c r="E1048" s="58"/>
      <c r="F1048" s="58"/>
    </row>
    <row r="1049" spans="1:25" ht="12.6" customHeight="1" x14ac:dyDescent="0.3">
      <c r="A1049" s="141" t="s">
        <v>1171</v>
      </c>
      <c r="B1049" s="142"/>
      <c r="C1049" s="55">
        <f>E1049+D1049+F1049</f>
        <v>1641</v>
      </c>
      <c r="D1049" s="54">
        <f>ROUNDDOWN(SUMIF(N1019:N1044,M1049,D1019:D1044),0)</f>
        <v>944</v>
      </c>
      <c r="E1049" s="63">
        <f>ROUNDDOWN(SUMIF(N1019:N1044,M1049,E1019:E1044),0)</f>
        <v>305</v>
      </c>
      <c r="F1049" s="55">
        <f>ROUNDDOWN(SUMIF(N1019:N1044,M1049,F1019:F1044),0)</f>
        <v>392</v>
      </c>
      <c r="M1049" s="20" t="s">
        <v>1129</v>
      </c>
      <c r="N1049" s="20" t="s">
        <v>1172</v>
      </c>
    </row>
    <row r="1050" spans="1:25" ht="12.6" customHeight="1" x14ac:dyDescent="0.3">
      <c r="A1050" s="141" t="s">
        <v>1173</v>
      </c>
      <c r="B1050" s="142"/>
      <c r="C1050" s="55">
        <f>E1050+D1050+F1050</f>
        <v>1450</v>
      </c>
      <c r="D1050" s="54">
        <f>ROUNDDOWN(D1049*H1050/100,0)</f>
        <v>835</v>
      </c>
      <c r="E1050" s="63">
        <f>ROUNDDOWN(E1049*H1050/100,0)</f>
        <v>269</v>
      </c>
      <c r="F1050" s="55">
        <f>ROUNDDOWN(F1049*H1050/100,0)</f>
        <v>346</v>
      </c>
      <c r="H1050" s="67">
        <v>88.5</v>
      </c>
      <c r="M1050" s="20" t="s">
        <v>1172</v>
      </c>
    </row>
    <row r="1051" spans="1:25" ht="12.6" customHeight="1" x14ac:dyDescent="0.3">
      <c r="A1051" s="99" t="s">
        <v>95</v>
      </c>
      <c r="B1051" s="100" t="s">
        <v>95</v>
      </c>
      <c r="C1051" s="147">
        <f>C1119</f>
        <v>31331</v>
      </c>
      <c r="D1051" s="147">
        <f>D1119</f>
        <v>16310</v>
      </c>
      <c r="E1051" s="147">
        <f>E1119</f>
        <v>5385</v>
      </c>
      <c r="F1051" s="147">
        <f>F1119</f>
        <v>9636</v>
      </c>
      <c r="G1051" s="36" t="str">
        <f>HYPERLINK("#G"&amp;ROW(G1104),"_x0005_`BDCOD|D02268_x0007_`POSS|"&amp;ROW(G1053)&amp;"_x0007_`POSE|"&amp;ROW(G1104)&amp;"_x0007_`")</f>
        <v>_x0005_`BDCOD|D02268_x0007_`POSS|1053_x0007_`POSE|1104_x0007_`</v>
      </c>
    </row>
    <row r="1052" spans="1:25" ht="12.6" customHeight="1" x14ac:dyDescent="0.3">
      <c r="A1052" s="85"/>
      <c r="B1052" s="100" t="s">
        <v>232</v>
      </c>
      <c r="C1052" s="137"/>
      <c r="D1052" s="137"/>
      <c r="E1052" s="137"/>
      <c r="F1052" s="137"/>
      <c r="M1052" s="20" t="s">
        <v>231</v>
      </c>
    </row>
    <row r="1053" spans="1:25" ht="12.6" customHeight="1" x14ac:dyDescent="0.3">
      <c r="A1053" s="80"/>
      <c r="B1053" s="80"/>
      <c r="C1053" s="102"/>
      <c r="D1053" s="102"/>
      <c r="E1053" s="102"/>
      <c r="F1053" s="102"/>
      <c r="G1053" s="16" t="s">
        <v>1324</v>
      </c>
    </row>
    <row r="1054" spans="1:25" ht="12.6" customHeight="1" x14ac:dyDescent="0.3">
      <c r="A1054" s="80"/>
      <c r="B1054" s="80"/>
      <c r="C1054" s="80"/>
      <c r="D1054" s="80"/>
      <c r="E1054" s="80"/>
      <c r="F1054" s="80"/>
      <c r="G1054" s="16" t="s">
        <v>1324</v>
      </c>
    </row>
    <row r="1055" spans="1:25" ht="12.6" customHeight="1" x14ac:dyDescent="0.3">
      <c r="A1055" s="80"/>
      <c r="B1055" s="80"/>
      <c r="C1055" s="80"/>
      <c r="D1055" s="80"/>
      <c r="E1055" s="80"/>
      <c r="F1055" s="80"/>
      <c r="G1055" s="16" t="s">
        <v>1324</v>
      </c>
    </row>
    <row r="1056" spans="1:25" ht="12.6" customHeight="1" x14ac:dyDescent="0.3">
      <c r="A1056" s="70"/>
      <c r="B1056" s="79" t="s">
        <v>1778</v>
      </c>
      <c r="C1056" s="80"/>
      <c r="D1056" s="80"/>
      <c r="E1056" s="80"/>
      <c r="F1056" s="80"/>
      <c r="G1056" s="16" t="s">
        <v>229</v>
      </c>
    </row>
    <row r="1057" spans="1:25" ht="12.6" customHeight="1" x14ac:dyDescent="0.3">
      <c r="A1057" s="80"/>
      <c r="B1057" s="80"/>
      <c r="C1057" s="80"/>
      <c r="D1057" s="80"/>
      <c r="E1057" s="80"/>
      <c r="F1057" s="80"/>
      <c r="G1057" s="16" t="s">
        <v>1324</v>
      </c>
    </row>
    <row r="1058" spans="1:25" ht="12.6" customHeight="1" x14ac:dyDescent="0.3">
      <c r="A1058" s="70"/>
      <c r="B1058" s="79" t="s">
        <v>1780</v>
      </c>
      <c r="C1058" s="80"/>
      <c r="D1058" s="80"/>
      <c r="E1058" s="80"/>
      <c r="F1058" s="80"/>
      <c r="G1058" s="16" t="s">
        <v>1779</v>
      </c>
    </row>
    <row r="1059" spans="1:25" ht="12.6" customHeight="1" x14ac:dyDescent="0.3">
      <c r="A1059" s="80"/>
      <c r="B1059" s="80"/>
      <c r="C1059" s="80"/>
      <c r="D1059" s="80"/>
      <c r="E1059" s="80"/>
      <c r="F1059" s="80"/>
      <c r="G1059" s="16" t="s">
        <v>1324</v>
      </c>
    </row>
    <row r="1060" spans="1:25" ht="12.6" customHeight="1" x14ac:dyDescent="0.3">
      <c r="A1060" s="80"/>
      <c r="B1060" s="80"/>
      <c r="C1060" s="80"/>
      <c r="D1060" s="80"/>
      <c r="E1060" s="80"/>
      <c r="F1060" s="80"/>
      <c r="G1060" s="16" t="s">
        <v>1324</v>
      </c>
    </row>
    <row r="1061" spans="1:25" ht="12.6" customHeight="1" x14ac:dyDescent="0.3">
      <c r="A1061" s="70" t="s">
        <v>1689</v>
      </c>
      <c r="B1061" s="101" t="str">
        <f>" 노 무 비  :   "&amp;TEXT(I1061,"#,##0"&amp;IF(I1061&lt;&gt;INT(I1061),".###",""))&amp;" / Q = "&amp;TEXT(C1061,"#,##0.0")&amp;""</f>
        <v xml:space="preserve"> 노 무 비  :   55,700 / Q = 15,914.2</v>
      </c>
      <c r="C1061" s="103">
        <f>E1061+D1061+F1061</f>
        <v>15914.2</v>
      </c>
      <c r="D1061" s="103">
        <f>IF(H1061=0,0,ROUNDDOWN(J1061*H1061,1))</f>
        <v>15914.2</v>
      </c>
      <c r="E1061" s="103">
        <f>IF(H1061=0,0,ROUNDDOWN(K1061*H1061,1))</f>
        <v>0</v>
      </c>
      <c r="F1061" s="103">
        <f>IF(H1061=0,0,ROUNDDOWN(L1061*H1061,1))</f>
        <v>0</v>
      </c>
      <c r="G1061" s="16" t="s">
        <v>1688</v>
      </c>
      <c r="H1061" s="108">
        <v>0.2857142857244</v>
      </c>
      <c r="I1061" s="109">
        <f>K1061+J1061+L1061</f>
        <v>55700</v>
      </c>
      <c r="J1061" s="39">
        <f>중기목록표!F10</f>
        <v>55700</v>
      </c>
      <c r="M1061" s="20" t="s">
        <v>1690</v>
      </c>
      <c r="N1061" s="20" t="s">
        <v>1345</v>
      </c>
      <c r="X1061" s="110" t="str">
        <f>중기목록표!B10&amp;" / "&amp;중기목록표!C10</f>
        <v xml:space="preserve">굴삭기+브레카(0.7m3) / </v>
      </c>
      <c r="Y1061" s="19" t="str">
        <f ca="1">HYPERLINK("#"&amp;중기목록표!J2&amp;"!A"&amp;ROW(중기목록표!A10),"중기    7 →")</f>
        <v>중기    7 →</v>
      </c>
    </row>
    <row r="1062" spans="1:25" ht="12.6" customHeight="1" x14ac:dyDescent="0.3">
      <c r="A1062" s="80"/>
      <c r="B1062" s="80"/>
      <c r="C1062" s="80"/>
      <c r="D1062" s="80"/>
      <c r="E1062" s="80"/>
      <c r="F1062" s="80"/>
      <c r="G1062" s="16" t="s">
        <v>1324</v>
      </c>
    </row>
    <row r="1063" spans="1:25" ht="12.6" customHeight="1" x14ac:dyDescent="0.3">
      <c r="A1063" s="80"/>
      <c r="B1063" s="80"/>
      <c r="C1063" s="80"/>
      <c r="D1063" s="80"/>
      <c r="E1063" s="80"/>
      <c r="F1063" s="80"/>
      <c r="G1063" s="16" t="s">
        <v>1324</v>
      </c>
    </row>
    <row r="1064" spans="1:25" ht="12.6" customHeight="1" x14ac:dyDescent="0.3">
      <c r="A1064" s="70" t="s">
        <v>1692</v>
      </c>
      <c r="B1064" s="101" t="str">
        <f>" 재 료 비  :   "&amp;TEXT(I1064,"#,##0"&amp;IF(I1064&lt;&gt;INT(I1064),".###",""))&amp;" / Q = "&amp;TEXT(C1064,"#,##0.0")&amp;""</f>
        <v xml:space="preserve"> 재 료 비  :   17,116 / Q = 4,890.2</v>
      </c>
      <c r="C1064" s="103">
        <f>E1064+D1064+F1064</f>
        <v>4890.2</v>
      </c>
      <c r="D1064" s="103">
        <f>IF(H1064=0,0,ROUNDDOWN(J1064*H1064,1))</f>
        <v>0</v>
      </c>
      <c r="E1064" s="103">
        <f>IF(H1064=0,0,ROUNDDOWN(K1064*H1064,1))</f>
        <v>4890.2</v>
      </c>
      <c r="F1064" s="103">
        <f>IF(H1064=0,0,ROUNDDOWN(L1064*H1064,1))</f>
        <v>0</v>
      </c>
      <c r="G1064" s="16" t="s">
        <v>1691</v>
      </c>
      <c r="H1064" s="108">
        <v>0.2857142857244</v>
      </c>
      <c r="I1064" s="109">
        <f>K1064+J1064+L1064</f>
        <v>17116</v>
      </c>
      <c r="K1064" s="39">
        <f>중기목록표!G10</f>
        <v>17116</v>
      </c>
      <c r="M1064" s="20" t="s">
        <v>1690</v>
      </c>
      <c r="N1064" s="20" t="s">
        <v>1345</v>
      </c>
      <c r="X1064" s="110" t="str">
        <f>중기목록표!B10&amp;" / "&amp;중기목록표!C10</f>
        <v xml:space="preserve">굴삭기+브레카(0.7m3) / </v>
      </c>
      <c r="Y1064" s="19" t="str">
        <f ca="1">HYPERLINK("#"&amp;중기목록표!J2&amp;"!A"&amp;ROW(중기목록표!A10),"중기    7 →")</f>
        <v>중기    7 →</v>
      </c>
    </row>
    <row r="1065" spans="1:25" ht="12.6" customHeight="1" x14ac:dyDescent="0.3">
      <c r="A1065" s="80"/>
      <c r="B1065" s="80"/>
      <c r="C1065" s="80"/>
      <c r="D1065" s="80"/>
      <c r="E1065" s="80"/>
      <c r="F1065" s="80"/>
      <c r="G1065" s="16" t="s">
        <v>1324</v>
      </c>
    </row>
    <row r="1066" spans="1:25" ht="12.6" customHeight="1" x14ac:dyDescent="0.3">
      <c r="A1066" s="80"/>
      <c r="B1066" s="80"/>
      <c r="C1066" s="80"/>
      <c r="D1066" s="80"/>
      <c r="E1066" s="80"/>
      <c r="F1066" s="80"/>
      <c r="G1066" s="16" t="s">
        <v>1324</v>
      </c>
    </row>
    <row r="1067" spans="1:25" ht="12.6" customHeight="1" x14ac:dyDescent="0.3">
      <c r="A1067" s="70" t="s">
        <v>1694</v>
      </c>
      <c r="B1067" s="101" t="str">
        <f>" 경    비  :   "&amp;TEXT(I1067,"#,##0"&amp;IF(I1067&lt;&gt;INT(I1067),".###",""))&amp;" / Q = "&amp;TEXT(C1067,"#,##0.0")&amp;""</f>
        <v xml:space="preserve"> 경    비  :   33,897 / Q = 9,684.8</v>
      </c>
      <c r="C1067" s="103">
        <f>E1067+D1067+F1067</f>
        <v>9684.7999999999993</v>
      </c>
      <c r="D1067" s="103">
        <f>IF(H1067=0,0,ROUNDDOWN(J1067*H1067,1))</f>
        <v>0</v>
      </c>
      <c r="E1067" s="103">
        <f>IF(H1067=0,0,ROUNDDOWN(K1067*H1067,1))</f>
        <v>0</v>
      </c>
      <c r="F1067" s="103">
        <f>IF(H1067=0,0,ROUNDDOWN(L1067*H1067,1))</f>
        <v>9684.7999999999993</v>
      </c>
      <c r="G1067" s="16" t="s">
        <v>1693</v>
      </c>
      <c r="H1067" s="108">
        <v>0.2857142857244</v>
      </c>
      <c r="I1067" s="109">
        <f>K1067+J1067+L1067</f>
        <v>33897</v>
      </c>
      <c r="L1067" s="39">
        <f>중기목록표!H10</f>
        <v>33897</v>
      </c>
      <c r="M1067" s="20" t="s">
        <v>1690</v>
      </c>
      <c r="N1067" s="20" t="s">
        <v>1345</v>
      </c>
      <c r="X1067" s="110" t="str">
        <f>중기목록표!B10&amp;" / "&amp;중기목록표!C10</f>
        <v xml:space="preserve">굴삭기+브레카(0.7m3) / </v>
      </c>
      <c r="Y1067" s="19" t="str">
        <f ca="1">HYPERLINK("#"&amp;중기목록표!J2&amp;"!A"&amp;ROW(중기목록표!A10),"중기    7 →")</f>
        <v>중기    7 →</v>
      </c>
    </row>
    <row r="1068" spans="1:25" ht="12.6" customHeight="1" x14ac:dyDescent="0.3">
      <c r="A1068" s="80"/>
      <c r="B1068" s="80"/>
      <c r="C1068" s="80"/>
      <c r="D1068" s="80"/>
      <c r="E1068" s="80"/>
      <c r="F1068" s="80"/>
      <c r="G1068" s="16" t="s">
        <v>1324</v>
      </c>
    </row>
    <row r="1069" spans="1:25" ht="12.6" customHeight="1" x14ac:dyDescent="0.3">
      <c r="A1069" s="80"/>
      <c r="B1069" s="80"/>
      <c r="C1069" s="80"/>
      <c r="D1069" s="80"/>
      <c r="E1069" s="80"/>
      <c r="F1069" s="80"/>
      <c r="G1069" s="16" t="s">
        <v>1324</v>
      </c>
    </row>
    <row r="1070" spans="1:25" ht="12.6" customHeight="1" x14ac:dyDescent="0.3">
      <c r="A1070" s="70"/>
      <c r="B1070" s="79" t="s">
        <v>1344</v>
      </c>
      <c r="C1070" s="104">
        <f>E1070+D1070+F1070</f>
        <v>30489.200000000001</v>
      </c>
      <c r="D1070" s="104">
        <f>SUMIF(N1053:N1069,M1070,D1053:D1069)</f>
        <v>15914.2</v>
      </c>
      <c r="E1070" s="104">
        <f>SUMIF(N1053:N1069,M1070,E1053:E1069)</f>
        <v>4890.2</v>
      </c>
      <c r="F1070" s="104">
        <f>SUMIF(N1053:N1069,M1070,F1053:F1069)</f>
        <v>9684.7999999999993</v>
      </c>
      <c r="G1070" s="16" t="s">
        <v>1343</v>
      </c>
      <c r="M1070" s="20" t="s">
        <v>1345</v>
      </c>
      <c r="N1070" s="20" t="s">
        <v>1368</v>
      </c>
    </row>
    <row r="1071" spans="1:25" ht="12.6" customHeight="1" x14ac:dyDescent="0.3">
      <c r="A1071" s="80"/>
      <c r="B1071" s="80"/>
      <c r="C1071" s="102"/>
      <c r="D1071" s="102"/>
      <c r="E1071" s="102"/>
      <c r="F1071" s="102"/>
      <c r="G1071" s="16" t="s">
        <v>1324</v>
      </c>
    </row>
    <row r="1072" spans="1:25" ht="12.6" customHeight="1" x14ac:dyDescent="0.3">
      <c r="A1072" s="80"/>
      <c r="B1072" s="80"/>
      <c r="C1072" s="80"/>
      <c r="D1072" s="80"/>
      <c r="E1072" s="80"/>
      <c r="F1072" s="80"/>
      <c r="G1072" s="16" t="s">
        <v>1324</v>
      </c>
    </row>
    <row r="1073" spans="1:25" ht="12.6" customHeight="1" x14ac:dyDescent="0.3">
      <c r="A1073" s="70"/>
      <c r="B1073" s="79" t="s">
        <v>1782</v>
      </c>
      <c r="C1073" s="80"/>
      <c r="D1073" s="80"/>
      <c r="E1073" s="80"/>
      <c r="F1073" s="80"/>
      <c r="G1073" s="16" t="s">
        <v>1781</v>
      </c>
    </row>
    <row r="1074" spans="1:25" ht="12.6" customHeight="1" x14ac:dyDescent="0.3">
      <c r="A1074" s="80"/>
      <c r="B1074" s="80"/>
      <c r="C1074" s="80"/>
      <c r="D1074" s="80"/>
      <c r="E1074" s="80"/>
      <c r="F1074" s="80"/>
      <c r="G1074" s="16" t="s">
        <v>1324</v>
      </c>
    </row>
    <row r="1075" spans="1:25" ht="12.6" customHeight="1" x14ac:dyDescent="0.3">
      <c r="A1075" s="70"/>
      <c r="B1075" s="79" t="s">
        <v>1784</v>
      </c>
      <c r="C1075" s="80"/>
      <c r="D1075" s="80"/>
      <c r="E1075" s="80"/>
      <c r="F1075" s="80"/>
      <c r="G1075" s="16" t="s">
        <v>1783</v>
      </c>
    </row>
    <row r="1076" spans="1:25" ht="12.6" customHeight="1" x14ac:dyDescent="0.3">
      <c r="A1076" s="80"/>
      <c r="B1076" s="80"/>
      <c r="C1076" s="80"/>
      <c r="D1076" s="80"/>
      <c r="E1076" s="80"/>
      <c r="F1076" s="80"/>
      <c r="G1076" s="16" t="s">
        <v>1324</v>
      </c>
    </row>
    <row r="1077" spans="1:25" ht="12.6" customHeight="1" x14ac:dyDescent="0.3">
      <c r="A1077" s="70" t="s">
        <v>1699</v>
      </c>
      <c r="B1077" s="101" t="str">
        <f>"     S * "&amp;TEXT(I1077,"#,##0"&amp;IF(I1077&lt;&gt;INT(I1077),".###",""))&amp;" / Q = "&amp;TEXT(C1077,"#,##0.0")&amp;"  W/㎥ "</f>
        <v xml:space="preserve">     S * 223,000 / Q = 382.2  W/㎥ </v>
      </c>
      <c r="C1077" s="103">
        <f>E1077+D1077+F1077</f>
        <v>382.2</v>
      </c>
      <c r="D1077" s="103">
        <f>IF(H1077=0,0,ROUNDDOWN(J1077*H1077,1))</f>
        <v>0</v>
      </c>
      <c r="E1077" s="103">
        <f>IF(H1077=0,0,ROUNDDOWN(K1077*H1077,1))</f>
        <v>382.2</v>
      </c>
      <c r="F1077" s="103">
        <f>IF(H1077=0,0,ROUNDDOWN(L1077*H1077,1))</f>
        <v>0</v>
      </c>
      <c r="G1077" s="16" t="s">
        <v>1785</v>
      </c>
      <c r="H1077" s="108">
        <v>1.7142857243999999E-3</v>
      </c>
      <c r="I1077" s="109">
        <f>K1077+J1077+L1077</f>
        <v>223000</v>
      </c>
      <c r="K1077" s="39">
        <f>재료비목록표!E23</f>
        <v>223000</v>
      </c>
      <c r="M1077" s="20" t="s">
        <v>1700</v>
      </c>
      <c r="N1077" s="20" t="s">
        <v>1345</v>
      </c>
      <c r="X1077" s="110" t="str">
        <f>재료비목록표!B23&amp;" / "&amp;재료비목록표!C23</f>
        <v>치즐 / 0.7m3</v>
      </c>
      <c r="Y1077" s="19" t="str">
        <f ca="1">HYPERLINK("#"&amp;재료비목록표!G2&amp;"!A"&amp;ROW(재료비목록표!A23),"자재   20 →")</f>
        <v>자재   20 →</v>
      </c>
    </row>
    <row r="1078" spans="1:25" ht="12.6" customHeight="1" x14ac:dyDescent="0.3">
      <c r="A1078" s="70"/>
      <c r="B1078" s="79" t="s">
        <v>1344</v>
      </c>
      <c r="C1078" s="104">
        <f>E1078+D1078+F1078</f>
        <v>382.2</v>
      </c>
      <c r="D1078" s="104">
        <f>SUMIF(N1071:N1077,M1078,D1071:D1077)</f>
        <v>0</v>
      </c>
      <c r="E1078" s="104">
        <f>SUMIF(N1071:N1077,M1078,E1071:E1077)</f>
        <v>382.2</v>
      </c>
      <c r="F1078" s="104">
        <f>SUMIF(N1071:N1077,M1078,F1071:F1077)</f>
        <v>0</v>
      </c>
      <c r="G1078" s="16" t="s">
        <v>1603</v>
      </c>
      <c r="M1078" s="20" t="s">
        <v>1345</v>
      </c>
      <c r="N1078" s="20" t="s">
        <v>1368</v>
      </c>
    </row>
    <row r="1079" spans="1:25" ht="12.6" customHeight="1" x14ac:dyDescent="0.3">
      <c r="A1079" s="80"/>
      <c r="B1079" s="80"/>
      <c r="C1079" s="102"/>
      <c r="D1079" s="102"/>
      <c r="E1079" s="102"/>
      <c r="F1079" s="102"/>
      <c r="G1079" s="16" t="s">
        <v>1327</v>
      </c>
    </row>
    <row r="1080" spans="1:25" ht="12.6" customHeight="1" x14ac:dyDescent="0.3">
      <c r="A1080" s="80"/>
      <c r="B1080" s="80"/>
      <c r="C1080" s="80"/>
      <c r="D1080" s="80"/>
      <c r="E1080" s="80"/>
      <c r="F1080" s="80"/>
      <c r="G1080" s="16" t="s">
        <v>1324</v>
      </c>
    </row>
    <row r="1081" spans="1:25" ht="12.6" customHeight="1" x14ac:dyDescent="0.3">
      <c r="A1081" s="70"/>
      <c r="B1081" s="79" t="s">
        <v>1787</v>
      </c>
      <c r="C1081" s="80"/>
      <c r="D1081" s="80"/>
      <c r="E1081" s="80"/>
      <c r="F1081" s="80"/>
      <c r="G1081" s="16" t="s">
        <v>1786</v>
      </c>
    </row>
    <row r="1082" spans="1:25" ht="12.6" customHeight="1" x14ac:dyDescent="0.3">
      <c r="A1082" s="80"/>
      <c r="B1082" s="80"/>
      <c r="C1082" s="80"/>
      <c r="D1082" s="80"/>
      <c r="E1082" s="80"/>
      <c r="F1082" s="80"/>
      <c r="G1082" s="16" t="s">
        <v>1324</v>
      </c>
    </row>
    <row r="1083" spans="1:25" ht="12.6" customHeight="1" x14ac:dyDescent="0.3">
      <c r="A1083" s="80"/>
      <c r="B1083" s="80"/>
      <c r="C1083" s="80"/>
      <c r="D1083" s="80"/>
      <c r="E1083" s="80"/>
      <c r="F1083" s="80"/>
      <c r="G1083" s="16" t="s">
        <v>1324</v>
      </c>
    </row>
    <row r="1084" spans="1:25" ht="12.6" customHeight="1" x14ac:dyDescent="0.3">
      <c r="A1084" s="70"/>
      <c r="B1084" s="79" t="s">
        <v>1789</v>
      </c>
      <c r="C1084" s="80"/>
      <c r="D1084" s="80"/>
      <c r="E1084" s="80"/>
      <c r="F1084" s="80"/>
      <c r="G1084" s="16" t="s">
        <v>1788</v>
      </c>
    </row>
    <row r="1085" spans="1:25" ht="12.6" customHeight="1" x14ac:dyDescent="0.3">
      <c r="A1085" s="80"/>
      <c r="B1085" s="80"/>
      <c r="C1085" s="80"/>
      <c r="D1085" s="80"/>
      <c r="E1085" s="80"/>
      <c r="F1085" s="80"/>
      <c r="G1085" s="16" t="s">
        <v>1324</v>
      </c>
    </row>
    <row r="1086" spans="1:25" ht="12.6" customHeight="1" x14ac:dyDescent="0.3">
      <c r="A1086" s="70"/>
      <c r="B1086" s="79" t="s">
        <v>1791</v>
      </c>
      <c r="C1086" s="80"/>
      <c r="D1086" s="80"/>
      <c r="E1086" s="80"/>
      <c r="F1086" s="80"/>
      <c r="G1086" s="16" t="s">
        <v>1790</v>
      </c>
    </row>
    <row r="1087" spans="1:25" ht="12.6" customHeight="1" x14ac:dyDescent="0.3">
      <c r="A1087" s="80"/>
      <c r="B1087" s="80"/>
      <c r="C1087" s="80"/>
      <c r="D1087" s="80"/>
      <c r="E1087" s="80"/>
      <c r="F1087" s="80"/>
      <c r="G1087" s="16" t="s">
        <v>1324</v>
      </c>
    </row>
    <row r="1088" spans="1:25" ht="12.6" customHeight="1" x14ac:dyDescent="0.3">
      <c r="A1088" s="70"/>
      <c r="B1088" s="79" t="s">
        <v>1793</v>
      </c>
      <c r="C1088" s="80"/>
      <c r="D1088" s="80"/>
      <c r="E1088" s="80"/>
      <c r="F1088" s="80"/>
      <c r="G1088" s="16" t="s">
        <v>1792</v>
      </c>
    </row>
    <row r="1089" spans="1:25" ht="12.6" customHeight="1" x14ac:dyDescent="0.3">
      <c r="A1089" s="80"/>
      <c r="B1089" s="80"/>
      <c r="C1089" s="80"/>
      <c r="D1089" s="80"/>
      <c r="E1089" s="80"/>
      <c r="F1089" s="80"/>
      <c r="G1089" s="16" t="s">
        <v>1324</v>
      </c>
    </row>
    <row r="1090" spans="1:25" ht="12.6" customHeight="1" x14ac:dyDescent="0.3">
      <c r="A1090" s="80"/>
      <c r="B1090" s="80"/>
      <c r="C1090" s="80"/>
      <c r="D1090" s="80"/>
      <c r="E1090" s="80"/>
      <c r="F1090" s="80"/>
      <c r="G1090" s="16" t="s">
        <v>1324</v>
      </c>
    </row>
    <row r="1091" spans="1:25" ht="12.6" customHeight="1" x14ac:dyDescent="0.3">
      <c r="A1091" s="70"/>
      <c r="B1091" s="79" t="s">
        <v>1795</v>
      </c>
      <c r="C1091" s="80"/>
      <c r="D1091" s="80"/>
      <c r="E1091" s="80"/>
      <c r="F1091" s="80"/>
      <c r="G1091" s="16" t="s">
        <v>1794</v>
      </c>
    </row>
    <row r="1092" spans="1:25" ht="12.6" customHeight="1" x14ac:dyDescent="0.3">
      <c r="A1092" s="80"/>
      <c r="B1092" s="80"/>
      <c r="C1092" s="80"/>
      <c r="D1092" s="80"/>
      <c r="E1092" s="80"/>
      <c r="F1092" s="80"/>
      <c r="G1092" s="16" t="s">
        <v>1324</v>
      </c>
    </row>
    <row r="1093" spans="1:25" ht="12.6" customHeight="1" x14ac:dyDescent="0.3">
      <c r="A1093" s="80"/>
      <c r="B1093" s="80"/>
      <c r="C1093" s="80"/>
      <c r="D1093" s="80"/>
      <c r="E1093" s="80"/>
      <c r="F1093" s="80"/>
      <c r="G1093" s="16" t="s">
        <v>1324</v>
      </c>
    </row>
    <row r="1094" spans="1:25" ht="12.6" customHeight="1" x14ac:dyDescent="0.3">
      <c r="A1094" s="70" t="s">
        <v>1394</v>
      </c>
      <c r="B1094" s="101" t="str">
        <f>" 노 무 비  :   "&amp;TEXT(I1094,"#,##0"&amp;IF(I1094&lt;&gt;INT(I1094),".###",""))&amp;" / Q1  = "&amp;TEXT(C1094,"#,##0.0")&amp;""</f>
        <v xml:space="preserve"> 노 무 비  :   55,700 / Q1  = 2,515.8</v>
      </c>
      <c r="C1094" s="103">
        <f>E1094+D1094+F1094</f>
        <v>2515.8000000000002</v>
      </c>
      <c r="D1094" s="103">
        <f>IF(H1094=0,0,ROUNDDOWN(J1094*H1094,1))</f>
        <v>2515.8000000000002</v>
      </c>
      <c r="E1094" s="103">
        <f>IF(H1094=0,0,ROUNDDOWN(K1094*H1094,1))</f>
        <v>0</v>
      </c>
      <c r="F1094" s="103">
        <f>IF(H1094=0,0,ROUNDDOWN(L1094*H1094,1))</f>
        <v>0</v>
      </c>
      <c r="G1094" s="16" t="s">
        <v>1796</v>
      </c>
      <c r="H1094" s="108">
        <v>4.5167118348000003E-2</v>
      </c>
      <c r="I1094" s="109">
        <f>K1094+J1094+L1094</f>
        <v>55700</v>
      </c>
      <c r="J1094" s="39">
        <f>중기목록표!F9</f>
        <v>55700</v>
      </c>
      <c r="M1094" s="20" t="s">
        <v>1395</v>
      </c>
      <c r="N1094" s="20" t="s">
        <v>1345</v>
      </c>
      <c r="X1094" s="110" t="str">
        <f>중기목록표!B9&amp;" / "&amp;중기목록표!C9</f>
        <v>굴삭기(0.7m3) / 0.7㎥,(암석)</v>
      </c>
      <c r="Y1094" s="19" t="str">
        <f ca="1">HYPERLINK("#"&amp;중기목록표!J2&amp;"!A"&amp;ROW(중기목록표!A9),"중기    6 →")</f>
        <v>중기    6 →</v>
      </c>
    </row>
    <row r="1095" spans="1:25" ht="12.6" customHeight="1" x14ac:dyDescent="0.3">
      <c r="A1095" s="80"/>
      <c r="B1095" s="80"/>
      <c r="C1095" s="80"/>
      <c r="D1095" s="80"/>
      <c r="E1095" s="80"/>
      <c r="F1095" s="80"/>
      <c r="G1095" s="16" t="s">
        <v>1324</v>
      </c>
    </row>
    <row r="1096" spans="1:25" ht="12.6" customHeight="1" x14ac:dyDescent="0.3">
      <c r="A1096" s="80"/>
      <c r="B1096" s="80"/>
      <c r="C1096" s="80"/>
      <c r="D1096" s="80"/>
      <c r="E1096" s="80"/>
      <c r="F1096" s="80"/>
      <c r="G1096" s="16" t="s">
        <v>1324</v>
      </c>
    </row>
    <row r="1097" spans="1:25" ht="12.6" customHeight="1" x14ac:dyDescent="0.3">
      <c r="A1097" s="70" t="s">
        <v>1397</v>
      </c>
      <c r="B1097" s="101" t="str">
        <f>" 재 료 비  :   "&amp;TEXT(I1097,"#,##0"&amp;IF(I1097&lt;&gt;INT(I1097),".###",""))&amp;" / Q1  = "&amp;TEXT(C1097,"#,##0.0")&amp;""</f>
        <v xml:space="preserve"> 재 료 비  :   18,001 / Q1  = 813.0</v>
      </c>
      <c r="C1097" s="103">
        <f>E1097+D1097+F1097</f>
        <v>813</v>
      </c>
      <c r="D1097" s="103">
        <f>IF(H1097=0,0,ROUNDDOWN(J1097*H1097,1))</f>
        <v>0</v>
      </c>
      <c r="E1097" s="103">
        <f>IF(H1097=0,0,ROUNDDOWN(K1097*H1097,1))</f>
        <v>813</v>
      </c>
      <c r="F1097" s="103">
        <f>IF(H1097=0,0,ROUNDDOWN(L1097*H1097,1))</f>
        <v>0</v>
      </c>
      <c r="G1097" s="16" t="s">
        <v>1797</v>
      </c>
      <c r="H1097" s="108">
        <v>4.5167118348000003E-2</v>
      </c>
      <c r="I1097" s="109">
        <f>K1097+J1097+L1097</f>
        <v>18001</v>
      </c>
      <c r="K1097" s="39">
        <f>중기목록표!G9</f>
        <v>18001</v>
      </c>
      <c r="M1097" s="20" t="s">
        <v>1395</v>
      </c>
      <c r="N1097" s="20" t="s">
        <v>1345</v>
      </c>
      <c r="X1097" s="110" t="str">
        <f>중기목록표!B9&amp;" / "&amp;중기목록표!C9</f>
        <v>굴삭기(0.7m3) / 0.7㎥,(암석)</v>
      </c>
      <c r="Y1097" s="19" t="str">
        <f ca="1">HYPERLINK("#"&amp;중기목록표!J2&amp;"!A"&amp;ROW(중기목록표!A9),"중기    6 →")</f>
        <v>중기    6 →</v>
      </c>
    </row>
    <row r="1098" spans="1:25" ht="12.6" customHeight="1" x14ac:dyDescent="0.3">
      <c r="A1098" s="80"/>
      <c r="B1098" s="80"/>
      <c r="C1098" s="80"/>
      <c r="D1098" s="80"/>
      <c r="E1098" s="80"/>
      <c r="F1098" s="80"/>
      <c r="G1098" s="16" t="s">
        <v>1324</v>
      </c>
    </row>
    <row r="1099" spans="1:25" ht="12.6" customHeight="1" x14ac:dyDescent="0.3">
      <c r="A1099" s="80"/>
      <c r="B1099" s="80"/>
      <c r="C1099" s="80"/>
      <c r="D1099" s="80"/>
      <c r="E1099" s="80"/>
      <c r="F1099" s="80"/>
      <c r="G1099" s="16" t="s">
        <v>1324</v>
      </c>
    </row>
    <row r="1100" spans="1:25" ht="12.6" customHeight="1" x14ac:dyDescent="0.3">
      <c r="A1100" s="70" t="s">
        <v>1399</v>
      </c>
      <c r="B1100" s="101" t="str">
        <f>" 경    비  :   "&amp;TEXT(I1100,"#,##0"&amp;IF(I1100&lt;&gt;INT(I1100),".###",""))&amp;" / Q1  = "&amp;TEXT(C1100,"#,##0.0")&amp;""</f>
        <v xml:space="preserve"> 경    비  :   26,677 / Q1  = 1,204.9</v>
      </c>
      <c r="C1100" s="103">
        <f>E1100+D1100+F1100</f>
        <v>1204.9000000000001</v>
      </c>
      <c r="D1100" s="103">
        <f>IF(H1100=0,0,ROUNDDOWN(J1100*H1100,1))</f>
        <v>0</v>
      </c>
      <c r="E1100" s="103">
        <f>IF(H1100=0,0,ROUNDDOWN(K1100*H1100,1))</f>
        <v>0</v>
      </c>
      <c r="F1100" s="103">
        <f>IF(H1100=0,0,ROUNDDOWN(L1100*H1100,1))</f>
        <v>1204.9000000000001</v>
      </c>
      <c r="G1100" s="16" t="s">
        <v>1798</v>
      </c>
      <c r="H1100" s="108">
        <v>4.5167118348000003E-2</v>
      </c>
      <c r="I1100" s="109">
        <f>K1100+J1100+L1100</f>
        <v>26677</v>
      </c>
      <c r="L1100" s="39">
        <f>중기목록표!H9</f>
        <v>26677</v>
      </c>
      <c r="M1100" s="20" t="s">
        <v>1395</v>
      </c>
      <c r="N1100" s="20" t="s">
        <v>1345</v>
      </c>
      <c r="X1100" s="110" t="str">
        <f>중기목록표!B9&amp;" / "&amp;중기목록표!C9</f>
        <v>굴삭기(0.7m3) / 0.7㎥,(암석)</v>
      </c>
      <c r="Y1100" s="19" t="str">
        <f ca="1">HYPERLINK("#"&amp;중기목록표!J2&amp;"!A"&amp;ROW(중기목록표!A9),"중기    6 →")</f>
        <v>중기    6 →</v>
      </c>
    </row>
    <row r="1101" spans="1:25" ht="12.6" customHeight="1" x14ac:dyDescent="0.3">
      <c r="A1101" s="80"/>
      <c r="B1101" s="80"/>
      <c r="C1101" s="80"/>
      <c r="D1101" s="80"/>
      <c r="E1101" s="80"/>
      <c r="F1101" s="80"/>
      <c r="G1101" s="16" t="s">
        <v>1324</v>
      </c>
    </row>
    <row r="1102" spans="1:25" ht="12.6" customHeight="1" x14ac:dyDescent="0.3">
      <c r="A1102" s="70"/>
      <c r="B1102" s="79" t="s">
        <v>1344</v>
      </c>
      <c r="C1102" s="104">
        <f>E1102+D1102+F1102</f>
        <v>4533.7000000000007</v>
      </c>
      <c r="D1102" s="104">
        <f>SUMIF(N1079:N1101,M1102,D1079:D1101)</f>
        <v>2515.8000000000002</v>
      </c>
      <c r="E1102" s="104">
        <f>SUMIF(N1079:N1101,M1102,E1079:E1101)</f>
        <v>813</v>
      </c>
      <c r="F1102" s="104">
        <f>SUMIF(N1079:N1101,M1102,F1079:F1101)</f>
        <v>1204.9000000000001</v>
      </c>
      <c r="G1102" s="16" t="s">
        <v>1343</v>
      </c>
      <c r="M1102" s="20" t="s">
        <v>1345</v>
      </c>
      <c r="N1102" s="20" t="s">
        <v>1368</v>
      </c>
    </row>
    <row r="1103" spans="1:25" ht="12.6" customHeight="1" x14ac:dyDescent="0.3">
      <c r="A1103" s="80"/>
      <c r="B1103" s="80"/>
      <c r="C1103" s="102"/>
      <c r="D1103" s="102"/>
      <c r="E1103" s="102"/>
      <c r="F1103" s="102"/>
      <c r="G1103" s="16" t="s">
        <v>1324</v>
      </c>
    </row>
    <row r="1104" spans="1:25" ht="12.6" customHeight="1" x14ac:dyDescent="0.3">
      <c r="A1104" s="70"/>
      <c r="B1104" s="79" t="s">
        <v>1171</v>
      </c>
      <c r="C1104" s="104">
        <f>E1104+D1104+F1104</f>
        <v>35405.1</v>
      </c>
      <c r="D1104" s="104">
        <f>SUMIF(N1053:N1103,M1104,D1053:D1103)</f>
        <v>18430</v>
      </c>
      <c r="E1104" s="104">
        <f>SUMIF(N1053:N1103,M1104,E1053:E1103)</f>
        <v>6085.4</v>
      </c>
      <c r="F1104" s="104">
        <f>SUMIF(N1053:N1103,M1104,F1053:F1103)</f>
        <v>10889.699999999999</v>
      </c>
      <c r="G1104" s="16" t="s">
        <v>1367</v>
      </c>
      <c r="M1104" s="20" t="s">
        <v>1368</v>
      </c>
      <c r="N1104" s="20" t="s">
        <v>1129</v>
      </c>
    </row>
    <row r="1105" spans="1:14" ht="12.6" customHeight="1" x14ac:dyDescent="0.3">
      <c r="A1105" s="80"/>
      <c r="B1105" s="80"/>
      <c r="C1105" s="102"/>
      <c r="D1105" s="102"/>
      <c r="E1105" s="102"/>
      <c r="F1105" s="102"/>
    </row>
    <row r="1106" spans="1:14" ht="12.6" customHeight="1" x14ac:dyDescent="0.3">
      <c r="A1106" s="80"/>
      <c r="B1106" s="80"/>
      <c r="C1106" s="80"/>
      <c r="D1106" s="80"/>
      <c r="E1106" s="80"/>
      <c r="F1106" s="80"/>
    </row>
    <row r="1107" spans="1:14" ht="12.6" customHeight="1" x14ac:dyDescent="0.3">
      <c r="A1107" s="80"/>
      <c r="B1107" s="80"/>
      <c r="C1107" s="80"/>
      <c r="D1107" s="80"/>
      <c r="E1107" s="80"/>
      <c r="F1107" s="80"/>
    </row>
    <row r="1108" spans="1:14" ht="12.6" customHeight="1" x14ac:dyDescent="0.3">
      <c r="A1108" s="80"/>
      <c r="B1108" s="80"/>
      <c r="C1108" s="80"/>
      <c r="D1108" s="80"/>
      <c r="E1108" s="80"/>
      <c r="F1108" s="80"/>
    </row>
    <row r="1109" spans="1:14" ht="12.6" customHeight="1" x14ac:dyDescent="0.3">
      <c r="A1109" s="80"/>
      <c r="B1109" s="80"/>
      <c r="C1109" s="80"/>
      <c r="D1109" s="80"/>
      <c r="E1109" s="80"/>
      <c r="F1109" s="80"/>
    </row>
    <row r="1110" spans="1:14" ht="12.6" customHeight="1" x14ac:dyDescent="0.3">
      <c r="A1110" s="80"/>
      <c r="B1110" s="80"/>
      <c r="C1110" s="80"/>
      <c r="D1110" s="80"/>
      <c r="E1110" s="80"/>
      <c r="F1110" s="80"/>
    </row>
    <row r="1111" spans="1:14" ht="12.6" customHeight="1" x14ac:dyDescent="0.3">
      <c r="A1111" s="80"/>
      <c r="B1111" s="80"/>
      <c r="C1111" s="80"/>
      <c r="D1111" s="80"/>
      <c r="E1111" s="80"/>
      <c r="F1111" s="80"/>
    </row>
    <row r="1112" spans="1:14" ht="12.6" customHeight="1" x14ac:dyDescent="0.3">
      <c r="A1112" s="80"/>
      <c r="B1112" s="80"/>
      <c r="C1112" s="80"/>
      <c r="D1112" s="80"/>
      <c r="E1112" s="80"/>
      <c r="F1112" s="80"/>
    </row>
    <row r="1113" spans="1:14" ht="12.6" customHeight="1" x14ac:dyDescent="0.3">
      <c r="A1113" s="80"/>
      <c r="B1113" s="80"/>
      <c r="C1113" s="80"/>
      <c r="D1113" s="80"/>
      <c r="E1113" s="80"/>
      <c r="F1113" s="80"/>
    </row>
    <row r="1114" spans="1:14" ht="12.6" customHeight="1" x14ac:dyDescent="0.3">
      <c r="A1114" s="80"/>
      <c r="B1114" s="80"/>
      <c r="C1114" s="80"/>
      <c r="D1114" s="80"/>
      <c r="E1114" s="80"/>
      <c r="F1114" s="80"/>
    </row>
    <row r="1115" spans="1:14" ht="12.6" customHeight="1" x14ac:dyDescent="0.3">
      <c r="A1115" s="80"/>
      <c r="B1115" s="80"/>
      <c r="C1115" s="80"/>
      <c r="D1115" s="80"/>
      <c r="E1115" s="80"/>
      <c r="F1115" s="80"/>
    </row>
    <row r="1116" spans="1:14" ht="12.6" customHeight="1" x14ac:dyDescent="0.3">
      <c r="A1116" s="80"/>
      <c r="B1116" s="80"/>
      <c r="C1116" s="80"/>
      <c r="D1116" s="80"/>
      <c r="E1116" s="80"/>
      <c r="F1116" s="80"/>
    </row>
    <row r="1117" spans="1:14" ht="12.6" customHeight="1" x14ac:dyDescent="0.3">
      <c r="A1117" s="58"/>
      <c r="B1117" s="58"/>
      <c r="C1117" s="58"/>
      <c r="D1117" s="58"/>
      <c r="E1117" s="58"/>
      <c r="F1117" s="58"/>
    </row>
    <row r="1118" spans="1:14" ht="12.6" customHeight="1" x14ac:dyDescent="0.3">
      <c r="A1118" s="141" t="s">
        <v>1171</v>
      </c>
      <c r="B1118" s="142"/>
      <c r="C1118" s="55">
        <f>E1118+D1118+F1118</f>
        <v>35404</v>
      </c>
      <c r="D1118" s="54">
        <f>ROUNDDOWN(SUMIF(N1053:N1104,M1118,D1053:D1104),0)</f>
        <v>18430</v>
      </c>
      <c r="E1118" s="63">
        <f>ROUNDDOWN(SUMIF(N1053:N1104,M1118,E1053:E1104),0)</f>
        <v>6085</v>
      </c>
      <c r="F1118" s="55">
        <f>ROUNDDOWN(SUMIF(N1053:N1104,M1118,F1053:F1104),0)</f>
        <v>10889</v>
      </c>
      <c r="M1118" s="20" t="s">
        <v>1129</v>
      </c>
      <c r="N1118" s="20" t="s">
        <v>1172</v>
      </c>
    </row>
    <row r="1119" spans="1:14" ht="12.6" customHeight="1" x14ac:dyDescent="0.3">
      <c r="A1119" s="141" t="s">
        <v>1173</v>
      </c>
      <c r="B1119" s="142"/>
      <c r="C1119" s="55">
        <f>E1119+D1119+F1119</f>
        <v>31331</v>
      </c>
      <c r="D1119" s="54">
        <f>ROUNDDOWN(D1118*H1119/100,0)</f>
        <v>16310</v>
      </c>
      <c r="E1119" s="63">
        <f>ROUNDDOWN(E1118*H1119/100,0)</f>
        <v>5385</v>
      </c>
      <c r="F1119" s="55">
        <f>ROUNDDOWN(F1118*H1119/100,0)</f>
        <v>9636</v>
      </c>
      <c r="H1119" s="67">
        <v>88.5</v>
      </c>
      <c r="M1119" s="20" t="s">
        <v>1172</v>
      </c>
    </row>
    <row r="1120" spans="1:14" ht="12.6" customHeight="1" x14ac:dyDescent="0.3">
      <c r="A1120" s="99" t="s">
        <v>100</v>
      </c>
      <c r="B1120" s="100" t="s">
        <v>100</v>
      </c>
      <c r="C1120" s="147">
        <f>C1188</f>
        <v>1256</v>
      </c>
      <c r="D1120" s="147">
        <f>D1188</f>
        <v>723</v>
      </c>
      <c r="E1120" s="147">
        <f>E1188</f>
        <v>233</v>
      </c>
      <c r="F1120" s="147">
        <f>F1188</f>
        <v>300</v>
      </c>
      <c r="G1120" s="36" t="str">
        <f>HYPERLINK("#G"&amp;ROW(G1152),"_x0005_`BDCOD|D02269_x0007_`POSS|"&amp;ROW(G1122)&amp;"_x0007_`POSE|"&amp;ROW(G1152)&amp;"_x0007_`")</f>
        <v>_x0005_`BDCOD|D02269_x0007_`POSS|1122_x0007_`POSE|1152_x0007_`</v>
      </c>
    </row>
    <row r="1121" spans="1:13" ht="12.6" customHeight="1" x14ac:dyDescent="0.3">
      <c r="A1121" s="85"/>
      <c r="B1121" s="100" t="s">
        <v>236</v>
      </c>
      <c r="C1121" s="137"/>
      <c r="D1121" s="137"/>
      <c r="E1121" s="137"/>
      <c r="F1121" s="137"/>
      <c r="M1121" s="20" t="s">
        <v>235</v>
      </c>
    </row>
    <row r="1122" spans="1:13" ht="12.6" customHeight="1" x14ac:dyDescent="0.3">
      <c r="A1122" s="80"/>
      <c r="B1122" s="80"/>
      <c r="C1122" s="102"/>
      <c r="D1122" s="102"/>
      <c r="E1122" s="102"/>
      <c r="F1122" s="102"/>
      <c r="G1122" s="16" t="s">
        <v>1324</v>
      </c>
    </row>
    <row r="1123" spans="1:13" ht="12.6" customHeight="1" x14ac:dyDescent="0.3">
      <c r="A1123" s="70"/>
      <c r="B1123" s="79" t="s">
        <v>1800</v>
      </c>
      <c r="C1123" s="80"/>
      <c r="D1123" s="80"/>
      <c r="E1123" s="80"/>
      <c r="F1123" s="80"/>
      <c r="G1123" s="16" t="s">
        <v>1799</v>
      </c>
    </row>
    <row r="1124" spans="1:13" ht="12.6" customHeight="1" x14ac:dyDescent="0.3">
      <c r="A1124" s="80"/>
      <c r="B1124" s="80"/>
      <c r="C1124" s="80"/>
      <c r="D1124" s="80"/>
      <c r="E1124" s="80"/>
      <c r="F1124" s="80"/>
      <c r="G1124" s="16" t="s">
        <v>1324</v>
      </c>
    </row>
    <row r="1125" spans="1:13" ht="12.6" customHeight="1" x14ac:dyDescent="0.3">
      <c r="A1125" s="70"/>
      <c r="B1125" s="79" t="s">
        <v>1802</v>
      </c>
      <c r="C1125" s="80"/>
      <c r="D1125" s="80"/>
      <c r="E1125" s="80"/>
      <c r="F1125" s="80"/>
      <c r="G1125" s="16" t="s">
        <v>1801</v>
      </c>
    </row>
    <row r="1126" spans="1:13" ht="12.6" customHeight="1" x14ac:dyDescent="0.3">
      <c r="A1126" s="80"/>
      <c r="B1126" s="80"/>
      <c r="C1126" s="80"/>
      <c r="D1126" s="80"/>
      <c r="E1126" s="80"/>
      <c r="F1126" s="80"/>
      <c r="G1126" s="16" t="s">
        <v>1324</v>
      </c>
    </row>
    <row r="1127" spans="1:13" ht="12.6" customHeight="1" x14ac:dyDescent="0.3">
      <c r="A1127" s="70"/>
      <c r="B1127" s="79" t="s">
        <v>1804</v>
      </c>
      <c r="C1127" s="80"/>
      <c r="D1127" s="80"/>
      <c r="E1127" s="80"/>
      <c r="F1127" s="80"/>
      <c r="G1127" s="16" t="s">
        <v>1803</v>
      </c>
    </row>
    <row r="1128" spans="1:13" ht="12.6" customHeight="1" x14ac:dyDescent="0.3">
      <c r="A1128" s="80"/>
      <c r="B1128" s="80"/>
      <c r="C1128" s="80"/>
      <c r="D1128" s="80"/>
      <c r="E1128" s="80"/>
      <c r="F1128" s="80"/>
      <c r="G1128" s="16" t="s">
        <v>1324</v>
      </c>
    </row>
    <row r="1129" spans="1:13" ht="12.6" customHeight="1" x14ac:dyDescent="0.3">
      <c r="A1129" s="70"/>
      <c r="B1129" s="79" t="s">
        <v>1806</v>
      </c>
      <c r="C1129" s="80"/>
      <c r="D1129" s="80"/>
      <c r="E1129" s="80"/>
      <c r="F1129" s="80"/>
      <c r="G1129" s="16" t="s">
        <v>1805</v>
      </c>
    </row>
    <row r="1130" spans="1:13" ht="12.6" customHeight="1" x14ac:dyDescent="0.3">
      <c r="A1130" s="80"/>
      <c r="B1130" s="80"/>
      <c r="C1130" s="80"/>
      <c r="D1130" s="80"/>
      <c r="E1130" s="80"/>
      <c r="F1130" s="80"/>
      <c r="G1130" s="16" t="s">
        <v>1324</v>
      </c>
    </row>
    <row r="1131" spans="1:13" ht="12.6" customHeight="1" x14ac:dyDescent="0.3">
      <c r="A1131" s="80"/>
      <c r="B1131" s="80"/>
      <c r="C1131" s="80"/>
      <c r="D1131" s="80"/>
      <c r="E1131" s="80"/>
      <c r="F1131" s="80"/>
      <c r="G1131" s="16" t="s">
        <v>1324</v>
      </c>
    </row>
    <row r="1132" spans="1:13" ht="12.6" customHeight="1" x14ac:dyDescent="0.3">
      <c r="A1132" s="70"/>
      <c r="B1132" s="79" t="s">
        <v>1808</v>
      </c>
      <c r="C1132" s="80"/>
      <c r="D1132" s="80"/>
      <c r="E1132" s="80"/>
      <c r="F1132" s="80"/>
      <c r="G1132" s="16" t="s">
        <v>1807</v>
      </c>
    </row>
    <row r="1133" spans="1:13" ht="12.6" customHeight="1" x14ac:dyDescent="0.3">
      <c r="A1133" s="80"/>
      <c r="B1133" s="80"/>
      <c r="C1133" s="80"/>
      <c r="D1133" s="80"/>
      <c r="E1133" s="80"/>
      <c r="F1133" s="80"/>
      <c r="G1133" s="16" t="s">
        <v>1324</v>
      </c>
    </row>
    <row r="1134" spans="1:13" ht="12.6" customHeight="1" x14ac:dyDescent="0.3">
      <c r="A1134" s="70"/>
      <c r="B1134" s="79" t="s">
        <v>1673</v>
      </c>
      <c r="C1134" s="80"/>
      <c r="D1134" s="80"/>
      <c r="E1134" s="80"/>
      <c r="F1134" s="80"/>
      <c r="G1134" s="16" t="s">
        <v>1672</v>
      </c>
    </row>
    <row r="1135" spans="1:13" ht="12.6" customHeight="1" x14ac:dyDescent="0.3">
      <c r="A1135" s="80"/>
      <c r="B1135" s="80"/>
      <c r="C1135" s="80"/>
      <c r="D1135" s="80"/>
      <c r="E1135" s="80"/>
      <c r="F1135" s="80"/>
      <c r="G1135" s="16" t="s">
        <v>1324</v>
      </c>
    </row>
    <row r="1136" spans="1:13" ht="12.6" customHeight="1" x14ac:dyDescent="0.3">
      <c r="A1136" s="70"/>
      <c r="B1136" s="79" t="s">
        <v>1810</v>
      </c>
      <c r="C1136" s="80"/>
      <c r="D1136" s="80"/>
      <c r="E1136" s="80"/>
      <c r="F1136" s="80"/>
      <c r="G1136" s="16" t="s">
        <v>1809</v>
      </c>
    </row>
    <row r="1137" spans="1:25" ht="12.6" customHeight="1" x14ac:dyDescent="0.3">
      <c r="A1137" s="80"/>
      <c r="B1137" s="80"/>
      <c r="C1137" s="80"/>
      <c r="D1137" s="80"/>
      <c r="E1137" s="80"/>
      <c r="F1137" s="80"/>
      <c r="G1137" s="16" t="s">
        <v>1324</v>
      </c>
    </row>
    <row r="1138" spans="1:25" ht="12.6" customHeight="1" x14ac:dyDescent="0.3">
      <c r="A1138" s="70"/>
      <c r="B1138" s="79" t="s">
        <v>1812</v>
      </c>
      <c r="C1138" s="80"/>
      <c r="D1138" s="80"/>
      <c r="E1138" s="80"/>
      <c r="F1138" s="80"/>
      <c r="G1138" s="16" t="s">
        <v>1811</v>
      </c>
    </row>
    <row r="1139" spans="1:25" ht="12.6" customHeight="1" x14ac:dyDescent="0.3">
      <c r="A1139" s="80"/>
      <c r="B1139" s="80"/>
      <c r="C1139" s="80"/>
      <c r="D1139" s="80"/>
      <c r="E1139" s="80"/>
      <c r="F1139" s="80"/>
      <c r="G1139" s="16" t="s">
        <v>1324</v>
      </c>
    </row>
    <row r="1140" spans="1:25" ht="12.6" customHeight="1" x14ac:dyDescent="0.3">
      <c r="A1140" s="70"/>
      <c r="B1140" s="79" t="s">
        <v>1813</v>
      </c>
      <c r="C1140" s="80"/>
      <c r="D1140" s="80"/>
      <c r="E1140" s="80"/>
      <c r="F1140" s="80"/>
      <c r="G1140" s="16" t="s">
        <v>1391</v>
      </c>
    </row>
    <row r="1141" spans="1:25" ht="12.6" customHeight="1" x14ac:dyDescent="0.3">
      <c r="A1141" s="80"/>
      <c r="B1141" s="80"/>
      <c r="C1141" s="80"/>
      <c r="D1141" s="80"/>
      <c r="E1141" s="80"/>
      <c r="F1141" s="80"/>
      <c r="G1141" s="16" t="s">
        <v>1324</v>
      </c>
    </row>
    <row r="1142" spans="1:25" ht="12.6" customHeight="1" x14ac:dyDescent="0.3">
      <c r="A1142" s="80"/>
      <c r="B1142" s="80"/>
      <c r="C1142" s="80"/>
      <c r="D1142" s="80"/>
      <c r="E1142" s="80"/>
      <c r="F1142" s="80"/>
      <c r="G1142" s="16" t="s">
        <v>1324</v>
      </c>
    </row>
    <row r="1143" spans="1:25" ht="12.6" customHeight="1" x14ac:dyDescent="0.3">
      <c r="A1143" s="70" t="s">
        <v>1524</v>
      </c>
      <c r="B1143" s="101" t="str">
        <f>" 노 무 비  : "&amp;TEXT(I1143,"#,##0"&amp;IF(I1143&lt;&gt;INT(I1143),".###",""))&amp;" / Q  = "&amp;TEXT(C1143,"#,##0.0")&amp;""</f>
        <v xml:space="preserve"> 노 무 비  : 55,700 / Q  = 818.6</v>
      </c>
      <c r="C1143" s="103">
        <f>E1143+D1143+F1143</f>
        <v>818.6</v>
      </c>
      <c r="D1143" s="103">
        <f>IF(H1143=0,0,ROUNDDOWN(J1143*H1143,1))</f>
        <v>818.6</v>
      </c>
      <c r="E1143" s="103">
        <f>IF(H1143=0,0,ROUNDDOWN(K1143*H1143,1))</f>
        <v>0</v>
      </c>
      <c r="F1143" s="103">
        <f>IF(H1143=0,0,ROUNDDOWN(L1143*H1143,1))</f>
        <v>0</v>
      </c>
      <c r="G1143" s="16" t="s">
        <v>1523</v>
      </c>
      <c r="H1143" s="108">
        <v>1.46972369296E-2</v>
      </c>
      <c r="I1143" s="109">
        <f>K1143+J1143+L1143</f>
        <v>55700</v>
      </c>
      <c r="J1143" s="39">
        <f>중기목록표!F7</f>
        <v>55700</v>
      </c>
      <c r="M1143" s="20" t="s">
        <v>1179</v>
      </c>
      <c r="N1143" s="20" t="s">
        <v>1345</v>
      </c>
      <c r="X1143" s="110" t="str">
        <f>중기목록표!B7&amp;" / "&amp;중기목록표!C7</f>
        <v xml:space="preserve">굴삭기(0.7m3) / </v>
      </c>
      <c r="Y1143" s="19" t="str">
        <f ca="1">HYPERLINK("#"&amp;중기목록표!J2&amp;"!A"&amp;ROW(중기목록표!A7),"중기    4 →")</f>
        <v>중기    4 →</v>
      </c>
    </row>
    <row r="1144" spans="1:25" ht="12.6" customHeight="1" x14ac:dyDescent="0.3">
      <c r="A1144" s="80"/>
      <c r="B1144" s="80"/>
      <c r="C1144" s="80"/>
      <c r="D1144" s="80"/>
      <c r="E1144" s="80"/>
      <c r="F1144" s="80"/>
      <c r="G1144" s="16" t="s">
        <v>1324</v>
      </c>
    </row>
    <row r="1145" spans="1:25" ht="12.6" customHeight="1" x14ac:dyDescent="0.3">
      <c r="A1145" s="80"/>
      <c r="B1145" s="80"/>
      <c r="C1145" s="80"/>
      <c r="D1145" s="80"/>
      <c r="E1145" s="80"/>
      <c r="F1145" s="80"/>
      <c r="G1145" s="16" t="s">
        <v>1324</v>
      </c>
    </row>
    <row r="1146" spans="1:25" ht="12.6" customHeight="1" x14ac:dyDescent="0.3">
      <c r="A1146" s="70" t="s">
        <v>1526</v>
      </c>
      <c r="B1146" s="101" t="str">
        <f>" 재 료 비  : "&amp;TEXT(I1146,"#,##0"&amp;IF(I1146&lt;&gt;INT(I1146),".###",""))&amp;" / Q  = "&amp;TEXT(C1146,"#,##0.0")&amp;""</f>
        <v xml:space="preserve"> 재 료 비  : 18,001 / Q  = 264.5</v>
      </c>
      <c r="C1146" s="103">
        <f>E1146+D1146+F1146</f>
        <v>264.5</v>
      </c>
      <c r="D1146" s="103">
        <f>IF(H1146=0,0,ROUNDDOWN(J1146*H1146,1))</f>
        <v>0</v>
      </c>
      <c r="E1146" s="103">
        <f>IF(H1146=0,0,ROUNDDOWN(K1146*H1146,1))</f>
        <v>264.5</v>
      </c>
      <c r="F1146" s="103">
        <f>IF(H1146=0,0,ROUNDDOWN(L1146*H1146,1))</f>
        <v>0</v>
      </c>
      <c r="G1146" s="16" t="s">
        <v>1525</v>
      </c>
      <c r="H1146" s="108">
        <v>1.46972369296E-2</v>
      </c>
      <c r="I1146" s="109">
        <f>K1146+J1146+L1146</f>
        <v>18001</v>
      </c>
      <c r="K1146" s="39">
        <f>중기목록표!G7</f>
        <v>18001</v>
      </c>
      <c r="M1146" s="20" t="s">
        <v>1179</v>
      </c>
      <c r="N1146" s="20" t="s">
        <v>1345</v>
      </c>
      <c r="X1146" s="110" t="str">
        <f>중기목록표!B7&amp;" / "&amp;중기목록표!C7</f>
        <v xml:space="preserve">굴삭기(0.7m3) / </v>
      </c>
      <c r="Y1146" s="19" t="str">
        <f ca="1">HYPERLINK("#"&amp;중기목록표!J2&amp;"!A"&amp;ROW(중기목록표!A7),"중기    4 →")</f>
        <v>중기    4 →</v>
      </c>
    </row>
    <row r="1147" spans="1:25" ht="12.6" customHeight="1" x14ac:dyDescent="0.3">
      <c r="A1147" s="80"/>
      <c r="B1147" s="80"/>
      <c r="C1147" s="80"/>
      <c r="D1147" s="80"/>
      <c r="E1147" s="80"/>
      <c r="F1147" s="80"/>
      <c r="G1147" s="16" t="s">
        <v>1324</v>
      </c>
    </row>
    <row r="1148" spans="1:25" ht="12.6" customHeight="1" x14ac:dyDescent="0.3">
      <c r="A1148" s="80"/>
      <c r="B1148" s="80"/>
      <c r="C1148" s="80"/>
      <c r="D1148" s="80"/>
      <c r="E1148" s="80"/>
      <c r="F1148" s="80"/>
      <c r="G1148" s="16" t="s">
        <v>1324</v>
      </c>
    </row>
    <row r="1149" spans="1:25" ht="12.6" customHeight="1" x14ac:dyDescent="0.3">
      <c r="A1149" s="70" t="s">
        <v>1528</v>
      </c>
      <c r="B1149" s="101" t="str">
        <f>" 경    비  : "&amp;TEXT(I1149,"#,##0"&amp;IF(I1149&lt;&gt;INT(I1149),".###",""))&amp;" / Q  = "&amp;TEXT(C1149,"#,##0.0")&amp;""</f>
        <v xml:space="preserve"> 경    비  : 23,128 / Q  = 339.9</v>
      </c>
      <c r="C1149" s="103">
        <f>E1149+D1149+F1149</f>
        <v>339.9</v>
      </c>
      <c r="D1149" s="103">
        <f>IF(H1149=0,0,ROUNDDOWN(J1149*H1149,1))</f>
        <v>0</v>
      </c>
      <c r="E1149" s="103">
        <f>IF(H1149=0,0,ROUNDDOWN(K1149*H1149,1))</f>
        <v>0</v>
      </c>
      <c r="F1149" s="103">
        <f>IF(H1149=0,0,ROUNDDOWN(L1149*H1149,1))</f>
        <v>339.9</v>
      </c>
      <c r="G1149" s="16" t="s">
        <v>1527</v>
      </c>
      <c r="H1149" s="108">
        <v>1.46972369296E-2</v>
      </c>
      <c r="I1149" s="109">
        <f>K1149+J1149+L1149</f>
        <v>23128</v>
      </c>
      <c r="L1149" s="39">
        <f>중기목록표!H7</f>
        <v>23128</v>
      </c>
      <c r="M1149" s="20" t="s">
        <v>1179</v>
      </c>
      <c r="N1149" s="20" t="s">
        <v>1345</v>
      </c>
      <c r="X1149" s="110" t="str">
        <f>중기목록표!B7&amp;" / "&amp;중기목록표!C7</f>
        <v xml:space="preserve">굴삭기(0.7m3) / </v>
      </c>
      <c r="Y1149" s="19" t="str">
        <f ca="1">HYPERLINK("#"&amp;중기목록표!J2&amp;"!A"&amp;ROW(중기목록표!A7),"중기    4 →")</f>
        <v>중기    4 →</v>
      </c>
    </row>
    <row r="1150" spans="1:25" ht="12.6" customHeight="1" x14ac:dyDescent="0.3">
      <c r="A1150" s="80"/>
      <c r="B1150" s="80"/>
      <c r="C1150" s="80"/>
      <c r="D1150" s="80"/>
      <c r="E1150" s="80"/>
      <c r="F1150" s="80"/>
      <c r="G1150" s="16" t="s">
        <v>1324</v>
      </c>
    </row>
    <row r="1151" spans="1:25" ht="12.6" customHeight="1" x14ac:dyDescent="0.3">
      <c r="A1151" s="80"/>
      <c r="B1151" s="80"/>
      <c r="C1151" s="80"/>
      <c r="D1151" s="80"/>
      <c r="E1151" s="80"/>
      <c r="F1151" s="80"/>
      <c r="G1151" s="16" t="s">
        <v>1324</v>
      </c>
    </row>
    <row r="1152" spans="1:25" ht="12.6" customHeight="1" x14ac:dyDescent="0.3">
      <c r="A1152" s="70"/>
      <c r="B1152" s="79" t="s">
        <v>1344</v>
      </c>
      <c r="C1152" s="104">
        <f>E1152+D1152+F1152</f>
        <v>1423</v>
      </c>
      <c r="D1152" s="104">
        <f>SUMIF(N1122:N1151,M1152,D1122:D1151)</f>
        <v>818.6</v>
      </c>
      <c r="E1152" s="104">
        <f>SUMIF(N1122:N1151,M1152,E1122:E1151)</f>
        <v>264.5</v>
      </c>
      <c r="F1152" s="104">
        <f>SUMIF(N1122:N1151,M1152,F1122:F1151)</f>
        <v>339.9</v>
      </c>
      <c r="G1152" s="16" t="s">
        <v>1343</v>
      </c>
      <c r="M1152" s="20" t="s">
        <v>1345</v>
      </c>
      <c r="N1152" s="20" t="s">
        <v>1129</v>
      </c>
    </row>
    <row r="1153" spans="1:6" ht="12.6" customHeight="1" x14ac:dyDescent="0.3">
      <c r="A1153" s="80"/>
      <c r="B1153" s="80"/>
      <c r="C1153" s="102"/>
      <c r="D1153" s="102"/>
      <c r="E1153" s="102"/>
      <c r="F1153" s="102"/>
    </row>
    <row r="1154" spans="1:6" ht="12.6" customHeight="1" x14ac:dyDescent="0.3">
      <c r="A1154" s="80"/>
      <c r="B1154" s="80"/>
      <c r="C1154" s="80"/>
      <c r="D1154" s="80"/>
      <c r="E1154" s="80"/>
      <c r="F1154" s="80"/>
    </row>
    <row r="1155" spans="1:6" ht="12.6" customHeight="1" x14ac:dyDescent="0.3">
      <c r="A1155" s="80"/>
      <c r="B1155" s="80"/>
      <c r="C1155" s="80"/>
      <c r="D1155" s="80"/>
      <c r="E1155" s="80"/>
      <c r="F1155" s="80"/>
    </row>
    <row r="1156" spans="1:6" ht="12.6" customHeight="1" x14ac:dyDescent="0.3">
      <c r="A1156" s="80"/>
      <c r="B1156" s="80"/>
      <c r="C1156" s="80"/>
      <c r="D1156" s="80"/>
      <c r="E1156" s="80"/>
      <c r="F1156" s="80"/>
    </row>
    <row r="1157" spans="1:6" ht="12.6" customHeight="1" x14ac:dyDescent="0.3">
      <c r="A1157" s="80"/>
      <c r="B1157" s="80"/>
      <c r="C1157" s="80"/>
      <c r="D1157" s="80"/>
      <c r="E1157" s="80"/>
      <c r="F1157" s="80"/>
    </row>
    <row r="1158" spans="1:6" ht="12.6" customHeight="1" x14ac:dyDescent="0.3">
      <c r="A1158" s="80"/>
      <c r="B1158" s="80"/>
      <c r="C1158" s="80"/>
      <c r="D1158" s="80"/>
      <c r="E1158" s="80"/>
      <c r="F1158" s="80"/>
    </row>
    <row r="1159" spans="1:6" ht="12.6" customHeight="1" x14ac:dyDescent="0.3">
      <c r="A1159" s="80"/>
      <c r="B1159" s="80"/>
      <c r="C1159" s="80"/>
      <c r="D1159" s="80"/>
      <c r="E1159" s="80"/>
      <c r="F1159" s="80"/>
    </row>
    <row r="1160" spans="1:6" ht="12.6" customHeight="1" x14ac:dyDescent="0.3">
      <c r="A1160" s="80"/>
      <c r="B1160" s="80"/>
      <c r="C1160" s="80"/>
      <c r="D1160" s="80"/>
      <c r="E1160" s="80"/>
      <c r="F1160" s="80"/>
    </row>
    <row r="1161" spans="1:6" ht="12.6" customHeight="1" x14ac:dyDescent="0.3">
      <c r="A1161" s="80"/>
      <c r="B1161" s="80"/>
      <c r="C1161" s="80"/>
      <c r="D1161" s="80"/>
      <c r="E1161" s="80"/>
      <c r="F1161" s="80"/>
    </row>
    <row r="1162" spans="1:6" ht="12.6" customHeight="1" x14ac:dyDescent="0.3">
      <c r="A1162" s="80"/>
      <c r="B1162" s="80"/>
      <c r="C1162" s="80"/>
      <c r="D1162" s="80"/>
      <c r="E1162" s="80"/>
      <c r="F1162" s="80"/>
    </row>
    <row r="1163" spans="1:6" ht="12.6" customHeight="1" x14ac:dyDescent="0.3">
      <c r="A1163" s="80"/>
      <c r="B1163" s="80"/>
      <c r="C1163" s="80"/>
      <c r="D1163" s="80"/>
      <c r="E1163" s="80"/>
      <c r="F1163" s="80"/>
    </row>
    <row r="1164" spans="1:6" ht="12.6" customHeight="1" x14ac:dyDescent="0.3">
      <c r="A1164" s="80"/>
      <c r="B1164" s="80"/>
      <c r="C1164" s="80"/>
      <c r="D1164" s="80"/>
      <c r="E1164" s="80"/>
      <c r="F1164" s="80"/>
    </row>
    <row r="1165" spans="1:6" ht="12.6" customHeight="1" x14ac:dyDescent="0.3">
      <c r="A1165" s="80"/>
      <c r="B1165" s="80"/>
      <c r="C1165" s="80"/>
      <c r="D1165" s="80"/>
      <c r="E1165" s="80"/>
      <c r="F1165" s="80"/>
    </row>
    <row r="1166" spans="1:6" ht="12.6" customHeight="1" x14ac:dyDescent="0.3">
      <c r="A1166" s="80"/>
      <c r="B1166" s="80"/>
      <c r="C1166" s="80"/>
      <c r="D1166" s="80"/>
      <c r="E1166" s="80"/>
      <c r="F1166" s="80"/>
    </row>
    <row r="1167" spans="1:6" ht="12.6" customHeight="1" x14ac:dyDescent="0.3">
      <c r="A1167" s="80"/>
      <c r="B1167" s="80"/>
      <c r="C1167" s="80"/>
      <c r="D1167" s="80"/>
      <c r="E1167" s="80"/>
      <c r="F1167" s="80"/>
    </row>
    <row r="1168" spans="1:6" ht="12.6" customHeight="1" x14ac:dyDescent="0.3">
      <c r="A1168" s="80"/>
      <c r="B1168" s="80"/>
      <c r="C1168" s="80"/>
      <c r="D1168" s="80"/>
      <c r="E1168" s="80"/>
      <c r="F1168" s="80"/>
    </row>
    <row r="1169" spans="1:6" ht="12.6" customHeight="1" x14ac:dyDescent="0.3">
      <c r="A1169" s="80"/>
      <c r="B1169" s="80"/>
      <c r="C1169" s="80"/>
      <c r="D1169" s="80"/>
      <c r="E1169" s="80"/>
      <c r="F1169" s="80"/>
    </row>
    <row r="1170" spans="1:6" ht="12.6" customHeight="1" x14ac:dyDescent="0.3">
      <c r="A1170" s="80"/>
      <c r="B1170" s="80"/>
      <c r="C1170" s="80"/>
      <c r="D1170" s="80"/>
      <c r="E1170" s="80"/>
      <c r="F1170" s="80"/>
    </row>
    <row r="1171" spans="1:6" ht="12.6" customHeight="1" x14ac:dyDescent="0.3">
      <c r="A1171" s="80"/>
      <c r="B1171" s="80"/>
      <c r="C1171" s="80"/>
      <c r="D1171" s="80"/>
      <c r="E1171" s="80"/>
      <c r="F1171" s="80"/>
    </row>
    <row r="1172" spans="1:6" ht="12.6" customHeight="1" x14ac:dyDescent="0.3">
      <c r="A1172" s="80"/>
      <c r="B1172" s="80"/>
      <c r="C1172" s="80"/>
      <c r="D1172" s="80"/>
      <c r="E1172" s="80"/>
      <c r="F1172" s="80"/>
    </row>
    <row r="1173" spans="1:6" ht="12.6" customHeight="1" x14ac:dyDescent="0.3">
      <c r="A1173" s="80"/>
      <c r="B1173" s="80"/>
      <c r="C1173" s="80"/>
      <c r="D1173" s="80"/>
      <c r="E1173" s="80"/>
      <c r="F1173" s="80"/>
    </row>
    <row r="1174" spans="1:6" ht="12.6" customHeight="1" x14ac:dyDescent="0.3">
      <c r="A1174" s="80"/>
      <c r="B1174" s="80"/>
      <c r="C1174" s="80"/>
      <c r="D1174" s="80"/>
      <c r="E1174" s="80"/>
      <c r="F1174" s="80"/>
    </row>
    <row r="1175" spans="1:6" ht="12.6" customHeight="1" x14ac:dyDescent="0.3">
      <c r="A1175" s="80"/>
      <c r="B1175" s="80"/>
      <c r="C1175" s="80"/>
      <c r="D1175" s="80"/>
      <c r="E1175" s="80"/>
      <c r="F1175" s="80"/>
    </row>
    <row r="1176" spans="1:6" ht="12.6" customHeight="1" x14ac:dyDescent="0.3">
      <c r="A1176" s="80"/>
      <c r="B1176" s="80"/>
      <c r="C1176" s="80"/>
      <c r="D1176" s="80"/>
      <c r="E1176" s="80"/>
      <c r="F1176" s="80"/>
    </row>
    <row r="1177" spans="1:6" ht="12.6" customHeight="1" x14ac:dyDescent="0.3">
      <c r="A1177" s="80"/>
      <c r="B1177" s="80"/>
      <c r="C1177" s="80"/>
      <c r="D1177" s="80"/>
      <c r="E1177" s="80"/>
      <c r="F1177" s="80"/>
    </row>
    <row r="1178" spans="1:6" ht="12.6" customHeight="1" x14ac:dyDescent="0.3">
      <c r="A1178" s="80"/>
      <c r="B1178" s="80"/>
      <c r="C1178" s="80"/>
      <c r="D1178" s="80"/>
      <c r="E1178" s="80"/>
      <c r="F1178" s="80"/>
    </row>
    <row r="1179" spans="1:6" ht="12.6" customHeight="1" x14ac:dyDescent="0.3">
      <c r="A1179" s="80"/>
      <c r="B1179" s="80"/>
      <c r="C1179" s="80"/>
      <c r="D1179" s="80"/>
      <c r="E1179" s="80"/>
      <c r="F1179" s="80"/>
    </row>
    <row r="1180" spans="1:6" ht="12.6" customHeight="1" x14ac:dyDescent="0.3">
      <c r="A1180" s="80"/>
      <c r="B1180" s="80"/>
      <c r="C1180" s="80"/>
      <c r="D1180" s="80"/>
      <c r="E1180" s="80"/>
      <c r="F1180" s="80"/>
    </row>
    <row r="1181" spans="1:6" ht="12.6" customHeight="1" x14ac:dyDescent="0.3">
      <c r="A1181" s="80"/>
      <c r="B1181" s="80"/>
      <c r="C1181" s="80"/>
      <c r="D1181" s="80"/>
      <c r="E1181" s="80"/>
      <c r="F1181" s="80"/>
    </row>
    <row r="1182" spans="1:6" ht="12.6" customHeight="1" x14ac:dyDescent="0.3">
      <c r="A1182" s="80"/>
      <c r="B1182" s="80"/>
      <c r="C1182" s="80"/>
      <c r="D1182" s="80"/>
      <c r="E1182" s="80"/>
      <c r="F1182" s="80"/>
    </row>
    <row r="1183" spans="1:6" ht="12.6" customHeight="1" x14ac:dyDescent="0.3">
      <c r="A1183" s="80"/>
      <c r="B1183" s="80"/>
      <c r="C1183" s="80"/>
      <c r="D1183" s="80"/>
      <c r="E1183" s="80"/>
      <c r="F1183" s="80"/>
    </row>
    <row r="1184" spans="1:6" ht="12.6" customHeight="1" x14ac:dyDescent="0.3">
      <c r="A1184" s="80"/>
      <c r="B1184" s="80"/>
      <c r="C1184" s="80"/>
      <c r="D1184" s="80"/>
      <c r="E1184" s="80"/>
      <c r="F1184" s="80"/>
    </row>
    <row r="1185" spans="1:14" ht="12.6" customHeight="1" x14ac:dyDescent="0.3">
      <c r="A1185" s="80"/>
      <c r="B1185" s="80"/>
      <c r="C1185" s="80"/>
      <c r="D1185" s="80"/>
      <c r="E1185" s="80"/>
      <c r="F1185" s="80"/>
    </row>
    <row r="1186" spans="1:14" ht="12.6" customHeight="1" x14ac:dyDescent="0.3">
      <c r="A1186" s="58"/>
      <c r="B1186" s="58"/>
      <c r="C1186" s="58"/>
      <c r="D1186" s="58"/>
      <c r="E1186" s="58"/>
      <c r="F1186" s="58"/>
    </row>
    <row r="1187" spans="1:14" ht="12.6" customHeight="1" x14ac:dyDescent="0.3">
      <c r="A1187" s="141" t="s">
        <v>1171</v>
      </c>
      <c r="B1187" s="142"/>
      <c r="C1187" s="55">
        <f>E1187+D1187+F1187</f>
        <v>1421</v>
      </c>
      <c r="D1187" s="54">
        <f>ROUNDDOWN(SUMIF(N1122:N1152,M1187,D1122:D1152),0)</f>
        <v>818</v>
      </c>
      <c r="E1187" s="63">
        <f>ROUNDDOWN(SUMIF(N1122:N1152,M1187,E1122:E1152),0)</f>
        <v>264</v>
      </c>
      <c r="F1187" s="55">
        <f>ROUNDDOWN(SUMIF(N1122:N1152,M1187,F1122:F1152),0)</f>
        <v>339</v>
      </c>
      <c r="M1187" s="20" t="s">
        <v>1129</v>
      </c>
      <c r="N1187" s="20" t="s">
        <v>1172</v>
      </c>
    </row>
    <row r="1188" spans="1:14" ht="12.6" customHeight="1" x14ac:dyDescent="0.3">
      <c r="A1188" s="141" t="s">
        <v>1173</v>
      </c>
      <c r="B1188" s="142"/>
      <c r="C1188" s="55">
        <f>E1188+D1188+F1188</f>
        <v>1256</v>
      </c>
      <c r="D1188" s="54">
        <f>ROUNDDOWN(D1187*H1188/100,0)</f>
        <v>723</v>
      </c>
      <c r="E1188" s="63">
        <f>ROUNDDOWN(E1187*H1188/100,0)</f>
        <v>233</v>
      </c>
      <c r="F1188" s="55">
        <f>ROUNDDOWN(F1187*H1188/100,0)</f>
        <v>300</v>
      </c>
      <c r="H1188" s="67">
        <v>88.5</v>
      </c>
      <c r="M1188" s="20" t="s">
        <v>1172</v>
      </c>
    </row>
    <row r="1189" spans="1:14" ht="12.6" customHeight="1" x14ac:dyDescent="0.3">
      <c r="A1189" s="99" t="s">
        <v>104</v>
      </c>
      <c r="B1189" s="100" t="s">
        <v>104</v>
      </c>
      <c r="C1189" s="147">
        <f>C1222</f>
        <v>2063</v>
      </c>
      <c r="D1189" s="147">
        <f>D1222</f>
        <v>1315</v>
      </c>
      <c r="E1189" s="147">
        <f>E1222</f>
        <v>362</v>
      </c>
      <c r="F1189" s="147">
        <f>F1222</f>
        <v>386</v>
      </c>
      <c r="G1189" s="36" t="str">
        <f>HYPERLINK("#G"&amp;ROW(G1212),"_x0005_`BDCOD|D02270_x0007_`POSS|"&amp;ROW(G1191)&amp;"_x0007_`POSE|"&amp;ROW(G1212)&amp;"_x0007_`")</f>
        <v>_x0005_`BDCOD|D02270_x0007_`POSS|1191_x0007_`POSE|1212_x0007_`</v>
      </c>
    </row>
    <row r="1190" spans="1:14" ht="12.6" customHeight="1" x14ac:dyDescent="0.3">
      <c r="A1190" s="85"/>
      <c r="B1190" s="100" t="s">
        <v>239</v>
      </c>
      <c r="C1190" s="137"/>
      <c r="D1190" s="137"/>
      <c r="E1190" s="137"/>
      <c r="F1190" s="137"/>
      <c r="M1190" s="20" t="s">
        <v>238</v>
      </c>
    </row>
    <row r="1191" spans="1:14" ht="12.6" customHeight="1" x14ac:dyDescent="0.3">
      <c r="A1191" s="80"/>
      <c r="B1191" s="80"/>
      <c r="C1191" s="102"/>
      <c r="D1191" s="102"/>
      <c r="E1191" s="102"/>
      <c r="F1191" s="102"/>
      <c r="G1191" s="16" t="s">
        <v>1324</v>
      </c>
    </row>
    <row r="1192" spans="1:14" ht="12.6" customHeight="1" x14ac:dyDescent="0.3">
      <c r="A1192" s="80"/>
      <c r="B1192" s="80"/>
      <c r="C1192" s="80"/>
      <c r="D1192" s="80"/>
      <c r="E1192" s="80"/>
      <c r="F1192" s="80"/>
      <c r="G1192" s="16" t="s">
        <v>1324</v>
      </c>
    </row>
    <row r="1193" spans="1:14" ht="12.6" customHeight="1" x14ac:dyDescent="0.3">
      <c r="A1193" s="70"/>
      <c r="B1193" s="79" t="s">
        <v>1815</v>
      </c>
      <c r="C1193" s="80"/>
      <c r="D1193" s="80"/>
      <c r="E1193" s="80"/>
      <c r="F1193" s="80"/>
      <c r="G1193" s="16" t="s">
        <v>1814</v>
      </c>
    </row>
    <row r="1194" spans="1:14" ht="12.6" customHeight="1" x14ac:dyDescent="0.3">
      <c r="A1194" s="80"/>
      <c r="B1194" s="80"/>
      <c r="C1194" s="80"/>
      <c r="D1194" s="80"/>
      <c r="E1194" s="80"/>
      <c r="F1194" s="80"/>
      <c r="G1194" s="16" t="s">
        <v>1324</v>
      </c>
    </row>
    <row r="1195" spans="1:14" ht="12.6" customHeight="1" x14ac:dyDescent="0.3">
      <c r="A1195" s="80"/>
      <c r="B1195" s="80"/>
      <c r="C1195" s="80"/>
      <c r="D1195" s="80"/>
      <c r="E1195" s="80"/>
      <c r="F1195" s="80"/>
      <c r="G1195" s="16" t="s">
        <v>1324</v>
      </c>
    </row>
    <row r="1196" spans="1:14" ht="12.6" customHeight="1" x14ac:dyDescent="0.3">
      <c r="A1196" s="70"/>
      <c r="B1196" s="79" t="s">
        <v>1817</v>
      </c>
      <c r="C1196" s="80"/>
      <c r="D1196" s="80"/>
      <c r="E1196" s="80"/>
      <c r="F1196" s="80"/>
      <c r="G1196" s="16" t="s">
        <v>1816</v>
      </c>
    </row>
    <row r="1197" spans="1:14" ht="12.6" customHeight="1" x14ac:dyDescent="0.3">
      <c r="A1197" s="80"/>
      <c r="B1197" s="80"/>
      <c r="C1197" s="80"/>
      <c r="D1197" s="80"/>
      <c r="E1197" s="80"/>
      <c r="F1197" s="80"/>
      <c r="G1197" s="16" t="s">
        <v>1324</v>
      </c>
    </row>
    <row r="1198" spans="1:14" ht="12.6" customHeight="1" x14ac:dyDescent="0.3">
      <c r="A1198" s="70"/>
      <c r="B1198" s="79" t="s">
        <v>1819</v>
      </c>
      <c r="C1198" s="80"/>
      <c r="D1198" s="80"/>
      <c r="E1198" s="80"/>
      <c r="F1198" s="80"/>
      <c r="G1198" s="16" t="s">
        <v>1818</v>
      </c>
    </row>
    <row r="1199" spans="1:14" ht="12.6" customHeight="1" x14ac:dyDescent="0.3">
      <c r="A1199" s="80"/>
      <c r="B1199" s="80"/>
      <c r="C1199" s="80"/>
      <c r="D1199" s="80"/>
      <c r="E1199" s="80"/>
      <c r="F1199" s="80"/>
      <c r="G1199" s="16" t="s">
        <v>1324</v>
      </c>
    </row>
    <row r="1200" spans="1:14" ht="12.6" customHeight="1" x14ac:dyDescent="0.3">
      <c r="A1200" s="70"/>
      <c r="B1200" s="79" t="s">
        <v>1821</v>
      </c>
      <c r="C1200" s="80"/>
      <c r="D1200" s="80"/>
      <c r="E1200" s="80"/>
      <c r="F1200" s="80"/>
      <c r="G1200" s="16" t="s">
        <v>1820</v>
      </c>
    </row>
    <row r="1201" spans="1:25" ht="12.6" customHeight="1" x14ac:dyDescent="0.3">
      <c r="A1201" s="80"/>
      <c r="B1201" s="80"/>
      <c r="C1201" s="80"/>
      <c r="D1201" s="80"/>
      <c r="E1201" s="80"/>
      <c r="F1201" s="80"/>
      <c r="G1201" s="16" t="s">
        <v>1324</v>
      </c>
    </row>
    <row r="1202" spans="1:25" ht="12.6" customHeight="1" x14ac:dyDescent="0.3">
      <c r="A1202" s="80"/>
      <c r="B1202" s="80"/>
      <c r="C1202" s="80"/>
      <c r="D1202" s="80"/>
      <c r="E1202" s="80"/>
      <c r="F1202" s="80"/>
      <c r="G1202" s="16" t="s">
        <v>1324</v>
      </c>
    </row>
    <row r="1203" spans="1:25" ht="12.6" customHeight="1" x14ac:dyDescent="0.3">
      <c r="A1203" s="80"/>
      <c r="B1203" s="80"/>
      <c r="C1203" s="80"/>
      <c r="D1203" s="80"/>
      <c r="E1203" s="80"/>
      <c r="F1203" s="80"/>
      <c r="G1203" s="16" t="s">
        <v>1324</v>
      </c>
    </row>
    <row r="1204" spans="1:25" ht="12.6" customHeight="1" x14ac:dyDescent="0.3">
      <c r="A1204" s="70" t="s">
        <v>1823</v>
      </c>
      <c r="B1204" s="101" t="str">
        <f>" 노 무 비  : "&amp;TEXT(I1204,"#,##0"&amp;IF(I1204&lt;&gt;INT(I1204),".###",""))&amp;" / Q  = "&amp;TEXT(C1204,"#,##0.0")&amp;""</f>
        <v xml:space="preserve"> 노 무 비  : 55,700 / Q  = 1,487.7</v>
      </c>
      <c r="C1204" s="103">
        <f>E1204+D1204+F1204</f>
        <v>1487.7</v>
      </c>
      <c r="D1204" s="103">
        <f>IF(H1204=0,0,ROUNDDOWN(J1204*H1204,1))</f>
        <v>1487.7</v>
      </c>
      <c r="E1204" s="103">
        <f>IF(H1204=0,0,ROUNDDOWN(K1204*H1204,1))</f>
        <v>0</v>
      </c>
      <c r="F1204" s="103">
        <f>IF(H1204=0,0,ROUNDDOWN(L1204*H1204,1))</f>
        <v>0</v>
      </c>
      <c r="G1204" s="16" t="s">
        <v>1822</v>
      </c>
      <c r="H1204" s="108">
        <v>2.6709401719499998E-2</v>
      </c>
      <c r="I1204" s="109">
        <f>K1204+J1204+L1204</f>
        <v>55700</v>
      </c>
      <c r="J1204" s="39">
        <f>중기목록표!F6</f>
        <v>55700</v>
      </c>
      <c r="M1204" s="20" t="s">
        <v>1824</v>
      </c>
      <c r="N1204" s="20" t="s">
        <v>1345</v>
      </c>
      <c r="X1204" s="110" t="str">
        <f>중기목록표!B6&amp;" / "&amp;중기목록표!C6</f>
        <v xml:space="preserve">굴삭기(0.4m3) / </v>
      </c>
      <c r="Y1204" s="19" t="str">
        <f ca="1">HYPERLINK("#"&amp;중기목록표!J2&amp;"!A"&amp;ROW(중기목록표!A6),"중기    3 →")</f>
        <v>중기    3 →</v>
      </c>
    </row>
    <row r="1205" spans="1:25" ht="12.6" customHeight="1" x14ac:dyDescent="0.3">
      <c r="A1205" s="80"/>
      <c r="B1205" s="80"/>
      <c r="C1205" s="80"/>
      <c r="D1205" s="80"/>
      <c r="E1205" s="80"/>
      <c r="F1205" s="80"/>
      <c r="G1205" s="16" t="s">
        <v>1324</v>
      </c>
    </row>
    <row r="1206" spans="1:25" ht="12.6" customHeight="1" x14ac:dyDescent="0.3">
      <c r="A1206" s="70" t="s">
        <v>1826</v>
      </c>
      <c r="B1206" s="101" t="str">
        <f>" 재 료 비  : "&amp;TEXT(I1206,"#,##0"&amp;IF(I1206&lt;&gt;INT(I1206),".###",""))&amp;" / Q  = "&amp;TEXT(C1206,"#,##0.0")&amp;""</f>
        <v xml:space="preserve"> 재 료 비  : 15,363 / Q  = 410.3</v>
      </c>
      <c r="C1206" s="103">
        <f>E1206+D1206+F1206</f>
        <v>410.3</v>
      </c>
      <c r="D1206" s="103">
        <f>IF(H1206=0,0,ROUNDDOWN(J1206*H1206,1))</f>
        <v>0</v>
      </c>
      <c r="E1206" s="103">
        <f>IF(H1206=0,0,ROUNDDOWN(K1206*H1206,1))</f>
        <v>410.3</v>
      </c>
      <c r="F1206" s="103">
        <f>IF(H1206=0,0,ROUNDDOWN(L1206*H1206,1))</f>
        <v>0</v>
      </c>
      <c r="G1206" s="16" t="s">
        <v>1825</v>
      </c>
      <c r="H1206" s="108">
        <v>2.6709401719499998E-2</v>
      </c>
      <c r="I1206" s="109">
        <f>K1206+J1206+L1206</f>
        <v>15363</v>
      </c>
      <c r="K1206" s="39">
        <f>중기목록표!G6</f>
        <v>15363</v>
      </c>
      <c r="M1206" s="20" t="s">
        <v>1824</v>
      </c>
      <c r="N1206" s="20" t="s">
        <v>1345</v>
      </c>
      <c r="X1206" s="110" t="str">
        <f>중기목록표!B6&amp;" / "&amp;중기목록표!C6</f>
        <v xml:space="preserve">굴삭기(0.4m3) / </v>
      </c>
      <c r="Y1206" s="19" t="str">
        <f ca="1">HYPERLINK("#"&amp;중기목록표!J2&amp;"!A"&amp;ROW(중기목록표!A6),"중기    3 →")</f>
        <v>중기    3 →</v>
      </c>
    </row>
    <row r="1207" spans="1:25" ht="12.6" customHeight="1" x14ac:dyDescent="0.3">
      <c r="A1207" s="80"/>
      <c r="B1207" s="80"/>
      <c r="C1207" s="80"/>
      <c r="D1207" s="80"/>
      <c r="E1207" s="80"/>
      <c r="F1207" s="80"/>
      <c r="G1207" s="16" t="s">
        <v>1324</v>
      </c>
    </row>
    <row r="1208" spans="1:25" ht="12.6" customHeight="1" x14ac:dyDescent="0.3">
      <c r="A1208" s="70" t="s">
        <v>1828</v>
      </c>
      <c r="B1208" s="101" t="str">
        <f>" 경    비  : "&amp;TEXT(I1208,"#,##0"&amp;IF(I1208&lt;&gt;INT(I1208),".###",""))&amp;" / Q  = "&amp;TEXT(C1208,"#,##0.0")&amp;""</f>
        <v xml:space="preserve"> 경    비  : 16,378 / Q  = 437.4</v>
      </c>
      <c r="C1208" s="103">
        <f>E1208+D1208+F1208</f>
        <v>437.4</v>
      </c>
      <c r="D1208" s="103">
        <f>IF(H1208=0,0,ROUNDDOWN(J1208*H1208,1))</f>
        <v>0</v>
      </c>
      <c r="E1208" s="103">
        <f>IF(H1208=0,0,ROUNDDOWN(K1208*H1208,1))</f>
        <v>0</v>
      </c>
      <c r="F1208" s="103">
        <f>IF(H1208=0,0,ROUNDDOWN(L1208*H1208,1))</f>
        <v>437.4</v>
      </c>
      <c r="G1208" s="16" t="s">
        <v>1827</v>
      </c>
      <c r="H1208" s="108">
        <v>2.6709401719499998E-2</v>
      </c>
      <c r="I1208" s="109">
        <f>K1208+J1208+L1208</f>
        <v>16378</v>
      </c>
      <c r="L1208" s="39">
        <f>중기목록표!H6</f>
        <v>16378</v>
      </c>
      <c r="M1208" s="20" t="s">
        <v>1824</v>
      </c>
      <c r="N1208" s="20" t="s">
        <v>1345</v>
      </c>
      <c r="X1208" s="110" t="str">
        <f>중기목록표!B6&amp;" / "&amp;중기목록표!C6</f>
        <v xml:space="preserve">굴삭기(0.4m3) / </v>
      </c>
      <c r="Y1208" s="19" t="str">
        <f ca="1">HYPERLINK("#"&amp;중기목록표!J2&amp;"!A"&amp;ROW(중기목록표!A6),"중기    3 →")</f>
        <v>중기    3 →</v>
      </c>
    </row>
    <row r="1209" spans="1:25" ht="12.6" customHeight="1" x14ac:dyDescent="0.3">
      <c r="A1209" s="80"/>
      <c r="B1209" s="80"/>
      <c r="C1209" s="80"/>
      <c r="D1209" s="80"/>
      <c r="E1209" s="80"/>
      <c r="F1209" s="80"/>
      <c r="G1209" s="16" t="s">
        <v>1324</v>
      </c>
    </row>
    <row r="1210" spans="1:25" ht="12.6" customHeight="1" x14ac:dyDescent="0.3">
      <c r="A1210" s="80"/>
      <c r="B1210" s="80"/>
      <c r="C1210" s="80"/>
      <c r="D1210" s="80"/>
      <c r="E1210" s="80"/>
      <c r="F1210" s="80"/>
      <c r="G1210" s="16" t="s">
        <v>1324</v>
      </c>
    </row>
    <row r="1211" spans="1:25" ht="12.6" customHeight="1" x14ac:dyDescent="0.3">
      <c r="A1211" s="80"/>
      <c r="B1211" s="80"/>
      <c r="C1211" s="80"/>
      <c r="D1211" s="80"/>
      <c r="E1211" s="80"/>
      <c r="F1211" s="80"/>
      <c r="G1211" s="16" t="s">
        <v>1324</v>
      </c>
    </row>
    <row r="1212" spans="1:25" ht="12.6" customHeight="1" x14ac:dyDescent="0.3">
      <c r="A1212" s="70"/>
      <c r="B1212" s="79" t="s">
        <v>1344</v>
      </c>
      <c r="C1212" s="104">
        <f>E1212+D1212+F1212</f>
        <v>2335.4</v>
      </c>
      <c r="D1212" s="104">
        <f>SUMIF(N1191:N1211,M1212,D1191:D1211)</f>
        <v>1487.7</v>
      </c>
      <c r="E1212" s="104">
        <f>SUMIF(N1191:N1211,M1212,E1191:E1211)</f>
        <v>410.3</v>
      </c>
      <c r="F1212" s="104">
        <f>SUMIF(N1191:N1211,M1212,F1191:F1211)</f>
        <v>437.4</v>
      </c>
      <c r="G1212" s="16" t="s">
        <v>1343</v>
      </c>
      <c r="M1212" s="20" t="s">
        <v>1345</v>
      </c>
      <c r="N1212" s="20" t="s">
        <v>1129</v>
      </c>
    </row>
    <row r="1213" spans="1:25" ht="12.6" customHeight="1" x14ac:dyDescent="0.3">
      <c r="A1213" s="80"/>
      <c r="B1213" s="80"/>
      <c r="C1213" s="102"/>
      <c r="D1213" s="102"/>
      <c r="E1213" s="102"/>
      <c r="F1213" s="102"/>
    </row>
    <row r="1214" spans="1:25" ht="12.6" customHeight="1" x14ac:dyDescent="0.3">
      <c r="A1214" s="80"/>
      <c r="B1214" s="80"/>
      <c r="C1214" s="80"/>
      <c r="D1214" s="80"/>
      <c r="E1214" s="80"/>
      <c r="F1214" s="80"/>
    </row>
    <row r="1215" spans="1:25" ht="12.6" customHeight="1" x14ac:dyDescent="0.3">
      <c r="A1215" s="80"/>
      <c r="B1215" s="80"/>
      <c r="C1215" s="80"/>
      <c r="D1215" s="80"/>
      <c r="E1215" s="80"/>
      <c r="F1215" s="80"/>
    </row>
    <row r="1216" spans="1:25" ht="12.6" customHeight="1" x14ac:dyDescent="0.3">
      <c r="A1216" s="80"/>
      <c r="B1216" s="80"/>
      <c r="C1216" s="80"/>
      <c r="D1216" s="80"/>
      <c r="E1216" s="80"/>
      <c r="F1216" s="80"/>
    </row>
    <row r="1217" spans="1:14" ht="12.6" customHeight="1" x14ac:dyDescent="0.3">
      <c r="A1217" s="80"/>
      <c r="B1217" s="80"/>
      <c r="C1217" s="80"/>
      <c r="D1217" s="80"/>
      <c r="E1217" s="80"/>
      <c r="F1217" s="80"/>
    </row>
    <row r="1218" spans="1:14" ht="12.6" customHeight="1" x14ac:dyDescent="0.3">
      <c r="A1218" s="80"/>
      <c r="B1218" s="80"/>
      <c r="C1218" s="80"/>
      <c r="D1218" s="80"/>
      <c r="E1218" s="80"/>
      <c r="F1218" s="80"/>
    </row>
    <row r="1219" spans="1:14" ht="12.6" customHeight="1" x14ac:dyDescent="0.3">
      <c r="A1219" s="80"/>
      <c r="B1219" s="80"/>
      <c r="C1219" s="80"/>
      <c r="D1219" s="80"/>
      <c r="E1219" s="80"/>
      <c r="F1219" s="80"/>
    </row>
    <row r="1220" spans="1:14" ht="12.6" customHeight="1" x14ac:dyDescent="0.3">
      <c r="A1220" s="58"/>
      <c r="B1220" s="58"/>
      <c r="C1220" s="58"/>
      <c r="D1220" s="58"/>
      <c r="E1220" s="58"/>
      <c r="F1220" s="58"/>
    </row>
    <row r="1221" spans="1:14" ht="12.6" customHeight="1" x14ac:dyDescent="0.3">
      <c r="A1221" s="141" t="s">
        <v>1171</v>
      </c>
      <c r="B1221" s="142"/>
      <c r="C1221" s="55">
        <f>E1221+D1221+F1221</f>
        <v>2334</v>
      </c>
      <c r="D1221" s="54">
        <f>ROUNDDOWN(SUMIF(N1191:N1212,M1221,D1191:D1212),0)</f>
        <v>1487</v>
      </c>
      <c r="E1221" s="63">
        <f>ROUNDDOWN(SUMIF(N1191:N1212,M1221,E1191:E1212),0)</f>
        <v>410</v>
      </c>
      <c r="F1221" s="55">
        <f>ROUNDDOWN(SUMIF(N1191:N1212,M1221,F1191:F1212),0)</f>
        <v>437</v>
      </c>
      <c r="M1221" s="20" t="s">
        <v>1129</v>
      </c>
      <c r="N1221" s="20" t="s">
        <v>1172</v>
      </c>
    </row>
    <row r="1222" spans="1:14" ht="12.6" customHeight="1" x14ac:dyDescent="0.3">
      <c r="A1222" s="141" t="s">
        <v>1173</v>
      </c>
      <c r="B1222" s="142"/>
      <c r="C1222" s="55">
        <f>E1222+D1222+F1222</f>
        <v>2063</v>
      </c>
      <c r="D1222" s="54">
        <f>ROUNDDOWN(D1221*H1222/100,0)</f>
        <v>1315</v>
      </c>
      <c r="E1222" s="63">
        <f>ROUNDDOWN(E1221*H1222/100,0)</f>
        <v>362</v>
      </c>
      <c r="F1222" s="55">
        <f>ROUNDDOWN(F1221*H1222/100,0)</f>
        <v>386</v>
      </c>
      <c r="H1222" s="67">
        <v>88.5</v>
      </c>
      <c r="M1222" s="20" t="s">
        <v>1172</v>
      </c>
    </row>
    <row r="1223" spans="1:14" ht="12.6" customHeight="1" x14ac:dyDescent="0.3">
      <c r="A1223" s="99" t="s">
        <v>108</v>
      </c>
      <c r="B1223" s="100" t="s">
        <v>108</v>
      </c>
      <c r="C1223" s="147">
        <f>C1291</f>
        <v>31331</v>
      </c>
      <c r="D1223" s="147">
        <f>D1291</f>
        <v>16310</v>
      </c>
      <c r="E1223" s="147">
        <f>E1291</f>
        <v>5385</v>
      </c>
      <c r="F1223" s="147">
        <f>F1291</f>
        <v>9636</v>
      </c>
      <c r="G1223" s="36" t="str">
        <f>HYPERLINK("#G"&amp;ROW(G1280),"_x0005_`BDCOD|D02271_x0007_`POSS|"&amp;ROW(G1225)&amp;"_x0007_`POSE|"&amp;ROW(G1280)&amp;"_x0007_`")</f>
        <v>_x0005_`BDCOD|D02271_x0007_`POSS|1225_x0007_`POSE|1280_x0007_`</v>
      </c>
    </row>
    <row r="1224" spans="1:14" ht="12.6" customHeight="1" x14ac:dyDescent="0.3">
      <c r="A1224" s="85"/>
      <c r="B1224" s="100" t="s">
        <v>243</v>
      </c>
      <c r="C1224" s="137"/>
      <c r="D1224" s="137"/>
      <c r="E1224" s="137"/>
      <c r="F1224" s="137"/>
      <c r="M1224" s="20" t="s">
        <v>242</v>
      </c>
    </row>
    <row r="1225" spans="1:14" ht="12.6" customHeight="1" x14ac:dyDescent="0.3">
      <c r="A1225" s="70"/>
      <c r="B1225" s="79" t="s">
        <v>1830</v>
      </c>
      <c r="C1225" s="102"/>
      <c r="D1225" s="102"/>
      <c r="E1225" s="102"/>
      <c r="F1225" s="102"/>
      <c r="G1225" s="16" t="s">
        <v>1829</v>
      </c>
    </row>
    <row r="1226" spans="1:14" ht="12.6" customHeight="1" x14ac:dyDescent="0.3">
      <c r="A1226" s="80"/>
      <c r="B1226" s="80"/>
      <c r="C1226" s="80"/>
      <c r="D1226" s="80"/>
      <c r="E1226" s="80"/>
      <c r="F1226" s="80"/>
      <c r="G1226" s="16" t="s">
        <v>1324</v>
      </c>
    </row>
    <row r="1227" spans="1:14" ht="12.6" customHeight="1" x14ac:dyDescent="0.3">
      <c r="A1227" s="80"/>
      <c r="B1227" s="80"/>
      <c r="C1227" s="80"/>
      <c r="D1227" s="80"/>
      <c r="E1227" s="80"/>
      <c r="F1227" s="80"/>
      <c r="G1227" s="16" t="s">
        <v>1324</v>
      </c>
    </row>
    <row r="1228" spans="1:14" ht="12.6" customHeight="1" x14ac:dyDescent="0.3">
      <c r="A1228" s="70"/>
      <c r="B1228" s="79" t="s">
        <v>1832</v>
      </c>
      <c r="C1228" s="80"/>
      <c r="D1228" s="80"/>
      <c r="E1228" s="80"/>
      <c r="F1228" s="80"/>
      <c r="G1228" s="16" t="s">
        <v>1831</v>
      </c>
    </row>
    <row r="1229" spans="1:14" ht="12.6" customHeight="1" x14ac:dyDescent="0.3">
      <c r="A1229" s="80"/>
      <c r="B1229" s="80"/>
      <c r="C1229" s="80"/>
      <c r="D1229" s="80"/>
      <c r="E1229" s="80"/>
      <c r="F1229" s="80"/>
      <c r="G1229" s="16" t="s">
        <v>1324</v>
      </c>
    </row>
    <row r="1230" spans="1:14" ht="12.6" customHeight="1" x14ac:dyDescent="0.3">
      <c r="A1230" s="80"/>
      <c r="B1230" s="80"/>
      <c r="C1230" s="80"/>
      <c r="D1230" s="80"/>
      <c r="E1230" s="80"/>
      <c r="F1230" s="80"/>
      <c r="G1230" s="16" t="s">
        <v>1324</v>
      </c>
    </row>
    <row r="1231" spans="1:14" ht="12.6" customHeight="1" x14ac:dyDescent="0.3">
      <c r="A1231" s="70"/>
      <c r="B1231" s="79" t="s">
        <v>1834</v>
      </c>
      <c r="C1231" s="80"/>
      <c r="D1231" s="80"/>
      <c r="E1231" s="80"/>
      <c r="F1231" s="80"/>
      <c r="G1231" s="16" t="s">
        <v>1833</v>
      </c>
    </row>
    <row r="1232" spans="1:14" ht="12.6" customHeight="1" x14ac:dyDescent="0.3">
      <c r="A1232" s="80"/>
      <c r="B1232" s="80"/>
      <c r="C1232" s="80"/>
      <c r="D1232" s="80"/>
      <c r="E1232" s="80"/>
      <c r="F1232" s="80"/>
      <c r="G1232" s="16" t="s">
        <v>1324</v>
      </c>
    </row>
    <row r="1233" spans="1:25" ht="12.6" customHeight="1" x14ac:dyDescent="0.3">
      <c r="A1233" s="80"/>
      <c r="B1233" s="80"/>
      <c r="C1233" s="80"/>
      <c r="D1233" s="80"/>
      <c r="E1233" s="80"/>
      <c r="F1233" s="80"/>
      <c r="G1233" s="16" t="s">
        <v>1324</v>
      </c>
    </row>
    <row r="1234" spans="1:25" ht="12.6" customHeight="1" x14ac:dyDescent="0.3">
      <c r="A1234" s="70" t="s">
        <v>1689</v>
      </c>
      <c r="B1234" s="101" t="str">
        <f>" 노 무 비  :   "&amp;TEXT(I1234,"#,##0"&amp;IF(I1234&lt;&gt;INT(I1234),".###",""))&amp;" / Q = "&amp;TEXT(C1234,"#,##0.0")&amp;""</f>
        <v xml:space="preserve"> 노 무 비  :   55,700 / Q = 15,914.2</v>
      </c>
      <c r="C1234" s="103">
        <f>E1234+D1234+F1234</f>
        <v>15914.2</v>
      </c>
      <c r="D1234" s="103">
        <f>IF(H1234=0,0,ROUNDDOWN(J1234*H1234,1))</f>
        <v>15914.2</v>
      </c>
      <c r="E1234" s="103">
        <f>IF(H1234=0,0,ROUNDDOWN(K1234*H1234,1))</f>
        <v>0</v>
      </c>
      <c r="F1234" s="103">
        <f>IF(H1234=0,0,ROUNDDOWN(L1234*H1234,1))</f>
        <v>0</v>
      </c>
      <c r="G1234" s="16" t="s">
        <v>1688</v>
      </c>
      <c r="H1234" s="108">
        <v>0.2857142857244</v>
      </c>
      <c r="I1234" s="109">
        <f>K1234+J1234+L1234</f>
        <v>55700</v>
      </c>
      <c r="J1234" s="39">
        <f>중기목록표!F10</f>
        <v>55700</v>
      </c>
      <c r="M1234" s="20" t="s">
        <v>1690</v>
      </c>
      <c r="N1234" s="20" t="s">
        <v>1345</v>
      </c>
      <c r="X1234" s="110" t="str">
        <f>중기목록표!B10&amp;" / "&amp;중기목록표!C10</f>
        <v xml:space="preserve">굴삭기+브레카(0.7m3) / </v>
      </c>
      <c r="Y1234" s="19" t="str">
        <f ca="1">HYPERLINK("#"&amp;중기목록표!J2&amp;"!A"&amp;ROW(중기목록표!A10),"중기    7 →")</f>
        <v>중기    7 →</v>
      </c>
    </row>
    <row r="1235" spans="1:25" ht="12.6" customHeight="1" x14ac:dyDescent="0.3">
      <c r="A1235" s="80"/>
      <c r="B1235" s="80"/>
      <c r="C1235" s="80"/>
      <c r="D1235" s="80"/>
      <c r="E1235" s="80"/>
      <c r="F1235" s="80"/>
      <c r="G1235" s="16" t="s">
        <v>1324</v>
      </c>
    </row>
    <row r="1236" spans="1:25" ht="12.6" customHeight="1" x14ac:dyDescent="0.3">
      <c r="A1236" s="80"/>
      <c r="B1236" s="80"/>
      <c r="C1236" s="80"/>
      <c r="D1236" s="80"/>
      <c r="E1236" s="80"/>
      <c r="F1236" s="80"/>
      <c r="G1236" s="16" t="s">
        <v>1324</v>
      </c>
    </row>
    <row r="1237" spans="1:25" ht="12.6" customHeight="1" x14ac:dyDescent="0.3">
      <c r="A1237" s="70" t="s">
        <v>1692</v>
      </c>
      <c r="B1237" s="101" t="str">
        <f>" 재 료 비  :   "&amp;TEXT(I1237,"#,##0"&amp;IF(I1237&lt;&gt;INT(I1237),".###",""))&amp;" / Q = "&amp;TEXT(C1237,"#,##0.0")&amp;""</f>
        <v xml:space="preserve"> 재 료 비  :   17,116 / Q = 4,890.2</v>
      </c>
      <c r="C1237" s="103">
        <f>E1237+D1237+F1237</f>
        <v>4890.2</v>
      </c>
      <c r="D1237" s="103">
        <f>IF(H1237=0,0,ROUNDDOWN(J1237*H1237,1))</f>
        <v>0</v>
      </c>
      <c r="E1237" s="103">
        <f>IF(H1237=0,0,ROUNDDOWN(K1237*H1237,1))</f>
        <v>4890.2</v>
      </c>
      <c r="F1237" s="103">
        <f>IF(H1237=0,0,ROUNDDOWN(L1237*H1237,1))</f>
        <v>0</v>
      </c>
      <c r="G1237" s="16" t="s">
        <v>1691</v>
      </c>
      <c r="H1237" s="108">
        <v>0.2857142857244</v>
      </c>
      <c r="I1237" s="109">
        <f>K1237+J1237+L1237</f>
        <v>17116</v>
      </c>
      <c r="K1237" s="39">
        <f>중기목록표!G10</f>
        <v>17116</v>
      </c>
      <c r="M1237" s="20" t="s">
        <v>1690</v>
      </c>
      <c r="N1237" s="20" t="s">
        <v>1345</v>
      </c>
      <c r="X1237" s="110" t="str">
        <f>중기목록표!B10&amp;" / "&amp;중기목록표!C10</f>
        <v xml:space="preserve">굴삭기+브레카(0.7m3) / </v>
      </c>
      <c r="Y1237" s="19" t="str">
        <f ca="1">HYPERLINK("#"&amp;중기목록표!J2&amp;"!A"&amp;ROW(중기목록표!A10),"중기    7 →")</f>
        <v>중기    7 →</v>
      </c>
    </row>
    <row r="1238" spans="1:25" ht="12.6" customHeight="1" x14ac:dyDescent="0.3">
      <c r="A1238" s="80"/>
      <c r="B1238" s="80"/>
      <c r="C1238" s="80"/>
      <c r="D1238" s="80"/>
      <c r="E1238" s="80"/>
      <c r="F1238" s="80"/>
      <c r="G1238" s="16" t="s">
        <v>1324</v>
      </c>
    </row>
    <row r="1239" spans="1:25" ht="12.6" customHeight="1" x14ac:dyDescent="0.3">
      <c r="A1239" s="80"/>
      <c r="B1239" s="80"/>
      <c r="C1239" s="80"/>
      <c r="D1239" s="80"/>
      <c r="E1239" s="80"/>
      <c r="F1239" s="80"/>
      <c r="G1239" s="16" t="s">
        <v>1324</v>
      </c>
    </row>
    <row r="1240" spans="1:25" ht="12.6" customHeight="1" x14ac:dyDescent="0.3">
      <c r="A1240" s="70" t="s">
        <v>1694</v>
      </c>
      <c r="B1240" s="101" t="str">
        <f>" 경    비  :   "&amp;TEXT(I1240,"#,##0"&amp;IF(I1240&lt;&gt;INT(I1240),".###",""))&amp;" / Q = "&amp;TEXT(C1240,"#,##0.0")&amp;""</f>
        <v xml:space="preserve"> 경    비  :   33,897 / Q = 9,684.8</v>
      </c>
      <c r="C1240" s="103">
        <f>E1240+D1240+F1240</f>
        <v>9684.7999999999993</v>
      </c>
      <c r="D1240" s="103">
        <f>IF(H1240=0,0,ROUNDDOWN(J1240*H1240,1))</f>
        <v>0</v>
      </c>
      <c r="E1240" s="103">
        <f>IF(H1240=0,0,ROUNDDOWN(K1240*H1240,1))</f>
        <v>0</v>
      </c>
      <c r="F1240" s="103">
        <f>IF(H1240=0,0,ROUNDDOWN(L1240*H1240,1))</f>
        <v>9684.7999999999993</v>
      </c>
      <c r="G1240" s="16" t="s">
        <v>1693</v>
      </c>
      <c r="H1240" s="108">
        <v>0.2857142857244</v>
      </c>
      <c r="I1240" s="109">
        <f>K1240+J1240+L1240</f>
        <v>33897</v>
      </c>
      <c r="L1240" s="39">
        <f>중기목록표!H10</f>
        <v>33897</v>
      </c>
      <c r="M1240" s="20" t="s">
        <v>1690</v>
      </c>
      <c r="N1240" s="20" t="s">
        <v>1345</v>
      </c>
      <c r="X1240" s="110" t="str">
        <f>중기목록표!B10&amp;" / "&amp;중기목록표!C10</f>
        <v xml:space="preserve">굴삭기+브레카(0.7m3) / </v>
      </c>
      <c r="Y1240" s="19" t="str">
        <f ca="1">HYPERLINK("#"&amp;중기목록표!J2&amp;"!A"&amp;ROW(중기목록표!A10),"중기    7 →")</f>
        <v>중기    7 →</v>
      </c>
    </row>
    <row r="1241" spans="1:25" ht="12.6" customHeight="1" x14ac:dyDescent="0.3">
      <c r="A1241" s="80"/>
      <c r="B1241" s="80"/>
      <c r="C1241" s="80"/>
      <c r="D1241" s="80"/>
      <c r="E1241" s="80"/>
      <c r="F1241" s="80"/>
      <c r="G1241" s="16" t="s">
        <v>1324</v>
      </c>
    </row>
    <row r="1242" spans="1:25" ht="12.6" customHeight="1" x14ac:dyDescent="0.3">
      <c r="A1242" s="80"/>
      <c r="B1242" s="80"/>
      <c r="C1242" s="80"/>
      <c r="D1242" s="80"/>
      <c r="E1242" s="80"/>
      <c r="F1242" s="80"/>
      <c r="G1242" s="16" t="s">
        <v>1324</v>
      </c>
    </row>
    <row r="1243" spans="1:25" ht="12.6" customHeight="1" x14ac:dyDescent="0.3">
      <c r="A1243" s="80"/>
      <c r="B1243" s="80"/>
      <c r="C1243" s="80"/>
      <c r="D1243" s="80"/>
      <c r="E1243" s="80"/>
      <c r="F1243" s="80"/>
      <c r="G1243" s="16" t="s">
        <v>1324</v>
      </c>
    </row>
    <row r="1244" spans="1:25" ht="12.6" customHeight="1" x14ac:dyDescent="0.3">
      <c r="A1244" s="80"/>
      <c r="B1244" s="80"/>
      <c r="C1244" s="80"/>
      <c r="D1244" s="80"/>
      <c r="E1244" s="80"/>
      <c r="F1244" s="80"/>
      <c r="G1244" s="16" t="s">
        <v>1324</v>
      </c>
    </row>
    <row r="1245" spans="1:25" ht="12.6" customHeight="1" x14ac:dyDescent="0.3">
      <c r="A1245" s="70"/>
      <c r="B1245" s="79" t="s">
        <v>1344</v>
      </c>
      <c r="C1245" s="104">
        <f>E1245+D1245+F1245</f>
        <v>30489.200000000001</v>
      </c>
      <c r="D1245" s="104">
        <f>SUMIF(N1225:N1244,M1245,D1225:D1244)</f>
        <v>15914.2</v>
      </c>
      <c r="E1245" s="104">
        <f>SUMIF(N1225:N1244,M1245,E1225:E1244)</f>
        <v>4890.2</v>
      </c>
      <c r="F1245" s="104">
        <f>SUMIF(N1225:N1244,M1245,F1225:F1244)</f>
        <v>9684.7999999999993</v>
      </c>
      <c r="G1245" s="16" t="s">
        <v>1343</v>
      </c>
      <c r="M1245" s="20" t="s">
        <v>1345</v>
      </c>
      <c r="N1245" s="20" t="s">
        <v>1368</v>
      </c>
    </row>
    <row r="1246" spans="1:25" ht="12.6" customHeight="1" x14ac:dyDescent="0.3">
      <c r="A1246" s="80"/>
      <c r="B1246" s="80"/>
      <c r="C1246" s="102"/>
      <c r="D1246" s="102"/>
      <c r="E1246" s="102"/>
      <c r="F1246" s="102"/>
      <c r="G1246" s="16" t="s">
        <v>1324</v>
      </c>
    </row>
    <row r="1247" spans="1:25" ht="12.6" customHeight="1" x14ac:dyDescent="0.3">
      <c r="A1247" s="80"/>
      <c r="B1247" s="80"/>
      <c r="C1247" s="80"/>
      <c r="D1247" s="80"/>
      <c r="E1247" s="80"/>
      <c r="F1247" s="80"/>
      <c r="G1247" s="16" t="s">
        <v>1324</v>
      </c>
    </row>
    <row r="1248" spans="1:25" ht="12.6" customHeight="1" x14ac:dyDescent="0.3">
      <c r="A1248" s="70"/>
      <c r="B1248" s="79" t="s">
        <v>1697</v>
      </c>
      <c r="C1248" s="80"/>
      <c r="D1248" s="80"/>
      <c r="E1248" s="80"/>
      <c r="F1248" s="80"/>
      <c r="G1248" s="16" t="s">
        <v>1696</v>
      </c>
    </row>
    <row r="1249" spans="1:25" ht="12.6" customHeight="1" x14ac:dyDescent="0.3">
      <c r="A1249" s="80"/>
      <c r="B1249" s="80"/>
      <c r="C1249" s="80"/>
      <c r="D1249" s="80"/>
      <c r="E1249" s="80"/>
      <c r="F1249" s="80"/>
      <c r="G1249" s="16" t="s">
        <v>1324</v>
      </c>
    </row>
    <row r="1250" spans="1:25" ht="12.6" customHeight="1" x14ac:dyDescent="0.3">
      <c r="A1250" s="70"/>
      <c r="B1250" s="79" t="s">
        <v>1784</v>
      </c>
      <c r="C1250" s="80"/>
      <c r="D1250" s="80"/>
      <c r="E1250" s="80"/>
      <c r="F1250" s="80"/>
      <c r="G1250" s="16" t="s">
        <v>1783</v>
      </c>
    </row>
    <row r="1251" spans="1:25" ht="12.6" customHeight="1" x14ac:dyDescent="0.3">
      <c r="A1251" s="80"/>
      <c r="B1251" s="80"/>
      <c r="C1251" s="80"/>
      <c r="D1251" s="80"/>
      <c r="E1251" s="80"/>
      <c r="F1251" s="80"/>
      <c r="G1251" s="16" t="s">
        <v>1324</v>
      </c>
    </row>
    <row r="1252" spans="1:25" ht="12.6" customHeight="1" x14ac:dyDescent="0.3">
      <c r="A1252" s="70" t="s">
        <v>1699</v>
      </c>
      <c r="B1252" s="101" t="str">
        <f>"     S*"&amp;TEXT(I1252,"#,##0"&amp;IF(I1252&lt;&gt;INT(I1252),".###",""))&amp;"/ Q = "&amp;TEXT(C1252,"#,##0.0")&amp;" W/㎥ "</f>
        <v xml:space="preserve">     S*223,000/ Q = 382.2 W/㎥ </v>
      </c>
      <c r="C1252" s="103">
        <f>E1252+D1252+F1252</f>
        <v>382.2</v>
      </c>
      <c r="D1252" s="103">
        <f>IF(H1252=0,0,ROUNDDOWN(J1252*H1252,1))</f>
        <v>0</v>
      </c>
      <c r="E1252" s="103">
        <f>IF(H1252=0,0,ROUNDDOWN(K1252*H1252,1))</f>
        <v>382.2</v>
      </c>
      <c r="F1252" s="103">
        <f>IF(H1252=0,0,ROUNDDOWN(L1252*H1252,1))</f>
        <v>0</v>
      </c>
      <c r="G1252" s="16" t="s">
        <v>1835</v>
      </c>
      <c r="H1252" s="108">
        <v>1.7142857243999999E-3</v>
      </c>
      <c r="I1252" s="109">
        <f>K1252+J1252+L1252</f>
        <v>223000</v>
      </c>
      <c r="K1252" s="39">
        <f>재료비목록표!E23</f>
        <v>223000</v>
      </c>
      <c r="M1252" s="20" t="s">
        <v>1700</v>
      </c>
      <c r="N1252" s="20" t="s">
        <v>1345</v>
      </c>
      <c r="X1252" s="110" t="str">
        <f>재료비목록표!B23&amp;" / "&amp;재료비목록표!C23</f>
        <v>치즐 / 0.7m3</v>
      </c>
      <c r="Y1252" s="19" t="str">
        <f ca="1">HYPERLINK("#"&amp;재료비목록표!G2&amp;"!A"&amp;ROW(재료비목록표!A23),"자재   20 →")</f>
        <v>자재   20 →</v>
      </c>
    </row>
    <row r="1253" spans="1:25" ht="12.6" customHeight="1" x14ac:dyDescent="0.3">
      <c r="A1253" s="80"/>
      <c r="B1253" s="80"/>
      <c r="C1253" s="80"/>
      <c r="D1253" s="80"/>
      <c r="E1253" s="80"/>
      <c r="F1253" s="80"/>
      <c r="G1253" s="16" t="s">
        <v>1324</v>
      </c>
    </row>
    <row r="1254" spans="1:25" ht="12.6" customHeight="1" x14ac:dyDescent="0.3">
      <c r="A1254" s="70"/>
      <c r="B1254" s="79" t="s">
        <v>1344</v>
      </c>
      <c r="C1254" s="104">
        <f>E1254+D1254+F1254</f>
        <v>382.2</v>
      </c>
      <c r="D1254" s="104">
        <f>SUMIF(N1246:N1253,M1254,D1246:D1253)</f>
        <v>0</v>
      </c>
      <c r="E1254" s="104">
        <f>SUMIF(N1246:N1253,M1254,E1246:E1253)</f>
        <v>382.2</v>
      </c>
      <c r="F1254" s="104">
        <f>SUMIF(N1246:N1253,M1254,F1246:F1253)</f>
        <v>0</v>
      </c>
      <c r="G1254" s="16" t="s">
        <v>1343</v>
      </c>
      <c r="M1254" s="20" t="s">
        <v>1345</v>
      </c>
      <c r="N1254" s="20" t="s">
        <v>1368</v>
      </c>
    </row>
    <row r="1255" spans="1:25" ht="12.6" customHeight="1" x14ac:dyDescent="0.3">
      <c r="A1255" s="80"/>
      <c r="B1255" s="80"/>
      <c r="C1255" s="102"/>
      <c r="D1255" s="102"/>
      <c r="E1255" s="102"/>
      <c r="F1255" s="102"/>
      <c r="G1255" s="16" t="s">
        <v>1324</v>
      </c>
    </row>
    <row r="1256" spans="1:25" ht="12.6" customHeight="1" x14ac:dyDescent="0.3">
      <c r="A1256" s="80"/>
      <c r="B1256" s="80"/>
      <c r="C1256" s="80"/>
      <c r="D1256" s="80"/>
      <c r="E1256" s="80"/>
      <c r="F1256" s="80"/>
      <c r="G1256" s="16" t="s">
        <v>1324</v>
      </c>
    </row>
    <row r="1257" spans="1:25" ht="12.6" customHeight="1" x14ac:dyDescent="0.3">
      <c r="A1257" s="70"/>
      <c r="B1257" s="79" t="s">
        <v>1787</v>
      </c>
      <c r="C1257" s="80"/>
      <c r="D1257" s="80"/>
      <c r="E1257" s="80"/>
      <c r="F1257" s="80"/>
      <c r="G1257" s="16" t="s">
        <v>1786</v>
      </c>
    </row>
    <row r="1258" spans="1:25" ht="12.6" customHeight="1" x14ac:dyDescent="0.3">
      <c r="A1258" s="80"/>
      <c r="B1258" s="80"/>
      <c r="C1258" s="80"/>
      <c r="D1258" s="80"/>
      <c r="E1258" s="80"/>
      <c r="F1258" s="80"/>
      <c r="G1258" s="16" t="s">
        <v>1324</v>
      </c>
    </row>
    <row r="1259" spans="1:25" ht="12.6" customHeight="1" x14ac:dyDescent="0.3">
      <c r="A1259" s="80"/>
      <c r="B1259" s="80"/>
      <c r="C1259" s="80"/>
      <c r="D1259" s="80"/>
      <c r="E1259" s="80"/>
      <c r="F1259" s="80"/>
      <c r="G1259" s="16" t="s">
        <v>1324</v>
      </c>
    </row>
    <row r="1260" spans="1:25" ht="12.6" customHeight="1" x14ac:dyDescent="0.3">
      <c r="A1260" s="70"/>
      <c r="B1260" s="79" t="s">
        <v>1789</v>
      </c>
      <c r="C1260" s="80"/>
      <c r="D1260" s="80"/>
      <c r="E1260" s="80"/>
      <c r="F1260" s="80"/>
      <c r="G1260" s="16" t="s">
        <v>1788</v>
      </c>
    </row>
    <row r="1261" spans="1:25" ht="12.6" customHeight="1" x14ac:dyDescent="0.3">
      <c r="A1261" s="80"/>
      <c r="B1261" s="80"/>
      <c r="C1261" s="80"/>
      <c r="D1261" s="80"/>
      <c r="E1261" s="80"/>
      <c r="F1261" s="80"/>
      <c r="G1261" s="16" t="s">
        <v>1324</v>
      </c>
    </row>
    <row r="1262" spans="1:25" ht="12.6" customHeight="1" x14ac:dyDescent="0.3">
      <c r="A1262" s="70"/>
      <c r="B1262" s="79" t="s">
        <v>1791</v>
      </c>
      <c r="C1262" s="80"/>
      <c r="D1262" s="80"/>
      <c r="E1262" s="80"/>
      <c r="F1262" s="80"/>
      <c r="G1262" s="16" t="s">
        <v>1790</v>
      </c>
    </row>
    <row r="1263" spans="1:25" ht="12.6" customHeight="1" x14ac:dyDescent="0.3">
      <c r="A1263" s="80"/>
      <c r="B1263" s="80"/>
      <c r="C1263" s="80"/>
      <c r="D1263" s="80"/>
      <c r="E1263" s="80"/>
      <c r="F1263" s="80"/>
      <c r="G1263" s="16" t="s">
        <v>1324</v>
      </c>
    </row>
    <row r="1264" spans="1:25" ht="12.6" customHeight="1" x14ac:dyDescent="0.3">
      <c r="A1264" s="70"/>
      <c r="B1264" s="79" t="s">
        <v>1837</v>
      </c>
      <c r="C1264" s="80"/>
      <c r="D1264" s="80"/>
      <c r="E1264" s="80"/>
      <c r="F1264" s="80"/>
      <c r="G1264" s="16" t="s">
        <v>1836</v>
      </c>
    </row>
    <row r="1265" spans="1:25" ht="12.6" customHeight="1" x14ac:dyDescent="0.3">
      <c r="A1265" s="80"/>
      <c r="B1265" s="80"/>
      <c r="C1265" s="80"/>
      <c r="D1265" s="80"/>
      <c r="E1265" s="80"/>
      <c r="F1265" s="80"/>
      <c r="G1265" s="16" t="s">
        <v>1324</v>
      </c>
    </row>
    <row r="1266" spans="1:25" ht="12.6" customHeight="1" x14ac:dyDescent="0.3">
      <c r="A1266" s="80"/>
      <c r="B1266" s="80"/>
      <c r="C1266" s="80"/>
      <c r="D1266" s="80"/>
      <c r="E1266" s="80"/>
      <c r="F1266" s="80"/>
      <c r="G1266" s="16" t="s">
        <v>1324</v>
      </c>
    </row>
    <row r="1267" spans="1:25" ht="12.6" customHeight="1" x14ac:dyDescent="0.3">
      <c r="A1267" s="70"/>
      <c r="B1267" s="79" t="s">
        <v>1795</v>
      </c>
      <c r="C1267" s="80"/>
      <c r="D1267" s="80"/>
      <c r="E1267" s="80"/>
      <c r="F1267" s="80"/>
      <c r="G1267" s="16" t="s">
        <v>1794</v>
      </c>
    </row>
    <row r="1268" spans="1:25" ht="12.6" customHeight="1" x14ac:dyDescent="0.3">
      <c r="A1268" s="80"/>
      <c r="B1268" s="80"/>
      <c r="C1268" s="80"/>
      <c r="D1268" s="80"/>
      <c r="E1268" s="80"/>
      <c r="F1268" s="80"/>
      <c r="G1268" s="16" t="s">
        <v>1324</v>
      </c>
    </row>
    <row r="1269" spans="1:25" ht="12.6" customHeight="1" x14ac:dyDescent="0.3">
      <c r="A1269" s="80"/>
      <c r="B1269" s="80"/>
      <c r="C1269" s="80"/>
      <c r="D1269" s="80"/>
      <c r="E1269" s="80"/>
      <c r="F1269" s="80"/>
      <c r="G1269" s="16" t="s">
        <v>1324</v>
      </c>
    </row>
    <row r="1270" spans="1:25" ht="12.6" customHeight="1" x14ac:dyDescent="0.3">
      <c r="A1270" s="70" t="s">
        <v>1394</v>
      </c>
      <c r="B1270" s="101" t="str">
        <f>" 노 무 비  :   "&amp;TEXT(I1270,"#,##0"&amp;IF(I1270&lt;&gt;INT(I1270),".###",""))&amp;" / Q1  = "&amp;TEXT(C1270,"#,##0.0")&amp;""</f>
        <v xml:space="preserve"> 노 무 비  :   55,700 / Q1  = 2,515.8</v>
      </c>
      <c r="C1270" s="103">
        <f>E1270+D1270+F1270</f>
        <v>2515.8000000000002</v>
      </c>
      <c r="D1270" s="103">
        <f>IF(H1270=0,0,ROUNDDOWN(J1270*H1270,1))</f>
        <v>2515.8000000000002</v>
      </c>
      <c r="E1270" s="103">
        <f>IF(H1270=0,0,ROUNDDOWN(K1270*H1270,1))</f>
        <v>0</v>
      </c>
      <c r="F1270" s="103">
        <f>IF(H1270=0,0,ROUNDDOWN(L1270*H1270,1))</f>
        <v>0</v>
      </c>
      <c r="G1270" s="16" t="s">
        <v>1796</v>
      </c>
      <c r="H1270" s="108">
        <v>4.5167118348000003E-2</v>
      </c>
      <c r="I1270" s="109">
        <f>K1270+J1270+L1270</f>
        <v>55700</v>
      </c>
      <c r="J1270" s="39">
        <f>중기목록표!F9</f>
        <v>55700</v>
      </c>
      <c r="M1270" s="20" t="s">
        <v>1395</v>
      </c>
      <c r="N1270" s="20" t="s">
        <v>1345</v>
      </c>
      <c r="X1270" s="110" t="str">
        <f>중기목록표!B9&amp;" / "&amp;중기목록표!C9</f>
        <v>굴삭기(0.7m3) / 0.7㎥,(암석)</v>
      </c>
      <c r="Y1270" s="19" t="str">
        <f ca="1">HYPERLINK("#"&amp;중기목록표!J2&amp;"!A"&amp;ROW(중기목록표!A9),"중기    6 →")</f>
        <v>중기    6 →</v>
      </c>
    </row>
    <row r="1271" spans="1:25" ht="12.6" customHeight="1" x14ac:dyDescent="0.3">
      <c r="A1271" s="80"/>
      <c r="B1271" s="80"/>
      <c r="C1271" s="80"/>
      <c r="D1271" s="80"/>
      <c r="E1271" s="80"/>
      <c r="F1271" s="80"/>
      <c r="G1271" s="16" t="s">
        <v>1324</v>
      </c>
    </row>
    <row r="1272" spans="1:25" ht="12.6" customHeight="1" x14ac:dyDescent="0.3">
      <c r="A1272" s="80"/>
      <c r="B1272" s="80"/>
      <c r="C1272" s="80"/>
      <c r="D1272" s="80"/>
      <c r="E1272" s="80"/>
      <c r="F1272" s="80"/>
      <c r="G1272" s="16" t="s">
        <v>1324</v>
      </c>
    </row>
    <row r="1273" spans="1:25" ht="12.6" customHeight="1" x14ac:dyDescent="0.3">
      <c r="A1273" s="70" t="s">
        <v>1397</v>
      </c>
      <c r="B1273" s="101" t="str">
        <f>" 재 료 비  :   "&amp;TEXT(I1273,"#,##0"&amp;IF(I1273&lt;&gt;INT(I1273),".###",""))&amp;" / Q1  = "&amp;TEXT(C1273,"#,##0.0")&amp;""</f>
        <v xml:space="preserve"> 재 료 비  :   18,001 / Q1  = 813.0</v>
      </c>
      <c r="C1273" s="103">
        <f>E1273+D1273+F1273</f>
        <v>813</v>
      </c>
      <c r="D1273" s="103">
        <f>IF(H1273=0,0,ROUNDDOWN(J1273*H1273,1))</f>
        <v>0</v>
      </c>
      <c r="E1273" s="103">
        <f>IF(H1273=0,0,ROUNDDOWN(K1273*H1273,1))</f>
        <v>813</v>
      </c>
      <c r="F1273" s="103">
        <f>IF(H1273=0,0,ROUNDDOWN(L1273*H1273,1))</f>
        <v>0</v>
      </c>
      <c r="G1273" s="16" t="s">
        <v>1797</v>
      </c>
      <c r="H1273" s="108">
        <v>4.5167118348000003E-2</v>
      </c>
      <c r="I1273" s="109">
        <f>K1273+J1273+L1273</f>
        <v>18001</v>
      </c>
      <c r="K1273" s="39">
        <f>중기목록표!G9</f>
        <v>18001</v>
      </c>
      <c r="M1273" s="20" t="s">
        <v>1395</v>
      </c>
      <c r="N1273" s="20" t="s">
        <v>1345</v>
      </c>
      <c r="X1273" s="110" t="str">
        <f>중기목록표!B9&amp;" / "&amp;중기목록표!C9</f>
        <v>굴삭기(0.7m3) / 0.7㎥,(암석)</v>
      </c>
      <c r="Y1273" s="19" t="str">
        <f ca="1">HYPERLINK("#"&amp;중기목록표!J2&amp;"!A"&amp;ROW(중기목록표!A9),"중기    6 →")</f>
        <v>중기    6 →</v>
      </c>
    </row>
    <row r="1274" spans="1:25" ht="12.6" customHeight="1" x14ac:dyDescent="0.3">
      <c r="A1274" s="80"/>
      <c r="B1274" s="80"/>
      <c r="C1274" s="80"/>
      <c r="D1274" s="80"/>
      <c r="E1274" s="80"/>
      <c r="F1274" s="80"/>
      <c r="G1274" s="16" t="s">
        <v>1324</v>
      </c>
    </row>
    <row r="1275" spans="1:25" ht="12.6" customHeight="1" x14ac:dyDescent="0.3">
      <c r="A1275" s="80"/>
      <c r="B1275" s="80"/>
      <c r="C1275" s="80"/>
      <c r="D1275" s="80"/>
      <c r="E1275" s="80"/>
      <c r="F1275" s="80"/>
      <c r="G1275" s="16" t="s">
        <v>1324</v>
      </c>
    </row>
    <row r="1276" spans="1:25" ht="12.6" customHeight="1" x14ac:dyDescent="0.3">
      <c r="A1276" s="70" t="s">
        <v>1399</v>
      </c>
      <c r="B1276" s="101" t="str">
        <f>" 경    비  :   "&amp;TEXT(I1276,"#,##0"&amp;IF(I1276&lt;&gt;INT(I1276),".###",""))&amp;" / Q1  = "&amp;TEXT(C1276,"#,##0.0")&amp;""</f>
        <v xml:space="preserve"> 경    비  :   26,677 / Q1  = 1,204.9</v>
      </c>
      <c r="C1276" s="103">
        <f>E1276+D1276+F1276</f>
        <v>1204.9000000000001</v>
      </c>
      <c r="D1276" s="103">
        <f>IF(H1276=0,0,ROUNDDOWN(J1276*H1276,1))</f>
        <v>0</v>
      </c>
      <c r="E1276" s="103">
        <f>IF(H1276=0,0,ROUNDDOWN(K1276*H1276,1))</f>
        <v>0</v>
      </c>
      <c r="F1276" s="103">
        <f>IF(H1276=0,0,ROUNDDOWN(L1276*H1276,1))</f>
        <v>1204.9000000000001</v>
      </c>
      <c r="G1276" s="16" t="s">
        <v>1798</v>
      </c>
      <c r="H1276" s="108">
        <v>4.5167118348000003E-2</v>
      </c>
      <c r="I1276" s="109">
        <f>K1276+J1276+L1276</f>
        <v>26677</v>
      </c>
      <c r="L1276" s="39">
        <f>중기목록표!H9</f>
        <v>26677</v>
      </c>
      <c r="M1276" s="20" t="s">
        <v>1395</v>
      </c>
      <c r="N1276" s="20" t="s">
        <v>1345</v>
      </c>
      <c r="X1276" s="110" t="str">
        <f>중기목록표!B9&amp;" / "&amp;중기목록표!C9</f>
        <v>굴삭기(0.7m3) / 0.7㎥,(암석)</v>
      </c>
      <c r="Y1276" s="19" t="str">
        <f ca="1">HYPERLINK("#"&amp;중기목록표!J2&amp;"!A"&amp;ROW(중기목록표!A9),"중기    6 →")</f>
        <v>중기    6 →</v>
      </c>
    </row>
    <row r="1277" spans="1:25" ht="12.6" customHeight="1" x14ac:dyDescent="0.3">
      <c r="A1277" s="80"/>
      <c r="B1277" s="80"/>
      <c r="C1277" s="80"/>
      <c r="D1277" s="80"/>
      <c r="E1277" s="80"/>
      <c r="F1277" s="80"/>
      <c r="G1277" s="16" t="s">
        <v>1324</v>
      </c>
    </row>
    <row r="1278" spans="1:25" ht="12.6" customHeight="1" x14ac:dyDescent="0.3">
      <c r="A1278" s="70"/>
      <c r="B1278" s="79" t="s">
        <v>1344</v>
      </c>
      <c r="C1278" s="104">
        <f>E1278+D1278+F1278</f>
        <v>4533.7000000000007</v>
      </c>
      <c r="D1278" s="104">
        <f>SUMIF(N1255:N1277,M1278,D1255:D1277)</f>
        <v>2515.8000000000002</v>
      </c>
      <c r="E1278" s="104">
        <f>SUMIF(N1255:N1277,M1278,E1255:E1277)</f>
        <v>813</v>
      </c>
      <c r="F1278" s="104">
        <f>SUMIF(N1255:N1277,M1278,F1255:F1277)</f>
        <v>1204.9000000000001</v>
      </c>
      <c r="G1278" s="16" t="s">
        <v>1343</v>
      </c>
      <c r="M1278" s="20" t="s">
        <v>1345</v>
      </c>
      <c r="N1278" s="20" t="s">
        <v>1368</v>
      </c>
    </row>
    <row r="1279" spans="1:25" ht="12.6" customHeight="1" x14ac:dyDescent="0.3">
      <c r="A1279" s="80"/>
      <c r="B1279" s="80"/>
      <c r="C1279" s="102"/>
      <c r="D1279" s="102"/>
      <c r="E1279" s="102"/>
      <c r="F1279" s="102"/>
      <c r="G1279" s="16" t="s">
        <v>1324</v>
      </c>
    </row>
    <row r="1280" spans="1:25" ht="12.6" customHeight="1" x14ac:dyDescent="0.3">
      <c r="A1280" s="70"/>
      <c r="B1280" s="79" t="s">
        <v>1171</v>
      </c>
      <c r="C1280" s="104">
        <f>E1280+D1280+F1280</f>
        <v>35405.1</v>
      </c>
      <c r="D1280" s="104">
        <f>SUMIF(N1225:N1279,M1280,D1225:D1279)</f>
        <v>18430</v>
      </c>
      <c r="E1280" s="104">
        <f>SUMIF(N1225:N1279,M1280,E1225:E1279)</f>
        <v>6085.4</v>
      </c>
      <c r="F1280" s="104">
        <f>SUMIF(N1225:N1279,M1280,F1225:F1279)</f>
        <v>10889.699999999999</v>
      </c>
      <c r="G1280" s="16" t="s">
        <v>1367</v>
      </c>
      <c r="M1280" s="20" t="s">
        <v>1368</v>
      </c>
      <c r="N1280" s="20" t="s">
        <v>1129</v>
      </c>
    </row>
    <row r="1281" spans="1:14" ht="12.6" customHeight="1" x14ac:dyDescent="0.3">
      <c r="A1281" s="80"/>
      <c r="B1281" s="80"/>
      <c r="C1281" s="102"/>
      <c r="D1281" s="102"/>
      <c r="E1281" s="102"/>
      <c r="F1281" s="102"/>
    </row>
    <row r="1282" spans="1:14" ht="12.6" customHeight="1" x14ac:dyDescent="0.3">
      <c r="A1282" s="80"/>
      <c r="B1282" s="80"/>
      <c r="C1282" s="80"/>
      <c r="D1282" s="80"/>
      <c r="E1282" s="80"/>
      <c r="F1282" s="80"/>
    </row>
    <row r="1283" spans="1:14" ht="12.6" customHeight="1" x14ac:dyDescent="0.3">
      <c r="A1283" s="80"/>
      <c r="B1283" s="80"/>
      <c r="C1283" s="80"/>
      <c r="D1283" s="80"/>
      <c r="E1283" s="80"/>
      <c r="F1283" s="80"/>
    </row>
    <row r="1284" spans="1:14" ht="12.6" customHeight="1" x14ac:dyDescent="0.3">
      <c r="A1284" s="80"/>
      <c r="B1284" s="80"/>
      <c r="C1284" s="80"/>
      <c r="D1284" s="80"/>
      <c r="E1284" s="80"/>
      <c r="F1284" s="80"/>
    </row>
    <row r="1285" spans="1:14" ht="12.6" customHeight="1" x14ac:dyDescent="0.3">
      <c r="A1285" s="80"/>
      <c r="B1285" s="80"/>
      <c r="C1285" s="80"/>
      <c r="D1285" s="80"/>
      <c r="E1285" s="80"/>
      <c r="F1285" s="80"/>
    </row>
    <row r="1286" spans="1:14" ht="12.6" customHeight="1" x14ac:dyDescent="0.3">
      <c r="A1286" s="80"/>
      <c r="B1286" s="80"/>
      <c r="C1286" s="80"/>
      <c r="D1286" s="80"/>
      <c r="E1286" s="80"/>
      <c r="F1286" s="80"/>
    </row>
    <row r="1287" spans="1:14" ht="12.6" customHeight="1" x14ac:dyDescent="0.3">
      <c r="A1287" s="80"/>
      <c r="B1287" s="80"/>
      <c r="C1287" s="80"/>
      <c r="D1287" s="80"/>
      <c r="E1287" s="80"/>
      <c r="F1287" s="80"/>
    </row>
    <row r="1288" spans="1:14" ht="12.6" customHeight="1" x14ac:dyDescent="0.3">
      <c r="A1288" s="80"/>
      <c r="B1288" s="80"/>
      <c r="C1288" s="80"/>
      <c r="D1288" s="80"/>
      <c r="E1288" s="80"/>
      <c r="F1288" s="80"/>
    </row>
    <row r="1289" spans="1:14" ht="12.6" customHeight="1" x14ac:dyDescent="0.3">
      <c r="A1289" s="58"/>
      <c r="B1289" s="58"/>
      <c r="C1289" s="58"/>
      <c r="D1289" s="58"/>
      <c r="E1289" s="58"/>
      <c r="F1289" s="58"/>
    </row>
    <row r="1290" spans="1:14" ht="12.6" customHeight="1" x14ac:dyDescent="0.3">
      <c r="A1290" s="141" t="s">
        <v>1171</v>
      </c>
      <c r="B1290" s="142"/>
      <c r="C1290" s="55">
        <f>E1290+D1290+F1290</f>
        <v>35404</v>
      </c>
      <c r="D1290" s="54">
        <f>ROUNDDOWN(SUMIF(N1225:N1280,M1290,D1225:D1280),0)</f>
        <v>18430</v>
      </c>
      <c r="E1290" s="63">
        <f>ROUNDDOWN(SUMIF(N1225:N1280,M1290,E1225:E1280),0)</f>
        <v>6085</v>
      </c>
      <c r="F1290" s="55">
        <f>ROUNDDOWN(SUMIF(N1225:N1280,M1290,F1225:F1280),0)</f>
        <v>10889</v>
      </c>
      <c r="M1290" s="20" t="s">
        <v>1129</v>
      </c>
      <c r="N1290" s="20" t="s">
        <v>1172</v>
      </c>
    </row>
    <row r="1291" spans="1:14" ht="12.6" customHeight="1" x14ac:dyDescent="0.3">
      <c r="A1291" s="141" t="s">
        <v>1173</v>
      </c>
      <c r="B1291" s="142"/>
      <c r="C1291" s="55">
        <f>E1291+D1291+F1291</f>
        <v>31331</v>
      </c>
      <c r="D1291" s="54">
        <f>ROUNDDOWN(D1290*H1291/100,0)</f>
        <v>16310</v>
      </c>
      <c r="E1291" s="63">
        <f>ROUNDDOWN(E1290*H1291/100,0)</f>
        <v>5385</v>
      </c>
      <c r="F1291" s="55">
        <f>ROUNDDOWN(F1290*H1291/100,0)</f>
        <v>9636</v>
      </c>
      <c r="H1291" s="67">
        <v>88.5</v>
      </c>
      <c r="M1291" s="20" t="s">
        <v>1172</v>
      </c>
    </row>
    <row r="1292" spans="1:14" ht="12.6" customHeight="1" x14ac:dyDescent="0.3">
      <c r="A1292" s="99" t="s">
        <v>113</v>
      </c>
      <c r="B1292" s="100" t="s">
        <v>113</v>
      </c>
      <c r="C1292" s="147">
        <f>C1325</f>
        <v>0</v>
      </c>
      <c r="D1292" s="147">
        <f>D1325</f>
        <v>0</v>
      </c>
      <c r="E1292" s="147">
        <f>E1325</f>
        <v>0</v>
      </c>
      <c r="F1292" s="147">
        <f>F1325</f>
        <v>0</v>
      </c>
      <c r="G1292" s="36" t="str">
        <f>HYPERLINK("#G"&amp;ROW(G1295),"_x0005_`BDCOD|D02272_x0007_`POSS|"&amp;ROW(G1294)&amp;"_x0007_`POSE|"&amp;ROW(G1295)&amp;"_x0007_`")</f>
        <v>_x0005_`BDCOD|D02272_x0007_`POSS|1294_x0007_`POSE|1295_x0007_`</v>
      </c>
    </row>
    <row r="1293" spans="1:14" ht="12.6" customHeight="1" x14ac:dyDescent="0.3">
      <c r="A1293" s="85"/>
      <c r="B1293" s="100" t="s">
        <v>246</v>
      </c>
      <c r="C1293" s="137"/>
      <c r="D1293" s="137"/>
      <c r="E1293" s="137"/>
      <c r="F1293" s="137"/>
      <c r="M1293" s="20" t="s">
        <v>245</v>
      </c>
    </row>
    <row r="1294" spans="1:14" ht="12.6" customHeight="1" x14ac:dyDescent="0.3">
      <c r="A1294" s="80"/>
      <c r="B1294" s="80"/>
      <c r="C1294" s="102"/>
      <c r="D1294" s="102"/>
      <c r="E1294" s="102"/>
      <c r="F1294" s="102"/>
      <c r="G1294" s="16" t="s">
        <v>1324</v>
      </c>
    </row>
    <row r="1295" spans="1:14" ht="12.6" customHeight="1" x14ac:dyDescent="0.3">
      <c r="A1295" s="70"/>
      <c r="B1295" s="79" t="s">
        <v>1839</v>
      </c>
      <c r="C1295" s="80"/>
      <c r="D1295" s="80"/>
      <c r="E1295" s="80"/>
      <c r="F1295" s="80"/>
      <c r="G1295" s="16" t="s">
        <v>1838</v>
      </c>
    </row>
    <row r="1296" spans="1:14" ht="12.6" customHeight="1" x14ac:dyDescent="0.3">
      <c r="A1296" s="80"/>
      <c r="B1296" s="80"/>
      <c r="C1296" s="80"/>
      <c r="D1296" s="80"/>
      <c r="E1296" s="80"/>
      <c r="F1296" s="80"/>
    </row>
    <row r="1297" spans="1:6" ht="12.6" customHeight="1" x14ac:dyDescent="0.3">
      <c r="A1297" s="80"/>
      <c r="B1297" s="80"/>
      <c r="C1297" s="80"/>
      <c r="D1297" s="80"/>
      <c r="E1297" s="80"/>
      <c r="F1297" s="80"/>
    </row>
    <row r="1298" spans="1:6" ht="12.6" customHeight="1" x14ac:dyDescent="0.3">
      <c r="A1298" s="80"/>
      <c r="B1298" s="80"/>
      <c r="C1298" s="80"/>
      <c r="D1298" s="80"/>
      <c r="E1298" s="80"/>
      <c r="F1298" s="80"/>
    </row>
    <row r="1299" spans="1:6" ht="12.6" customHeight="1" x14ac:dyDescent="0.3">
      <c r="A1299" s="80"/>
      <c r="B1299" s="80"/>
      <c r="C1299" s="80"/>
      <c r="D1299" s="80"/>
      <c r="E1299" s="80"/>
      <c r="F1299" s="80"/>
    </row>
    <row r="1300" spans="1:6" ht="12.6" customHeight="1" x14ac:dyDescent="0.3">
      <c r="A1300" s="80"/>
      <c r="B1300" s="80"/>
      <c r="C1300" s="80"/>
      <c r="D1300" s="80"/>
      <c r="E1300" s="80"/>
      <c r="F1300" s="80"/>
    </row>
    <row r="1301" spans="1:6" ht="12.6" customHeight="1" x14ac:dyDescent="0.3">
      <c r="A1301" s="80"/>
      <c r="B1301" s="80"/>
      <c r="C1301" s="80"/>
      <c r="D1301" s="80"/>
      <c r="E1301" s="80"/>
      <c r="F1301" s="80"/>
    </row>
    <row r="1302" spans="1:6" ht="12.6" customHeight="1" x14ac:dyDescent="0.3">
      <c r="A1302" s="80"/>
      <c r="B1302" s="80"/>
      <c r="C1302" s="80"/>
      <c r="D1302" s="80"/>
      <c r="E1302" s="80"/>
      <c r="F1302" s="80"/>
    </row>
    <row r="1303" spans="1:6" ht="12.6" customHeight="1" x14ac:dyDescent="0.3">
      <c r="A1303" s="80"/>
      <c r="B1303" s="80"/>
      <c r="C1303" s="80"/>
      <c r="D1303" s="80"/>
      <c r="E1303" s="80"/>
      <c r="F1303" s="80"/>
    </row>
    <row r="1304" spans="1:6" ht="12.6" customHeight="1" x14ac:dyDescent="0.3">
      <c r="A1304" s="80"/>
      <c r="B1304" s="80"/>
      <c r="C1304" s="80"/>
      <c r="D1304" s="80"/>
      <c r="E1304" s="80"/>
      <c r="F1304" s="80"/>
    </row>
    <row r="1305" spans="1:6" ht="12.6" customHeight="1" x14ac:dyDescent="0.3">
      <c r="A1305" s="80"/>
      <c r="B1305" s="80"/>
      <c r="C1305" s="80"/>
      <c r="D1305" s="80"/>
      <c r="E1305" s="80"/>
      <c r="F1305" s="80"/>
    </row>
    <row r="1306" spans="1:6" ht="12.6" customHeight="1" x14ac:dyDescent="0.3">
      <c r="A1306" s="80"/>
      <c r="B1306" s="80"/>
      <c r="C1306" s="80"/>
      <c r="D1306" s="80"/>
      <c r="E1306" s="80"/>
      <c r="F1306" s="80"/>
    </row>
    <row r="1307" spans="1:6" ht="12.6" customHeight="1" x14ac:dyDescent="0.3">
      <c r="A1307" s="80"/>
      <c r="B1307" s="80"/>
      <c r="C1307" s="80"/>
      <c r="D1307" s="80"/>
      <c r="E1307" s="80"/>
      <c r="F1307" s="80"/>
    </row>
    <row r="1308" spans="1:6" ht="12.6" customHeight="1" x14ac:dyDescent="0.3">
      <c r="A1308" s="80"/>
      <c r="B1308" s="80"/>
      <c r="C1308" s="80"/>
      <c r="D1308" s="80"/>
      <c r="E1308" s="80"/>
      <c r="F1308" s="80"/>
    </row>
    <row r="1309" spans="1:6" ht="12.6" customHeight="1" x14ac:dyDescent="0.3">
      <c r="A1309" s="80"/>
      <c r="B1309" s="80"/>
      <c r="C1309" s="80"/>
      <c r="D1309" s="80"/>
      <c r="E1309" s="80"/>
      <c r="F1309" s="80"/>
    </row>
    <row r="1310" spans="1:6" ht="12.6" customHeight="1" x14ac:dyDescent="0.3">
      <c r="A1310" s="80"/>
      <c r="B1310" s="80"/>
      <c r="C1310" s="80"/>
      <c r="D1310" s="80"/>
      <c r="E1310" s="80"/>
      <c r="F1310" s="80"/>
    </row>
    <row r="1311" spans="1:6" ht="12.6" customHeight="1" x14ac:dyDescent="0.3">
      <c r="A1311" s="80"/>
      <c r="B1311" s="80"/>
      <c r="C1311" s="80"/>
      <c r="D1311" s="80"/>
      <c r="E1311" s="80"/>
      <c r="F1311" s="80"/>
    </row>
    <row r="1312" spans="1:6" ht="12.6" customHeight="1" x14ac:dyDescent="0.3">
      <c r="A1312" s="80"/>
      <c r="B1312" s="80"/>
      <c r="C1312" s="80"/>
      <c r="D1312" s="80"/>
      <c r="E1312" s="80"/>
      <c r="F1312" s="80"/>
    </row>
    <row r="1313" spans="1:14" ht="12.6" customHeight="1" x14ac:dyDescent="0.3">
      <c r="A1313" s="80"/>
      <c r="B1313" s="80"/>
      <c r="C1313" s="80"/>
      <c r="D1313" s="80"/>
      <c r="E1313" s="80"/>
      <c r="F1313" s="80"/>
    </row>
    <row r="1314" spans="1:14" ht="12.6" customHeight="1" x14ac:dyDescent="0.3">
      <c r="A1314" s="80"/>
      <c r="B1314" s="80"/>
      <c r="C1314" s="80"/>
      <c r="D1314" s="80"/>
      <c r="E1314" s="80"/>
      <c r="F1314" s="80"/>
    </row>
    <row r="1315" spans="1:14" ht="12.6" customHeight="1" x14ac:dyDescent="0.3">
      <c r="A1315" s="80"/>
      <c r="B1315" s="80"/>
      <c r="C1315" s="80"/>
      <c r="D1315" s="80"/>
      <c r="E1315" s="80"/>
      <c r="F1315" s="80"/>
    </row>
    <row r="1316" spans="1:14" ht="12.6" customHeight="1" x14ac:dyDescent="0.3">
      <c r="A1316" s="80"/>
      <c r="B1316" s="80"/>
      <c r="C1316" s="80"/>
      <c r="D1316" s="80"/>
      <c r="E1316" s="80"/>
      <c r="F1316" s="80"/>
    </row>
    <row r="1317" spans="1:14" ht="12.6" customHeight="1" x14ac:dyDescent="0.3">
      <c r="A1317" s="80"/>
      <c r="B1317" s="80"/>
      <c r="C1317" s="80"/>
      <c r="D1317" s="80"/>
      <c r="E1317" s="80"/>
      <c r="F1317" s="80"/>
    </row>
    <row r="1318" spans="1:14" ht="12.6" customHeight="1" x14ac:dyDescent="0.3">
      <c r="A1318" s="80"/>
      <c r="B1318" s="80"/>
      <c r="C1318" s="80"/>
      <c r="D1318" s="80"/>
      <c r="E1318" s="80"/>
      <c r="F1318" s="80"/>
    </row>
    <row r="1319" spans="1:14" ht="12.6" customHeight="1" x14ac:dyDescent="0.3">
      <c r="A1319" s="80"/>
      <c r="B1319" s="80"/>
      <c r="C1319" s="80"/>
      <c r="D1319" s="80"/>
      <c r="E1319" s="80"/>
      <c r="F1319" s="80"/>
    </row>
    <row r="1320" spans="1:14" ht="12.6" customHeight="1" x14ac:dyDescent="0.3">
      <c r="A1320" s="80"/>
      <c r="B1320" s="80"/>
      <c r="C1320" s="80"/>
      <c r="D1320" s="80"/>
      <c r="E1320" s="80"/>
      <c r="F1320" s="80"/>
    </row>
    <row r="1321" spans="1:14" ht="12.6" customHeight="1" x14ac:dyDescent="0.3">
      <c r="A1321" s="80"/>
      <c r="B1321" s="80"/>
      <c r="C1321" s="80"/>
      <c r="D1321" s="80"/>
      <c r="E1321" s="80"/>
      <c r="F1321" s="80"/>
    </row>
    <row r="1322" spans="1:14" ht="12.6" customHeight="1" x14ac:dyDescent="0.3">
      <c r="A1322" s="80"/>
      <c r="B1322" s="80"/>
      <c r="C1322" s="80"/>
      <c r="D1322" s="80"/>
      <c r="E1322" s="80"/>
      <c r="F1322" s="80"/>
    </row>
    <row r="1323" spans="1:14" ht="12.6" customHeight="1" x14ac:dyDescent="0.3">
      <c r="A1323" s="58"/>
      <c r="B1323" s="58"/>
      <c r="C1323" s="58"/>
      <c r="D1323" s="58"/>
      <c r="E1323" s="58"/>
      <c r="F1323" s="58"/>
    </row>
    <row r="1324" spans="1:14" ht="12.6" customHeight="1" x14ac:dyDescent="0.3">
      <c r="A1324" s="141" t="s">
        <v>1171</v>
      </c>
      <c r="B1324" s="142"/>
      <c r="C1324" s="91">
        <f>E1324+D1324+F1324</f>
        <v>0</v>
      </c>
      <c r="D1324" s="94">
        <f>ROUNDDOWN(SUMIF(N1294:N1295,M1324,D1294:D1295),1)</f>
        <v>0</v>
      </c>
      <c r="E1324" s="95">
        <f>ROUNDDOWN(SUMIF(N1294:N1295,M1324,E1294:E1295),1)</f>
        <v>0</v>
      </c>
      <c r="F1324" s="91">
        <f>ROUNDDOWN(SUMIF(N1294:N1295,M1324,F1294:F1295),1)</f>
        <v>0</v>
      </c>
      <c r="M1324" s="20" t="s">
        <v>1129</v>
      </c>
      <c r="N1324" s="20" t="s">
        <v>1172</v>
      </c>
    </row>
    <row r="1325" spans="1:14" ht="12.6" customHeight="1" x14ac:dyDescent="0.3">
      <c r="A1325" s="141" t="s">
        <v>1173</v>
      </c>
      <c r="B1325" s="142"/>
      <c r="C1325" s="91">
        <f>E1325+D1325+F1325</f>
        <v>0</v>
      </c>
      <c r="D1325" s="94">
        <f>ROUNDDOWN(D1324*H1325/100,1)</f>
        <v>0</v>
      </c>
      <c r="E1325" s="95">
        <f>ROUNDDOWN(E1324*H1325/100,1)</f>
        <v>0</v>
      </c>
      <c r="F1325" s="91">
        <f>ROUNDDOWN(F1324*H1325/100,1)</f>
        <v>0</v>
      </c>
      <c r="H1325" s="67">
        <v>88.5</v>
      </c>
      <c r="M1325" s="20" t="s">
        <v>1172</v>
      </c>
    </row>
    <row r="1326" spans="1:14" ht="12.6" customHeight="1" x14ac:dyDescent="0.3">
      <c r="A1326" s="99" t="s">
        <v>117</v>
      </c>
      <c r="B1326" s="100" t="s">
        <v>117</v>
      </c>
      <c r="C1326" s="147">
        <f>C1394</f>
        <v>1988</v>
      </c>
      <c r="D1326" s="147">
        <f>D1394</f>
        <v>879</v>
      </c>
      <c r="E1326" s="147">
        <f>E1394</f>
        <v>582</v>
      </c>
      <c r="F1326" s="147">
        <f>F1394</f>
        <v>527</v>
      </c>
      <c r="G1326" s="36" t="str">
        <f>HYPERLINK("#G"&amp;ROW(G1359),"_x0005_`BDCOD|D02273_x0007_`POSS|"&amp;ROW(G1328)&amp;"_x0007_`POSE|"&amp;ROW(G1359)&amp;"_x0007_`")</f>
        <v>_x0005_`BDCOD|D02273_x0007_`POSS|1328_x0007_`POSE|1359_x0007_`</v>
      </c>
    </row>
    <row r="1327" spans="1:14" ht="12.6" customHeight="1" x14ac:dyDescent="0.3">
      <c r="A1327" s="85"/>
      <c r="B1327" s="100" t="s">
        <v>250</v>
      </c>
      <c r="C1327" s="137"/>
      <c r="D1327" s="137"/>
      <c r="E1327" s="137"/>
      <c r="F1327" s="137"/>
      <c r="M1327" s="20" t="s">
        <v>249</v>
      </c>
    </row>
    <row r="1328" spans="1:14" ht="12.6" customHeight="1" x14ac:dyDescent="0.3">
      <c r="A1328" s="70"/>
      <c r="B1328" s="79" t="s">
        <v>1841</v>
      </c>
      <c r="C1328" s="102"/>
      <c r="D1328" s="102"/>
      <c r="E1328" s="102"/>
      <c r="F1328" s="102"/>
      <c r="G1328" s="16" t="s">
        <v>1840</v>
      </c>
    </row>
    <row r="1329" spans="1:7" ht="12.6" customHeight="1" x14ac:dyDescent="0.3">
      <c r="A1329" s="80"/>
      <c r="B1329" s="80"/>
      <c r="C1329" s="80"/>
      <c r="D1329" s="80"/>
      <c r="E1329" s="80"/>
      <c r="F1329" s="80"/>
      <c r="G1329" s="16" t="s">
        <v>1324</v>
      </c>
    </row>
    <row r="1330" spans="1:7" ht="12.6" customHeight="1" x14ac:dyDescent="0.3">
      <c r="A1330" s="70"/>
      <c r="B1330" s="79" t="s">
        <v>1843</v>
      </c>
      <c r="C1330" s="80"/>
      <c r="D1330" s="80"/>
      <c r="E1330" s="80"/>
      <c r="F1330" s="80"/>
      <c r="G1330" s="16" t="s">
        <v>1842</v>
      </c>
    </row>
    <row r="1331" spans="1:7" ht="12.6" customHeight="1" x14ac:dyDescent="0.3">
      <c r="A1331" s="80"/>
      <c r="B1331" s="80"/>
      <c r="C1331" s="80"/>
      <c r="D1331" s="80"/>
      <c r="E1331" s="80"/>
      <c r="F1331" s="80"/>
      <c r="G1331" s="16" t="s">
        <v>1324</v>
      </c>
    </row>
    <row r="1332" spans="1:7" ht="12.6" customHeight="1" x14ac:dyDescent="0.3">
      <c r="A1332" s="70"/>
      <c r="B1332" s="79" t="s">
        <v>1845</v>
      </c>
      <c r="C1332" s="80"/>
      <c r="D1332" s="80"/>
      <c r="E1332" s="80"/>
      <c r="F1332" s="80"/>
      <c r="G1332" s="16" t="s">
        <v>1844</v>
      </c>
    </row>
    <row r="1333" spans="1:7" ht="12.6" customHeight="1" x14ac:dyDescent="0.3">
      <c r="A1333" s="80"/>
      <c r="B1333" s="80"/>
      <c r="C1333" s="80"/>
      <c r="D1333" s="80"/>
      <c r="E1333" s="80"/>
      <c r="F1333" s="80"/>
      <c r="G1333" s="16" t="s">
        <v>1324</v>
      </c>
    </row>
    <row r="1334" spans="1:7" ht="12.6" customHeight="1" x14ac:dyDescent="0.3">
      <c r="A1334" s="70"/>
      <c r="B1334" s="79" t="s">
        <v>1847</v>
      </c>
      <c r="C1334" s="80"/>
      <c r="D1334" s="80"/>
      <c r="E1334" s="80"/>
      <c r="F1334" s="80"/>
      <c r="G1334" s="16" t="s">
        <v>1846</v>
      </c>
    </row>
    <row r="1335" spans="1:7" ht="12.6" customHeight="1" x14ac:dyDescent="0.3">
      <c r="A1335" s="80"/>
      <c r="B1335" s="80"/>
      <c r="C1335" s="80"/>
      <c r="D1335" s="80"/>
      <c r="E1335" s="80"/>
      <c r="F1335" s="80"/>
      <c r="G1335" s="16" t="s">
        <v>1324</v>
      </c>
    </row>
    <row r="1336" spans="1:7" ht="12.6" customHeight="1" x14ac:dyDescent="0.3">
      <c r="A1336" s="70"/>
      <c r="B1336" s="79" t="s">
        <v>1849</v>
      </c>
      <c r="C1336" s="80"/>
      <c r="D1336" s="80"/>
      <c r="E1336" s="80"/>
      <c r="F1336" s="80"/>
      <c r="G1336" s="16" t="s">
        <v>1848</v>
      </c>
    </row>
    <row r="1337" spans="1:7" ht="12.6" customHeight="1" x14ac:dyDescent="0.3">
      <c r="A1337" s="80"/>
      <c r="B1337" s="80"/>
      <c r="C1337" s="80"/>
      <c r="D1337" s="80"/>
      <c r="E1337" s="80"/>
      <c r="F1337" s="80"/>
      <c r="G1337" s="16" t="s">
        <v>1324</v>
      </c>
    </row>
    <row r="1338" spans="1:7" ht="12.6" customHeight="1" x14ac:dyDescent="0.3">
      <c r="A1338" s="70"/>
      <c r="B1338" s="79" t="s">
        <v>1851</v>
      </c>
      <c r="C1338" s="80"/>
      <c r="D1338" s="80"/>
      <c r="E1338" s="80"/>
      <c r="F1338" s="80"/>
      <c r="G1338" s="16" t="s">
        <v>1850</v>
      </c>
    </row>
    <row r="1339" spans="1:7" ht="12.6" customHeight="1" x14ac:dyDescent="0.3">
      <c r="A1339" s="80"/>
      <c r="B1339" s="80"/>
      <c r="C1339" s="80"/>
      <c r="D1339" s="80"/>
      <c r="E1339" s="80"/>
      <c r="F1339" s="80"/>
      <c r="G1339" s="16" t="s">
        <v>1324</v>
      </c>
    </row>
    <row r="1340" spans="1:7" ht="12.6" customHeight="1" x14ac:dyDescent="0.3">
      <c r="A1340" s="70"/>
      <c r="B1340" s="79" t="s">
        <v>1853</v>
      </c>
      <c r="C1340" s="80"/>
      <c r="D1340" s="80"/>
      <c r="E1340" s="80"/>
      <c r="F1340" s="80"/>
      <c r="G1340" s="16" t="s">
        <v>1852</v>
      </c>
    </row>
    <row r="1341" spans="1:7" ht="12.6" customHeight="1" x14ac:dyDescent="0.3">
      <c r="A1341" s="80"/>
      <c r="B1341" s="80"/>
      <c r="C1341" s="80"/>
      <c r="D1341" s="80"/>
      <c r="E1341" s="80"/>
      <c r="F1341" s="80"/>
      <c r="G1341" s="16" t="s">
        <v>1324</v>
      </c>
    </row>
    <row r="1342" spans="1:7" ht="12.6" customHeight="1" x14ac:dyDescent="0.3">
      <c r="A1342" s="70"/>
      <c r="B1342" s="79" t="s">
        <v>1855</v>
      </c>
      <c r="C1342" s="80"/>
      <c r="D1342" s="80"/>
      <c r="E1342" s="80"/>
      <c r="F1342" s="80"/>
      <c r="G1342" s="16" t="s">
        <v>1854</v>
      </c>
    </row>
    <row r="1343" spans="1:7" ht="12.6" customHeight="1" x14ac:dyDescent="0.3">
      <c r="A1343" s="80"/>
      <c r="B1343" s="80"/>
      <c r="C1343" s="80"/>
      <c r="D1343" s="80"/>
      <c r="E1343" s="80"/>
      <c r="F1343" s="80"/>
      <c r="G1343" s="16" t="s">
        <v>1324</v>
      </c>
    </row>
    <row r="1344" spans="1:7" ht="12.6" customHeight="1" x14ac:dyDescent="0.3">
      <c r="A1344" s="70"/>
      <c r="B1344" s="79" t="s">
        <v>1857</v>
      </c>
      <c r="C1344" s="80"/>
      <c r="D1344" s="80"/>
      <c r="E1344" s="80"/>
      <c r="F1344" s="80"/>
      <c r="G1344" s="16" t="s">
        <v>1856</v>
      </c>
    </row>
    <row r="1345" spans="1:25" ht="12.6" customHeight="1" x14ac:dyDescent="0.3">
      <c r="A1345" s="80"/>
      <c r="B1345" s="80"/>
      <c r="C1345" s="80"/>
      <c r="D1345" s="80"/>
      <c r="E1345" s="80"/>
      <c r="F1345" s="80"/>
      <c r="G1345" s="16" t="s">
        <v>1324</v>
      </c>
    </row>
    <row r="1346" spans="1:25" ht="12.6" customHeight="1" x14ac:dyDescent="0.3">
      <c r="A1346" s="70"/>
      <c r="B1346" s="79" t="s">
        <v>1859</v>
      </c>
      <c r="C1346" s="80"/>
      <c r="D1346" s="80"/>
      <c r="E1346" s="80"/>
      <c r="F1346" s="80"/>
      <c r="G1346" s="16" t="s">
        <v>1858</v>
      </c>
    </row>
    <row r="1347" spans="1:25" ht="12.6" customHeight="1" x14ac:dyDescent="0.3">
      <c r="A1347" s="80"/>
      <c r="B1347" s="80"/>
      <c r="C1347" s="80"/>
      <c r="D1347" s="80"/>
      <c r="E1347" s="80"/>
      <c r="F1347" s="80"/>
      <c r="G1347" s="16" t="s">
        <v>1324</v>
      </c>
    </row>
    <row r="1348" spans="1:25" ht="12.6" customHeight="1" x14ac:dyDescent="0.3">
      <c r="A1348" s="70"/>
      <c r="B1348" s="79" t="s">
        <v>1861</v>
      </c>
      <c r="C1348" s="80"/>
      <c r="D1348" s="80"/>
      <c r="E1348" s="80"/>
      <c r="F1348" s="80"/>
      <c r="G1348" s="16" t="s">
        <v>1860</v>
      </c>
    </row>
    <row r="1349" spans="1:25" ht="12.6" customHeight="1" x14ac:dyDescent="0.3">
      <c r="A1349" s="80"/>
      <c r="B1349" s="80"/>
      <c r="C1349" s="80"/>
      <c r="D1349" s="80"/>
      <c r="E1349" s="80"/>
      <c r="F1349" s="80"/>
      <c r="G1349" s="16" t="s">
        <v>1324</v>
      </c>
    </row>
    <row r="1350" spans="1:25" ht="12.6" customHeight="1" x14ac:dyDescent="0.3">
      <c r="A1350" s="70"/>
      <c r="B1350" s="79" t="s">
        <v>1863</v>
      </c>
      <c r="C1350" s="80"/>
      <c r="D1350" s="80"/>
      <c r="E1350" s="80"/>
      <c r="F1350" s="80"/>
      <c r="G1350" s="16" t="s">
        <v>1862</v>
      </c>
    </row>
    <row r="1351" spans="1:25" ht="12.6" customHeight="1" x14ac:dyDescent="0.3">
      <c r="A1351" s="80"/>
      <c r="B1351" s="80"/>
      <c r="C1351" s="80"/>
      <c r="D1351" s="80"/>
      <c r="E1351" s="80"/>
      <c r="F1351" s="80"/>
      <c r="G1351" s="16" t="s">
        <v>1324</v>
      </c>
    </row>
    <row r="1352" spans="1:25" ht="12.6" customHeight="1" x14ac:dyDescent="0.3">
      <c r="A1352" s="80"/>
      <c r="B1352" s="80"/>
      <c r="C1352" s="80"/>
      <c r="D1352" s="80"/>
      <c r="E1352" s="80"/>
      <c r="F1352" s="80"/>
      <c r="G1352" s="16" t="s">
        <v>1324</v>
      </c>
    </row>
    <row r="1353" spans="1:25" ht="12.6" customHeight="1" x14ac:dyDescent="0.3">
      <c r="A1353" s="70" t="s">
        <v>1865</v>
      </c>
      <c r="B1353" s="101" t="str">
        <f>" 노 무 비  :   "&amp;TEXT(I1353,"#,##0"&amp;IF(I1353&lt;&gt;INT(I1353),".###",""))&amp;" / Q = "&amp;TEXT(C1353,"#,##0.0")&amp;""</f>
        <v xml:space="preserve"> 노 무 비  :   55,700 / Q = 994.1</v>
      </c>
      <c r="C1353" s="103">
        <f>E1353+D1353+F1353</f>
        <v>994.1</v>
      </c>
      <c r="D1353" s="103">
        <f>IF(H1353=0,0,ROUNDDOWN(J1353*H1353,1))</f>
        <v>994.1</v>
      </c>
      <c r="E1353" s="103">
        <f>IF(H1353=0,0,ROUNDDOWN(K1353*H1353,1))</f>
        <v>0</v>
      </c>
      <c r="F1353" s="103">
        <f>IF(H1353=0,0,ROUNDDOWN(L1353*H1353,1))</f>
        <v>0</v>
      </c>
      <c r="G1353" s="16" t="s">
        <v>1864</v>
      </c>
      <c r="H1353" s="108">
        <v>1.78475816628E-2</v>
      </c>
      <c r="I1353" s="109">
        <f>K1353+J1353+L1353</f>
        <v>55700</v>
      </c>
      <c r="J1353" s="39">
        <f>중기목록표!F4</f>
        <v>55700</v>
      </c>
      <c r="M1353" s="20" t="s">
        <v>1866</v>
      </c>
      <c r="N1353" s="20" t="s">
        <v>1345</v>
      </c>
      <c r="X1353" s="110" t="str">
        <f>중기목록표!B4&amp;" / "&amp;중기목록표!C4</f>
        <v>불도우저19ton / (토사)</v>
      </c>
      <c r="Y1353" s="19" t="str">
        <f ca="1">HYPERLINK("#"&amp;중기목록표!J2&amp;"!A"&amp;ROW(중기목록표!A4),"중기    1 →")</f>
        <v>중기    1 →</v>
      </c>
    </row>
    <row r="1354" spans="1:25" ht="12.6" customHeight="1" x14ac:dyDescent="0.3">
      <c r="A1354" s="80"/>
      <c r="B1354" s="80"/>
      <c r="C1354" s="80"/>
      <c r="D1354" s="80"/>
      <c r="E1354" s="80"/>
      <c r="F1354" s="80"/>
      <c r="G1354" s="16" t="s">
        <v>1324</v>
      </c>
    </row>
    <row r="1355" spans="1:25" ht="12.6" customHeight="1" x14ac:dyDescent="0.3">
      <c r="A1355" s="70" t="s">
        <v>1868</v>
      </c>
      <c r="B1355" s="101" t="str">
        <f>" 재 료 비  :   "&amp;TEXT(I1355,"#,##0"&amp;IF(I1355&lt;&gt;INT(I1355),".###",""))&amp;" / Q = "&amp;TEXT(C1355,"#,##0.0")&amp;""</f>
        <v xml:space="preserve"> 재 료 비  :   36,888 / Q = 658.3</v>
      </c>
      <c r="C1355" s="103">
        <f>E1355+D1355+F1355</f>
        <v>658.3</v>
      </c>
      <c r="D1355" s="103">
        <f>IF(H1355=0,0,ROUNDDOWN(J1355*H1355,1))</f>
        <v>0</v>
      </c>
      <c r="E1355" s="103">
        <f>IF(H1355=0,0,ROUNDDOWN(K1355*H1355,1))</f>
        <v>658.3</v>
      </c>
      <c r="F1355" s="103">
        <f>IF(H1355=0,0,ROUNDDOWN(L1355*H1355,1))</f>
        <v>0</v>
      </c>
      <c r="G1355" s="16" t="s">
        <v>1867</v>
      </c>
      <c r="H1355" s="108">
        <v>1.78475816628E-2</v>
      </c>
      <c r="I1355" s="109">
        <f>K1355+J1355+L1355</f>
        <v>36888</v>
      </c>
      <c r="K1355" s="39">
        <f>중기목록표!G4</f>
        <v>36888</v>
      </c>
      <c r="M1355" s="20" t="s">
        <v>1866</v>
      </c>
      <c r="N1355" s="20" t="s">
        <v>1345</v>
      </c>
      <c r="X1355" s="110" t="str">
        <f>중기목록표!B4&amp;" / "&amp;중기목록표!C4</f>
        <v>불도우저19ton / (토사)</v>
      </c>
      <c r="Y1355" s="19" t="str">
        <f ca="1">HYPERLINK("#"&amp;중기목록표!J2&amp;"!A"&amp;ROW(중기목록표!A4),"중기    1 →")</f>
        <v>중기    1 →</v>
      </c>
    </row>
    <row r="1356" spans="1:25" ht="12.6" customHeight="1" x14ac:dyDescent="0.3">
      <c r="A1356" s="80"/>
      <c r="B1356" s="80"/>
      <c r="C1356" s="80"/>
      <c r="D1356" s="80"/>
      <c r="E1356" s="80"/>
      <c r="F1356" s="80"/>
      <c r="G1356" s="16" t="s">
        <v>1324</v>
      </c>
    </row>
    <row r="1357" spans="1:25" ht="12.6" customHeight="1" x14ac:dyDescent="0.3">
      <c r="A1357" s="70" t="s">
        <v>1870</v>
      </c>
      <c r="B1357" s="101" t="str">
        <f>" 경    비  :   "&amp;TEXT(I1357,"#,##0"&amp;IF(I1357&lt;&gt;INT(I1357),".###",""))&amp;" / Q = "&amp;TEXT(C1357,"#,##0.0")&amp;""</f>
        <v xml:space="preserve"> 경    비  :   33,412 / Q = 596.3</v>
      </c>
      <c r="C1357" s="103">
        <f>E1357+D1357+F1357</f>
        <v>596.29999999999995</v>
      </c>
      <c r="D1357" s="103">
        <f>IF(H1357=0,0,ROUNDDOWN(J1357*H1357,1))</f>
        <v>0</v>
      </c>
      <c r="E1357" s="103">
        <f>IF(H1357=0,0,ROUNDDOWN(K1357*H1357,1))</f>
        <v>0</v>
      </c>
      <c r="F1357" s="103">
        <f>IF(H1357=0,0,ROUNDDOWN(L1357*H1357,1))</f>
        <v>596.29999999999995</v>
      </c>
      <c r="G1357" s="16" t="s">
        <v>1869</v>
      </c>
      <c r="H1357" s="108">
        <v>1.78475816628E-2</v>
      </c>
      <c r="I1357" s="109">
        <f>K1357+J1357+L1357</f>
        <v>33412</v>
      </c>
      <c r="L1357" s="39">
        <f>중기목록표!H4</f>
        <v>33412</v>
      </c>
      <c r="M1357" s="20" t="s">
        <v>1866</v>
      </c>
      <c r="N1357" s="20" t="s">
        <v>1345</v>
      </c>
      <c r="X1357" s="110" t="str">
        <f>중기목록표!B4&amp;" / "&amp;중기목록표!C4</f>
        <v>불도우저19ton / (토사)</v>
      </c>
      <c r="Y1357" s="19" t="str">
        <f ca="1">HYPERLINK("#"&amp;중기목록표!J2&amp;"!A"&amp;ROW(중기목록표!A4),"중기    1 →")</f>
        <v>중기    1 →</v>
      </c>
    </row>
    <row r="1358" spans="1:25" ht="12.6" customHeight="1" x14ac:dyDescent="0.3">
      <c r="A1358" s="80"/>
      <c r="B1358" s="80"/>
      <c r="C1358" s="80"/>
      <c r="D1358" s="80"/>
      <c r="E1358" s="80"/>
      <c r="F1358" s="80"/>
      <c r="G1358" s="16" t="s">
        <v>1324</v>
      </c>
    </row>
    <row r="1359" spans="1:25" ht="12.6" customHeight="1" x14ac:dyDescent="0.3">
      <c r="A1359" s="70"/>
      <c r="B1359" s="79" t="s">
        <v>1344</v>
      </c>
      <c r="C1359" s="104">
        <f>E1359+D1359+F1359</f>
        <v>2248.6999999999998</v>
      </c>
      <c r="D1359" s="104">
        <f>SUMIF(N1328:N1358,M1359,D1328:D1358)</f>
        <v>994.1</v>
      </c>
      <c r="E1359" s="104">
        <f>SUMIF(N1328:N1358,M1359,E1328:E1358)</f>
        <v>658.3</v>
      </c>
      <c r="F1359" s="104">
        <f>SUMIF(N1328:N1358,M1359,F1328:F1358)</f>
        <v>596.29999999999995</v>
      </c>
      <c r="G1359" s="16" t="s">
        <v>1343</v>
      </c>
      <c r="M1359" s="20" t="s">
        <v>1345</v>
      </c>
      <c r="N1359" s="20" t="s">
        <v>1129</v>
      </c>
    </row>
    <row r="1360" spans="1:25" ht="12.6" customHeight="1" x14ac:dyDescent="0.3">
      <c r="A1360" s="80"/>
      <c r="B1360" s="80"/>
      <c r="C1360" s="102"/>
      <c r="D1360" s="102"/>
      <c r="E1360" s="102"/>
      <c r="F1360" s="102"/>
    </row>
    <row r="1361" spans="1:6" ht="12.6" customHeight="1" x14ac:dyDescent="0.3">
      <c r="A1361" s="80"/>
      <c r="B1361" s="80"/>
      <c r="C1361" s="80"/>
      <c r="D1361" s="80"/>
      <c r="E1361" s="80"/>
      <c r="F1361" s="80"/>
    </row>
    <row r="1362" spans="1:6" ht="12.6" customHeight="1" x14ac:dyDescent="0.3">
      <c r="A1362" s="80"/>
      <c r="B1362" s="80"/>
      <c r="C1362" s="80"/>
      <c r="D1362" s="80"/>
      <c r="E1362" s="80"/>
      <c r="F1362" s="80"/>
    </row>
    <row r="1363" spans="1:6" ht="12.6" customHeight="1" x14ac:dyDescent="0.3">
      <c r="A1363" s="80"/>
      <c r="B1363" s="80"/>
      <c r="C1363" s="80"/>
      <c r="D1363" s="80"/>
      <c r="E1363" s="80"/>
      <c r="F1363" s="80"/>
    </row>
    <row r="1364" spans="1:6" ht="12.6" customHeight="1" x14ac:dyDescent="0.3">
      <c r="A1364" s="80"/>
      <c r="B1364" s="80"/>
      <c r="C1364" s="80"/>
      <c r="D1364" s="80"/>
      <c r="E1364" s="80"/>
      <c r="F1364" s="80"/>
    </row>
    <row r="1365" spans="1:6" ht="12.6" customHeight="1" x14ac:dyDescent="0.3">
      <c r="A1365" s="80"/>
      <c r="B1365" s="80"/>
      <c r="C1365" s="80"/>
      <c r="D1365" s="80"/>
      <c r="E1365" s="80"/>
      <c r="F1365" s="80"/>
    </row>
    <row r="1366" spans="1:6" ht="12.6" customHeight="1" x14ac:dyDescent="0.3">
      <c r="A1366" s="80"/>
      <c r="B1366" s="80"/>
      <c r="C1366" s="80"/>
      <c r="D1366" s="80"/>
      <c r="E1366" s="80"/>
      <c r="F1366" s="80"/>
    </row>
    <row r="1367" spans="1:6" ht="12.6" customHeight="1" x14ac:dyDescent="0.3">
      <c r="A1367" s="80"/>
      <c r="B1367" s="80"/>
      <c r="C1367" s="80"/>
      <c r="D1367" s="80"/>
      <c r="E1367" s="80"/>
      <c r="F1367" s="80"/>
    </row>
    <row r="1368" spans="1:6" ht="12.6" customHeight="1" x14ac:dyDescent="0.3">
      <c r="A1368" s="80"/>
      <c r="B1368" s="80"/>
      <c r="C1368" s="80"/>
      <c r="D1368" s="80"/>
      <c r="E1368" s="80"/>
      <c r="F1368" s="80"/>
    </row>
    <row r="1369" spans="1:6" ht="12.6" customHeight="1" x14ac:dyDescent="0.3">
      <c r="A1369" s="80"/>
      <c r="B1369" s="80"/>
      <c r="C1369" s="80"/>
      <c r="D1369" s="80"/>
      <c r="E1369" s="80"/>
      <c r="F1369" s="80"/>
    </row>
    <row r="1370" spans="1:6" ht="12.6" customHeight="1" x14ac:dyDescent="0.3">
      <c r="A1370" s="80"/>
      <c r="B1370" s="80"/>
      <c r="C1370" s="80"/>
      <c r="D1370" s="80"/>
      <c r="E1370" s="80"/>
      <c r="F1370" s="80"/>
    </row>
    <row r="1371" spans="1:6" ht="12.6" customHeight="1" x14ac:dyDescent="0.3">
      <c r="A1371" s="80"/>
      <c r="B1371" s="80"/>
      <c r="C1371" s="80"/>
      <c r="D1371" s="80"/>
      <c r="E1371" s="80"/>
      <c r="F1371" s="80"/>
    </row>
    <row r="1372" spans="1:6" ht="12.6" customHeight="1" x14ac:dyDescent="0.3">
      <c r="A1372" s="80"/>
      <c r="B1372" s="80"/>
      <c r="C1372" s="80"/>
      <c r="D1372" s="80"/>
      <c r="E1372" s="80"/>
      <c r="F1372" s="80"/>
    </row>
    <row r="1373" spans="1:6" ht="12.6" customHeight="1" x14ac:dyDescent="0.3">
      <c r="A1373" s="80"/>
      <c r="B1373" s="80"/>
      <c r="C1373" s="80"/>
      <c r="D1373" s="80"/>
      <c r="E1373" s="80"/>
      <c r="F1373" s="80"/>
    </row>
    <row r="1374" spans="1:6" ht="12.6" customHeight="1" x14ac:dyDescent="0.3">
      <c r="A1374" s="80"/>
      <c r="B1374" s="80"/>
      <c r="C1374" s="80"/>
      <c r="D1374" s="80"/>
      <c r="E1374" s="80"/>
      <c r="F1374" s="80"/>
    </row>
    <row r="1375" spans="1:6" ht="12.6" customHeight="1" x14ac:dyDescent="0.3">
      <c r="A1375" s="80"/>
      <c r="B1375" s="80"/>
      <c r="C1375" s="80"/>
      <c r="D1375" s="80"/>
      <c r="E1375" s="80"/>
      <c r="F1375" s="80"/>
    </row>
    <row r="1376" spans="1:6" ht="12.6" customHeight="1" x14ac:dyDescent="0.3">
      <c r="A1376" s="80"/>
      <c r="B1376" s="80"/>
      <c r="C1376" s="80"/>
      <c r="D1376" s="80"/>
      <c r="E1376" s="80"/>
      <c r="F1376" s="80"/>
    </row>
    <row r="1377" spans="1:6" ht="12.6" customHeight="1" x14ac:dyDescent="0.3">
      <c r="A1377" s="80"/>
      <c r="B1377" s="80"/>
      <c r="C1377" s="80"/>
      <c r="D1377" s="80"/>
      <c r="E1377" s="80"/>
      <c r="F1377" s="80"/>
    </row>
    <row r="1378" spans="1:6" ht="12.6" customHeight="1" x14ac:dyDescent="0.3">
      <c r="A1378" s="80"/>
      <c r="B1378" s="80"/>
      <c r="C1378" s="80"/>
      <c r="D1378" s="80"/>
      <c r="E1378" s="80"/>
      <c r="F1378" s="80"/>
    </row>
    <row r="1379" spans="1:6" ht="12.6" customHeight="1" x14ac:dyDescent="0.3">
      <c r="A1379" s="80"/>
      <c r="B1379" s="80"/>
      <c r="C1379" s="80"/>
      <c r="D1379" s="80"/>
      <c r="E1379" s="80"/>
      <c r="F1379" s="80"/>
    </row>
    <row r="1380" spans="1:6" ht="12.6" customHeight="1" x14ac:dyDescent="0.3">
      <c r="A1380" s="80"/>
      <c r="B1380" s="80"/>
      <c r="C1380" s="80"/>
      <c r="D1380" s="80"/>
      <c r="E1380" s="80"/>
      <c r="F1380" s="80"/>
    </row>
    <row r="1381" spans="1:6" ht="12.6" customHeight="1" x14ac:dyDescent="0.3">
      <c r="A1381" s="80"/>
      <c r="B1381" s="80"/>
      <c r="C1381" s="80"/>
      <c r="D1381" s="80"/>
      <c r="E1381" s="80"/>
      <c r="F1381" s="80"/>
    </row>
    <row r="1382" spans="1:6" ht="12.6" customHeight="1" x14ac:dyDescent="0.3">
      <c r="A1382" s="80"/>
      <c r="B1382" s="80"/>
      <c r="C1382" s="80"/>
      <c r="D1382" s="80"/>
      <c r="E1382" s="80"/>
      <c r="F1382" s="80"/>
    </row>
    <row r="1383" spans="1:6" ht="12.6" customHeight="1" x14ac:dyDescent="0.3">
      <c r="A1383" s="80"/>
      <c r="B1383" s="80"/>
      <c r="C1383" s="80"/>
      <c r="D1383" s="80"/>
      <c r="E1383" s="80"/>
      <c r="F1383" s="80"/>
    </row>
    <row r="1384" spans="1:6" ht="12.6" customHeight="1" x14ac:dyDescent="0.3">
      <c r="A1384" s="80"/>
      <c r="B1384" s="80"/>
      <c r="C1384" s="80"/>
      <c r="D1384" s="80"/>
      <c r="E1384" s="80"/>
      <c r="F1384" s="80"/>
    </row>
    <row r="1385" spans="1:6" ht="12.6" customHeight="1" x14ac:dyDescent="0.3">
      <c r="A1385" s="80"/>
      <c r="B1385" s="80"/>
      <c r="C1385" s="80"/>
      <c r="D1385" s="80"/>
      <c r="E1385" s="80"/>
      <c r="F1385" s="80"/>
    </row>
    <row r="1386" spans="1:6" ht="12.6" customHeight="1" x14ac:dyDescent="0.3">
      <c r="A1386" s="80"/>
      <c r="B1386" s="80"/>
      <c r="C1386" s="80"/>
      <c r="D1386" s="80"/>
      <c r="E1386" s="80"/>
      <c r="F1386" s="80"/>
    </row>
    <row r="1387" spans="1:6" ht="12.6" customHeight="1" x14ac:dyDescent="0.3">
      <c r="A1387" s="80"/>
      <c r="B1387" s="80"/>
      <c r="C1387" s="80"/>
      <c r="D1387" s="80"/>
      <c r="E1387" s="80"/>
      <c r="F1387" s="80"/>
    </row>
    <row r="1388" spans="1:6" ht="12.6" customHeight="1" x14ac:dyDescent="0.3">
      <c r="A1388" s="80"/>
      <c r="B1388" s="80"/>
      <c r="C1388" s="80"/>
      <c r="D1388" s="80"/>
      <c r="E1388" s="80"/>
      <c r="F1388" s="80"/>
    </row>
    <row r="1389" spans="1:6" ht="12.6" customHeight="1" x14ac:dyDescent="0.3">
      <c r="A1389" s="80"/>
      <c r="B1389" s="80"/>
      <c r="C1389" s="80"/>
      <c r="D1389" s="80"/>
      <c r="E1389" s="80"/>
      <c r="F1389" s="80"/>
    </row>
    <row r="1390" spans="1:6" ht="12.6" customHeight="1" x14ac:dyDescent="0.3">
      <c r="A1390" s="80"/>
      <c r="B1390" s="80"/>
      <c r="C1390" s="80"/>
      <c r="D1390" s="80"/>
      <c r="E1390" s="80"/>
      <c r="F1390" s="80"/>
    </row>
    <row r="1391" spans="1:6" ht="12.6" customHeight="1" x14ac:dyDescent="0.3">
      <c r="A1391" s="80"/>
      <c r="B1391" s="80"/>
      <c r="C1391" s="80"/>
      <c r="D1391" s="80"/>
      <c r="E1391" s="80"/>
      <c r="F1391" s="80"/>
    </row>
    <row r="1392" spans="1:6" ht="12.6" customHeight="1" x14ac:dyDescent="0.3">
      <c r="A1392" s="58"/>
      <c r="B1392" s="58"/>
      <c r="C1392" s="58"/>
      <c r="D1392" s="58"/>
      <c r="E1392" s="58"/>
      <c r="F1392" s="58"/>
    </row>
    <row r="1393" spans="1:14" ht="12.6" customHeight="1" x14ac:dyDescent="0.3">
      <c r="A1393" s="141" t="s">
        <v>1171</v>
      </c>
      <c r="B1393" s="142"/>
      <c r="C1393" s="55">
        <f>E1393+D1393+F1393</f>
        <v>2248</v>
      </c>
      <c r="D1393" s="54">
        <f>ROUNDDOWN(SUMIF(N1328:N1359,M1393,D1328:D1359),0)</f>
        <v>994</v>
      </c>
      <c r="E1393" s="63">
        <f>ROUNDDOWN(SUMIF(N1328:N1359,M1393,E1328:E1359),0)</f>
        <v>658</v>
      </c>
      <c r="F1393" s="55">
        <f>ROUNDDOWN(SUMIF(N1328:N1359,M1393,F1328:F1359),0)</f>
        <v>596</v>
      </c>
      <c r="M1393" s="20" t="s">
        <v>1129</v>
      </c>
      <c r="N1393" s="20" t="s">
        <v>1172</v>
      </c>
    </row>
    <row r="1394" spans="1:14" ht="12.6" customHeight="1" x14ac:dyDescent="0.3">
      <c r="A1394" s="141" t="s">
        <v>1173</v>
      </c>
      <c r="B1394" s="142"/>
      <c r="C1394" s="55">
        <f>E1394+D1394+F1394</f>
        <v>1988</v>
      </c>
      <c r="D1394" s="54">
        <f>ROUNDDOWN(D1393*H1394/100,0)</f>
        <v>879</v>
      </c>
      <c r="E1394" s="63">
        <f>ROUNDDOWN(E1393*H1394/100,0)</f>
        <v>582</v>
      </c>
      <c r="F1394" s="55">
        <f>ROUNDDOWN(F1393*H1394/100,0)</f>
        <v>527</v>
      </c>
      <c r="H1394" s="67">
        <v>88.5</v>
      </c>
      <c r="M1394" s="20" t="s">
        <v>1172</v>
      </c>
    </row>
    <row r="1395" spans="1:14" ht="12.6" customHeight="1" x14ac:dyDescent="0.3">
      <c r="A1395" s="99" t="s">
        <v>122</v>
      </c>
      <c r="B1395" s="100" t="s">
        <v>122</v>
      </c>
      <c r="C1395" s="147">
        <f>C1463</f>
        <v>1988</v>
      </c>
      <c r="D1395" s="147">
        <f>D1463</f>
        <v>846</v>
      </c>
      <c r="E1395" s="147">
        <f>E1463</f>
        <v>560</v>
      </c>
      <c r="F1395" s="147">
        <f>F1463</f>
        <v>582</v>
      </c>
      <c r="G1395" s="36" t="str">
        <f>HYPERLINK("#G"&amp;ROW(G1429),"_x0005_`BDCOD|D02274_x0007_`POSS|"&amp;ROW(G1397)&amp;"_x0007_`POSE|"&amp;ROW(G1429)&amp;"_x0007_`")</f>
        <v>_x0005_`BDCOD|D02274_x0007_`POSS|1397_x0007_`POSE|1429_x0007_`</v>
      </c>
    </row>
    <row r="1396" spans="1:14" ht="12.6" customHeight="1" x14ac:dyDescent="0.3">
      <c r="A1396" s="85"/>
      <c r="B1396" s="100" t="s">
        <v>254</v>
      </c>
      <c r="C1396" s="137"/>
      <c r="D1396" s="137"/>
      <c r="E1396" s="137"/>
      <c r="F1396" s="137"/>
      <c r="M1396" s="20" t="s">
        <v>253</v>
      </c>
    </row>
    <row r="1397" spans="1:14" ht="12.6" customHeight="1" x14ac:dyDescent="0.3">
      <c r="A1397" s="70"/>
      <c r="B1397" s="79" t="s">
        <v>1872</v>
      </c>
      <c r="C1397" s="102"/>
      <c r="D1397" s="102"/>
      <c r="E1397" s="102"/>
      <c r="F1397" s="102"/>
      <c r="G1397" s="16" t="s">
        <v>1871</v>
      </c>
    </row>
    <row r="1398" spans="1:14" ht="12.6" customHeight="1" x14ac:dyDescent="0.3">
      <c r="A1398" s="80"/>
      <c r="B1398" s="80"/>
      <c r="C1398" s="80"/>
      <c r="D1398" s="80"/>
      <c r="E1398" s="80"/>
      <c r="F1398" s="80"/>
      <c r="G1398" s="16" t="s">
        <v>1324</v>
      </c>
    </row>
    <row r="1399" spans="1:14" ht="12.6" customHeight="1" x14ac:dyDescent="0.3">
      <c r="A1399" s="70"/>
      <c r="B1399" s="79" t="s">
        <v>1874</v>
      </c>
      <c r="C1399" s="80"/>
      <c r="D1399" s="80"/>
      <c r="E1399" s="80"/>
      <c r="F1399" s="80"/>
      <c r="G1399" s="16" t="s">
        <v>1873</v>
      </c>
    </row>
    <row r="1400" spans="1:14" ht="12.6" customHeight="1" x14ac:dyDescent="0.3">
      <c r="A1400" s="80"/>
      <c r="B1400" s="80"/>
      <c r="C1400" s="80"/>
      <c r="D1400" s="80"/>
      <c r="E1400" s="80"/>
      <c r="F1400" s="80"/>
      <c r="G1400" s="16" t="s">
        <v>1324</v>
      </c>
    </row>
    <row r="1401" spans="1:14" ht="12.6" customHeight="1" x14ac:dyDescent="0.3">
      <c r="A1401" s="70"/>
      <c r="B1401" s="79" t="s">
        <v>1875</v>
      </c>
      <c r="C1401" s="80"/>
      <c r="D1401" s="80"/>
      <c r="E1401" s="80"/>
      <c r="F1401" s="80"/>
      <c r="G1401" s="16" t="s">
        <v>1844</v>
      </c>
    </row>
    <row r="1402" spans="1:14" ht="12.6" customHeight="1" x14ac:dyDescent="0.3">
      <c r="A1402" s="80"/>
      <c r="B1402" s="80"/>
      <c r="C1402" s="80"/>
      <c r="D1402" s="80"/>
      <c r="E1402" s="80"/>
      <c r="F1402" s="80"/>
      <c r="G1402" s="16" t="s">
        <v>1324</v>
      </c>
    </row>
    <row r="1403" spans="1:14" ht="12.6" customHeight="1" x14ac:dyDescent="0.3">
      <c r="A1403" s="70"/>
      <c r="B1403" s="79" t="s">
        <v>1877</v>
      </c>
      <c r="C1403" s="80"/>
      <c r="D1403" s="80"/>
      <c r="E1403" s="80"/>
      <c r="F1403" s="80"/>
      <c r="G1403" s="16" t="s">
        <v>1876</v>
      </c>
    </row>
    <row r="1404" spans="1:14" ht="12.6" customHeight="1" x14ac:dyDescent="0.3">
      <c r="A1404" s="80"/>
      <c r="B1404" s="80"/>
      <c r="C1404" s="80"/>
      <c r="D1404" s="80"/>
      <c r="E1404" s="80"/>
      <c r="F1404" s="80"/>
      <c r="G1404" s="16" t="s">
        <v>1324</v>
      </c>
    </row>
    <row r="1405" spans="1:14" ht="12.6" customHeight="1" x14ac:dyDescent="0.3">
      <c r="A1405" s="70"/>
      <c r="B1405" s="79" t="s">
        <v>1879</v>
      </c>
      <c r="C1405" s="80"/>
      <c r="D1405" s="80"/>
      <c r="E1405" s="80"/>
      <c r="F1405" s="80"/>
      <c r="G1405" s="16" t="s">
        <v>1878</v>
      </c>
    </row>
    <row r="1406" spans="1:14" ht="12.6" customHeight="1" x14ac:dyDescent="0.3">
      <c r="A1406" s="80"/>
      <c r="B1406" s="80"/>
      <c r="C1406" s="80"/>
      <c r="D1406" s="80"/>
      <c r="E1406" s="80"/>
      <c r="F1406" s="80"/>
      <c r="G1406" s="16" t="s">
        <v>1324</v>
      </c>
    </row>
    <row r="1407" spans="1:14" ht="12.6" customHeight="1" x14ac:dyDescent="0.3">
      <c r="A1407" s="70"/>
      <c r="B1407" s="79" t="s">
        <v>1851</v>
      </c>
      <c r="C1407" s="80"/>
      <c r="D1407" s="80"/>
      <c r="E1407" s="80"/>
      <c r="F1407" s="80"/>
      <c r="G1407" s="16" t="s">
        <v>1850</v>
      </c>
    </row>
    <row r="1408" spans="1:14" ht="12.6" customHeight="1" x14ac:dyDescent="0.3">
      <c r="A1408" s="80"/>
      <c r="B1408" s="80"/>
      <c r="C1408" s="80"/>
      <c r="D1408" s="80"/>
      <c r="E1408" s="80"/>
      <c r="F1408" s="80"/>
      <c r="G1408" s="16" t="s">
        <v>1324</v>
      </c>
    </row>
    <row r="1409" spans="1:25" ht="12.6" customHeight="1" x14ac:dyDescent="0.3">
      <c r="A1409" s="70"/>
      <c r="B1409" s="79" t="s">
        <v>1853</v>
      </c>
      <c r="C1409" s="80"/>
      <c r="D1409" s="80"/>
      <c r="E1409" s="80"/>
      <c r="F1409" s="80"/>
      <c r="G1409" s="16" t="s">
        <v>1852</v>
      </c>
    </row>
    <row r="1410" spans="1:25" ht="12.6" customHeight="1" x14ac:dyDescent="0.3">
      <c r="A1410" s="80"/>
      <c r="B1410" s="80"/>
      <c r="C1410" s="80"/>
      <c r="D1410" s="80"/>
      <c r="E1410" s="80"/>
      <c r="F1410" s="80"/>
      <c r="G1410" s="16" t="s">
        <v>1324</v>
      </c>
    </row>
    <row r="1411" spans="1:25" ht="12.6" customHeight="1" x14ac:dyDescent="0.3">
      <c r="A1411" s="70"/>
      <c r="B1411" s="79" t="s">
        <v>1855</v>
      </c>
      <c r="C1411" s="80"/>
      <c r="D1411" s="80"/>
      <c r="E1411" s="80"/>
      <c r="F1411" s="80"/>
      <c r="G1411" s="16" t="s">
        <v>1854</v>
      </c>
    </row>
    <row r="1412" spans="1:25" ht="12.6" customHeight="1" x14ac:dyDescent="0.3">
      <c r="A1412" s="80"/>
      <c r="B1412" s="80"/>
      <c r="C1412" s="80"/>
      <c r="D1412" s="80"/>
      <c r="E1412" s="80"/>
      <c r="F1412" s="80"/>
      <c r="G1412" s="16" t="s">
        <v>1324</v>
      </c>
    </row>
    <row r="1413" spans="1:25" ht="12.6" customHeight="1" x14ac:dyDescent="0.3">
      <c r="A1413" s="70"/>
      <c r="B1413" s="79" t="s">
        <v>1857</v>
      </c>
      <c r="C1413" s="80"/>
      <c r="D1413" s="80"/>
      <c r="E1413" s="80"/>
      <c r="F1413" s="80"/>
      <c r="G1413" s="16" t="s">
        <v>1856</v>
      </c>
    </row>
    <row r="1414" spans="1:25" ht="12.6" customHeight="1" x14ac:dyDescent="0.3">
      <c r="A1414" s="80"/>
      <c r="B1414" s="80"/>
      <c r="C1414" s="80"/>
      <c r="D1414" s="80"/>
      <c r="E1414" s="80"/>
      <c r="F1414" s="80"/>
      <c r="G1414" s="16" t="s">
        <v>1324</v>
      </c>
    </row>
    <row r="1415" spans="1:25" ht="12.6" customHeight="1" x14ac:dyDescent="0.3">
      <c r="A1415" s="70"/>
      <c r="B1415" s="79" t="s">
        <v>1881</v>
      </c>
      <c r="C1415" s="80"/>
      <c r="D1415" s="80"/>
      <c r="E1415" s="80"/>
      <c r="F1415" s="80"/>
      <c r="G1415" s="16" t="s">
        <v>1880</v>
      </c>
    </row>
    <row r="1416" spans="1:25" ht="12.6" customHeight="1" x14ac:dyDescent="0.3">
      <c r="A1416" s="80"/>
      <c r="B1416" s="80"/>
      <c r="C1416" s="80"/>
      <c r="D1416" s="80"/>
      <c r="E1416" s="80"/>
      <c r="F1416" s="80"/>
      <c r="G1416" s="16" t="s">
        <v>1324</v>
      </c>
    </row>
    <row r="1417" spans="1:25" ht="12.6" customHeight="1" x14ac:dyDescent="0.3">
      <c r="A1417" s="70"/>
      <c r="B1417" s="79" t="s">
        <v>1883</v>
      </c>
      <c r="C1417" s="80"/>
      <c r="D1417" s="80"/>
      <c r="E1417" s="80"/>
      <c r="F1417" s="80"/>
      <c r="G1417" s="16" t="s">
        <v>1882</v>
      </c>
    </row>
    <row r="1418" spans="1:25" ht="12.6" customHeight="1" x14ac:dyDescent="0.3">
      <c r="A1418" s="80"/>
      <c r="B1418" s="80"/>
      <c r="C1418" s="80"/>
      <c r="D1418" s="80"/>
      <c r="E1418" s="80"/>
      <c r="F1418" s="80"/>
      <c r="G1418" s="16" t="s">
        <v>1324</v>
      </c>
    </row>
    <row r="1419" spans="1:25" ht="12.6" customHeight="1" x14ac:dyDescent="0.3">
      <c r="A1419" s="70"/>
      <c r="B1419" s="79" t="s">
        <v>1885</v>
      </c>
      <c r="C1419" s="80"/>
      <c r="D1419" s="80"/>
      <c r="E1419" s="80"/>
      <c r="F1419" s="80"/>
      <c r="G1419" s="16" t="s">
        <v>1884</v>
      </c>
    </row>
    <row r="1420" spans="1:25" ht="12.6" customHeight="1" x14ac:dyDescent="0.3">
      <c r="A1420" s="80"/>
      <c r="B1420" s="80"/>
      <c r="C1420" s="80"/>
      <c r="D1420" s="80"/>
      <c r="E1420" s="80"/>
      <c r="F1420" s="80"/>
      <c r="G1420" s="16" t="s">
        <v>1324</v>
      </c>
    </row>
    <row r="1421" spans="1:25" ht="12.6" customHeight="1" x14ac:dyDescent="0.3">
      <c r="A1421" s="80"/>
      <c r="B1421" s="80"/>
      <c r="C1421" s="80"/>
      <c r="D1421" s="80"/>
      <c r="E1421" s="80"/>
      <c r="F1421" s="80"/>
      <c r="G1421" s="16" t="s">
        <v>1324</v>
      </c>
    </row>
    <row r="1422" spans="1:25" ht="12.6" customHeight="1" x14ac:dyDescent="0.3">
      <c r="A1422" s="70" t="s">
        <v>1887</v>
      </c>
      <c r="B1422" s="101" t="str">
        <f>" 노 무 비  :   "&amp;TEXT(I1422,"#,##0"&amp;IF(I1422&lt;&gt;INT(I1422),".###",""))&amp;" / Q = "&amp;TEXT(C1422,"#,##0.0")&amp;""</f>
        <v xml:space="preserve"> 노 무 비  :   55,700 / Q = 957.2</v>
      </c>
      <c r="C1422" s="103">
        <f>E1422+D1422+F1422</f>
        <v>957.2</v>
      </c>
      <c r="D1422" s="103">
        <f>IF(H1422=0,0,ROUNDDOWN(J1422*H1422,1))</f>
        <v>957.2</v>
      </c>
      <c r="E1422" s="103">
        <f>IF(H1422=0,0,ROUNDDOWN(K1422*H1422,1))</f>
        <v>0</v>
      </c>
      <c r="F1422" s="103">
        <f>IF(H1422=0,0,ROUNDDOWN(L1422*H1422,1))</f>
        <v>0</v>
      </c>
      <c r="G1422" s="16" t="s">
        <v>1886</v>
      </c>
      <c r="H1422" s="108">
        <v>1.7185083357800002E-2</v>
      </c>
      <c r="I1422" s="109">
        <f>K1422+J1422+L1422</f>
        <v>55700</v>
      </c>
      <c r="J1422" s="39">
        <f>중기목록표!F20</f>
        <v>55700</v>
      </c>
      <c r="M1422" s="20" t="s">
        <v>1888</v>
      </c>
      <c r="N1422" s="20" t="s">
        <v>1345</v>
      </c>
      <c r="X1422" s="110" t="str">
        <f>중기목록표!B20&amp;" / "&amp;중기목록표!C20</f>
        <v>불도우저19ton / (암)</v>
      </c>
      <c r="Y1422" s="19" t="str">
        <f ca="1">HYPERLINK("#"&amp;중기목록표!J2&amp;"!A"&amp;ROW(중기목록표!A20),"중기   17 →")</f>
        <v>중기   17 →</v>
      </c>
    </row>
    <row r="1423" spans="1:25" ht="12.6" customHeight="1" x14ac:dyDescent="0.3">
      <c r="A1423" s="80"/>
      <c r="B1423" s="80"/>
      <c r="C1423" s="80"/>
      <c r="D1423" s="80"/>
      <c r="E1423" s="80"/>
      <c r="F1423" s="80"/>
      <c r="G1423" s="16" t="s">
        <v>1324</v>
      </c>
    </row>
    <row r="1424" spans="1:25" ht="12.6" customHeight="1" x14ac:dyDescent="0.3">
      <c r="A1424" s="70" t="s">
        <v>1890</v>
      </c>
      <c r="B1424" s="101" t="str">
        <f>" 재 료 비  :   "&amp;TEXT(I1424,"#,##0"&amp;IF(I1424&lt;&gt;INT(I1424),".###",""))&amp;" / Q = "&amp;TEXT(C1424,"#,##0.0")&amp;""</f>
        <v xml:space="preserve"> 재 료 비  :   36,888 / Q = 633.9</v>
      </c>
      <c r="C1424" s="103">
        <f>E1424+D1424+F1424</f>
        <v>633.9</v>
      </c>
      <c r="D1424" s="103">
        <f>IF(H1424=0,0,ROUNDDOWN(J1424*H1424,1))</f>
        <v>0</v>
      </c>
      <c r="E1424" s="103">
        <f>IF(H1424=0,0,ROUNDDOWN(K1424*H1424,1))</f>
        <v>633.9</v>
      </c>
      <c r="F1424" s="103">
        <f>IF(H1424=0,0,ROUNDDOWN(L1424*H1424,1))</f>
        <v>0</v>
      </c>
      <c r="G1424" s="16" t="s">
        <v>1889</v>
      </c>
      <c r="H1424" s="108">
        <v>1.7185083357800002E-2</v>
      </c>
      <c r="I1424" s="109">
        <f>K1424+J1424+L1424</f>
        <v>36888</v>
      </c>
      <c r="K1424" s="39">
        <f>중기목록표!G20</f>
        <v>36888</v>
      </c>
      <c r="M1424" s="20" t="s">
        <v>1888</v>
      </c>
      <c r="N1424" s="20" t="s">
        <v>1345</v>
      </c>
      <c r="X1424" s="110" t="str">
        <f>중기목록표!B20&amp;" / "&amp;중기목록표!C20</f>
        <v>불도우저19ton / (암)</v>
      </c>
      <c r="Y1424" s="19" t="str">
        <f ca="1">HYPERLINK("#"&amp;중기목록표!J2&amp;"!A"&amp;ROW(중기목록표!A20),"중기   17 →")</f>
        <v>중기   17 →</v>
      </c>
    </row>
    <row r="1425" spans="1:25" ht="12.6" customHeight="1" x14ac:dyDescent="0.3">
      <c r="A1425" s="80"/>
      <c r="B1425" s="80"/>
      <c r="C1425" s="80"/>
      <c r="D1425" s="80"/>
      <c r="E1425" s="80"/>
      <c r="F1425" s="80"/>
      <c r="G1425" s="16" t="s">
        <v>1324</v>
      </c>
    </row>
    <row r="1426" spans="1:25" ht="12.6" customHeight="1" x14ac:dyDescent="0.3">
      <c r="A1426" s="70" t="s">
        <v>1892</v>
      </c>
      <c r="B1426" s="101" t="str">
        <f>" 경    비  :   "&amp;TEXT(I1426,"#,##0"&amp;IF(I1426&lt;&gt;INT(I1426),".###",""))&amp;" / Q = "&amp;TEXT(C1426,"#,##0.0")&amp;""</f>
        <v xml:space="preserve"> 경    비  :   38,320 / Q = 658.5</v>
      </c>
      <c r="C1426" s="103">
        <f>E1426+D1426+F1426</f>
        <v>658.5</v>
      </c>
      <c r="D1426" s="103">
        <f>IF(H1426=0,0,ROUNDDOWN(J1426*H1426,1))</f>
        <v>0</v>
      </c>
      <c r="E1426" s="103">
        <f>IF(H1426=0,0,ROUNDDOWN(K1426*H1426,1))</f>
        <v>0</v>
      </c>
      <c r="F1426" s="103">
        <f>IF(H1426=0,0,ROUNDDOWN(L1426*H1426,1))</f>
        <v>658.5</v>
      </c>
      <c r="G1426" s="16" t="s">
        <v>1891</v>
      </c>
      <c r="H1426" s="108">
        <v>1.7185083357800002E-2</v>
      </c>
      <c r="I1426" s="109">
        <f>K1426+J1426+L1426</f>
        <v>38320</v>
      </c>
      <c r="L1426" s="39">
        <f>중기목록표!H20</f>
        <v>38320</v>
      </c>
      <c r="M1426" s="20" t="s">
        <v>1888</v>
      </c>
      <c r="N1426" s="20" t="s">
        <v>1345</v>
      </c>
      <c r="X1426" s="110" t="str">
        <f>중기목록표!B20&amp;" / "&amp;중기목록표!C20</f>
        <v>불도우저19ton / (암)</v>
      </c>
      <c r="Y1426" s="19" t="str">
        <f ca="1">HYPERLINK("#"&amp;중기목록표!J2&amp;"!A"&amp;ROW(중기목록표!A20),"중기   17 →")</f>
        <v>중기   17 →</v>
      </c>
    </row>
    <row r="1427" spans="1:25" ht="12.6" customHeight="1" x14ac:dyDescent="0.3">
      <c r="A1427" s="80"/>
      <c r="B1427" s="80"/>
      <c r="C1427" s="80"/>
      <c r="D1427" s="80"/>
      <c r="E1427" s="80"/>
      <c r="F1427" s="80"/>
      <c r="G1427" s="16" t="s">
        <v>1324</v>
      </c>
    </row>
    <row r="1428" spans="1:25" ht="12.6" customHeight="1" x14ac:dyDescent="0.3">
      <c r="A1428" s="80"/>
      <c r="B1428" s="80"/>
      <c r="C1428" s="80"/>
      <c r="D1428" s="80"/>
      <c r="E1428" s="80"/>
      <c r="F1428" s="80"/>
      <c r="G1428" s="16" t="s">
        <v>1324</v>
      </c>
    </row>
    <row r="1429" spans="1:25" ht="12.6" customHeight="1" x14ac:dyDescent="0.3">
      <c r="A1429" s="70"/>
      <c r="B1429" s="79" t="s">
        <v>1344</v>
      </c>
      <c r="C1429" s="104">
        <f>E1429+D1429+F1429</f>
        <v>2249.6</v>
      </c>
      <c r="D1429" s="104">
        <f>SUMIF(N1397:N1428,M1429,D1397:D1428)</f>
        <v>957.2</v>
      </c>
      <c r="E1429" s="104">
        <f>SUMIF(N1397:N1428,M1429,E1397:E1428)</f>
        <v>633.9</v>
      </c>
      <c r="F1429" s="104">
        <f>SUMIF(N1397:N1428,M1429,F1397:F1428)</f>
        <v>658.5</v>
      </c>
      <c r="G1429" s="16" t="s">
        <v>1343</v>
      </c>
      <c r="M1429" s="20" t="s">
        <v>1345</v>
      </c>
      <c r="N1429" s="20" t="s">
        <v>1129</v>
      </c>
    </row>
    <row r="1430" spans="1:25" ht="12.6" customHeight="1" x14ac:dyDescent="0.3">
      <c r="A1430" s="80"/>
      <c r="B1430" s="80"/>
      <c r="C1430" s="102"/>
      <c r="D1430" s="102"/>
      <c r="E1430" s="102"/>
      <c r="F1430" s="102"/>
    </row>
    <row r="1431" spans="1:25" ht="12.6" customHeight="1" x14ac:dyDescent="0.3">
      <c r="A1431" s="80"/>
      <c r="B1431" s="80"/>
      <c r="C1431" s="80"/>
      <c r="D1431" s="80"/>
      <c r="E1431" s="80"/>
      <c r="F1431" s="80"/>
    </row>
    <row r="1432" spans="1:25" ht="12.6" customHeight="1" x14ac:dyDescent="0.3">
      <c r="A1432" s="80"/>
      <c r="B1432" s="80"/>
      <c r="C1432" s="80"/>
      <c r="D1432" s="80"/>
      <c r="E1432" s="80"/>
      <c r="F1432" s="80"/>
    </row>
    <row r="1433" spans="1:25" ht="12.6" customHeight="1" x14ac:dyDescent="0.3">
      <c r="A1433" s="80"/>
      <c r="B1433" s="80"/>
      <c r="C1433" s="80"/>
      <c r="D1433" s="80"/>
      <c r="E1433" s="80"/>
      <c r="F1433" s="80"/>
    </row>
    <row r="1434" spans="1:25" ht="12.6" customHeight="1" x14ac:dyDescent="0.3">
      <c r="A1434" s="80"/>
      <c r="B1434" s="80"/>
      <c r="C1434" s="80"/>
      <c r="D1434" s="80"/>
      <c r="E1434" s="80"/>
      <c r="F1434" s="80"/>
    </row>
    <row r="1435" spans="1:25" ht="12.6" customHeight="1" x14ac:dyDescent="0.3">
      <c r="A1435" s="80"/>
      <c r="B1435" s="80"/>
      <c r="C1435" s="80"/>
      <c r="D1435" s="80"/>
      <c r="E1435" s="80"/>
      <c r="F1435" s="80"/>
    </row>
    <row r="1436" spans="1:25" ht="12.6" customHeight="1" x14ac:dyDescent="0.3">
      <c r="A1436" s="80"/>
      <c r="B1436" s="80"/>
      <c r="C1436" s="80"/>
      <c r="D1436" s="80"/>
      <c r="E1436" s="80"/>
      <c r="F1436" s="80"/>
    </row>
    <row r="1437" spans="1:25" ht="12.6" customHeight="1" x14ac:dyDescent="0.3">
      <c r="A1437" s="80"/>
      <c r="B1437" s="80"/>
      <c r="C1437" s="80"/>
      <c r="D1437" s="80"/>
      <c r="E1437" s="80"/>
      <c r="F1437" s="80"/>
    </row>
    <row r="1438" spans="1:25" ht="12.6" customHeight="1" x14ac:dyDescent="0.3">
      <c r="A1438" s="80"/>
      <c r="B1438" s="80"/>
      <c r="C1438" s="80"/>
      <c r="D1438" s="80"/>
      <c r="E1438" s="80"/>
      <c r="F1438" s="80"/>
    </row>
    <row r="1439" spans="1:25" ht="12.6" customHeight="1" x14ac:dyDescent="0.3">
      <c r="A1439" s="80"/>
      <c r="B1439" s="80"/>
      <c r="C1439" s="80"/>
      <c r="D1439" s="80"/>
      <c r="E1439" s="80"/>
      <c r="F1439" s="80"/>
    </row>
    <row r="1440" spans="1:25" ht="12.6" customHeight="1" x14ac:dyDescent="0.3">
      <c r="A1440" s="80"/>
      <c r="B1440" s="80"/>
      <c r="C1440" s="80"/>
      <c r="D1440" s="80"/>
      <c r="E1440" s="80"/>
      <c r="F1440" s="80"/>
    </row>
    <row r="1441" spans="1:6" ht="12.6" customHeight="1" x14ac:dyDescent="0.3">
      <c r="A1441" s="80"/>
      <c r="B1441" s="80"/>
      <c r="C1441" s="80"/>
      <c r="D1441" s="80"/>
      <c r="E1441" s="80"/>
      <c r="F1441" s="80"/>
    </row>
    <row r="1442" spans="1:6" ht="12.6" customHeight="1" x14ac:dyDescent="0.3">
      <c r="A1442" s="80"/>
      <c r="B1442" s="80"/>
      <c r="C1442" s="80"/>
      <c r="D1442" s="80"/>
      <c r="E1442" s="80"/>
      <c r="F1442" s="80"/>
    </row>
    <row r="1443" spans="1:6" ht="12.6" customHeight="1" x14ac:dyDescent="0.3">
      <c r="A1443" s="80"/>
      <c r="B1443" s="80"/>
      <c r="C1443" s="80"/>
      <c r="D1443" s="80"/>
      <c r="E1443" s="80"/>
      <c r="F1443" s="80"/>
    </row>
    <row r="1444" spans="1:6" ht="12.6" customHeight="1" x14ac:dyDescent="0.3">
      <c r="A1444" s="80"/>
      <c r="B1444" s="80"/>
      <c r="C1444" s="80"/>
      <c r="D1444" s="80"/>
      <c r="E1444" s="80"/>
      <c r="F1444" s="80"/>
    </row>
    <row r="1445" spans="1:6" ht="12.6" customHeight="1" x14ac:dyDescent="0.3">
      <c r="A1445" s="80"/>
      <c r="B1445" s="80"/>
      <c r="C1445" s="80"/>
      <c r="D1445" s="80"/>
      <c r="E1445" s="80"/>
      <c r="F1445" s="80"/>
    </row>
    <row r="1446" spans="1:6" ht="12.6" customHeight="1" x14ac:dyDescent="0.3">
      <c r="A1446" s="80"/>
      <c r="B1446" s="80"/>
      <c r="C1446" s="80"/>
      <c r="D1446" s="80"/>
      <c r="E1446" s="80"/>
      <c r="F1446" s="80"/>
    </row>
    <row r="1447" spans="1:6" ht="12.6" customHeight="1" x14ac:dyDescent="0.3">
      <c r="A1447" s="80"/>
      <c r="B1447" s="80"/>
      <c r="C1447" s="80"/>
      <c r="D1447" s="80"/>
      <c r="E1447" s="80"/>
      <c r="F1447" s="80"/>
    </row>
    <row r="1448" spans="1:6" ht="12.6" customHeight="1" x14ac:dyDescent="0.3">
      <c r="A1448" s="80"/>
      <c r="B1448" s="80"/>
      <c r="C1448" s="80"/>
      <c r="D1448" s="80"/>
      <c r="E1448" s="80"/>
      <c r="F1448" s="80"/>
    </row>
    <row r="1449" spans="1:6" ht="12.6" customHeight="1" x14ac:dyDescent="0.3">
      <c r="A1449" s="80"/>
      <c r="B1449" s="80"/>
      <c r="C1449" s="80"/>
      <c r="D1449" s="80"/>
      <c r="E1449" s="80"/>
      <c r="F1449" s="80"/>
    </row>
    <row r="1450" spans="1:6" ht="12.6" customHeight="1" x14ac:dyDescent="0.3">
      <c r="A1450" s="80"/>
      <c r="B1450" s="80"/>
      <c r="C1450" s="80"/>
      <c r="D1450" s="80"/>
      <c r="E1450" s="80"/>
      <c r="F1450" s="80"/>
    </row>
    <row r="1451" spans="1:6" ht="12.6" customHeight="1" x14ac:dyDescent="0.3">
      <c r="A1451" s="80"/>
      <c r="B1451" s="80"/>
      <c r="C1451" s="80"/>
      <c r="D1451" s="80"/>
      <c r="E1451" s="80"/>
      <c r="F1451" s="80"/>
    </row>
    <row r="1452" spans="1:6" ht="12.6" customHeight="1" x14ac:dyDescent="0.3">
      <c r="A1452" s="80"/>
      <c r="B1452" s="80"/>
      <c r="C1452" s="80"/>
      <c r="D1452" s="80"/>
      <c r="E1452" s="80"/>
      <c r="F1452" s="80"/>
    </row>
    <row r="1453" spans="1:6" ht="12.6" customHeight="1" x14ac:dyDescent="0.3">
      <c r="A1453" s="80"/>
      <c r="B1453" s="80"/>
      <c r="C1453" s="80"/>
      <c r="D1453" s="80"/>
      <c r="E1453" s="80"/>
      <c r="F1453" s="80"/>
    </row>
    <row r="1454" spans="1:6" ht="12.6" customHeight="1" x14ac:dyDescent="0.3">
      <c r="A1454" s="80"/>
      <c r="B1454" s="80"/>
      <c r="C1454" s="80"/>
      <c r="D1454" s="80"/>
      <c r="E1454" s="80"/>
      <c r="F1454" s="80"/>
    </row>
    <row r="1455" spans="1:6" ht="12.6" customHeight="1" x14ac:dyDescent="0.3">
      <c r="A1455" s="80"/>
      <c r="B1455" s="80"/>
      <c r="C1455" s="80"/>
      <c r="D1455" s="80"/>
      <c r="E1455" s="80"/>
      <c r="F1455" s="80"/>
    </row>
    <row r="1456" spans="1:6" ht="12.6" customHeight="1" x14ac:dyDescent="0.3">
      <c r="A1456" s="80"/>
      <c r="B1456" s="80"/>
      <c r="C1456" s="80"/>
      <c r="D1456" s="80"/>
      <c r="E1456" s="80"/>
      <c r="F1456" s="80"/>
    </row>
    <row r="1457" spans="1:14" ht="12.6" customHeight="1" x14ac:dyDescent="0.3">
      <c r="A1457" s="80"/>
      <c r="B1457" s="80"/>
      <c r="C1457" s="80"/>
      <c r="D1457" s="80"/>
      <c r="E1457" s="80"/>
      <c r="F1457" s="80"/>
    </row>
    <row r="1458" spans="1:14" ht="12.6" customHeight="1" x14ac:dyDescent="0.3">
      <c r="A1458" s="80"/>
      <c r="B1458" s="80"/>
      <c r="C1458" s="80"/>
      <c r="D1458" s="80"/>
      <c r="E1458" s="80"/>
      <c r="F1458" s="80"/>
    </row>
    <row r="1459" spans="1:14" ht="12.6" customHeight="1" x14ac:dyDescent="0.3">
      <c r="A1459" s="80"/>
      <c r="B1459" s="80"/>
      <c r="C1459" s="80"/>
      <c r="D1459" s="80"/>
      <c r="E1459" s="80"/>
      <c r="F1459" s="80"/>
    </row>
    <row r="1460" spans="1:14" ht="12.6" customHeight="1" x14ac:dyDescent="0.3">
      <c r="A1460" s="80"/>
      <c r="B1460" s="80"/>
      <c r="C1460" s="80"/>
      <c r="D1460" s="80"/>
      <c r="E1460" s="80"/>
      <c r="F1460" s="80"/>
    </row>
    <row r="1461" spans="1:14" ht="12.6" customHeight="1" x14ac:dyDescent="0.3">
      <c r="A1461" s="58"/>
      <c r="B1461" s="58"/>
      <c r="C1461" s="58"/>
      <c r="D1461" s="58"/>
      <c r="E1461" s="58"/>
      <c r="F1461" s="58"/>
    </row>
    <row r="1462" spans="1:14" ht="12.6" customHeight="1" x14ac:dyDescent="0.3">
      <c r="A1462" s="141" t="s">
        <v>1171</v>
      </c>
      <c r="B1462" s="142"/>
      <c r="C1462" s="55">
        <f>E1462+D1462+F1462</f>
        <v>2248</v>
      </c>
      <c r="D1462" s="54">
        <f>ROUNDDOWN(SUMIF(N1397:N1429,M1462,D1397:D1429),0)</f>
        <v>957</v>
      </c>
      <c r="E1462" s="63">
        <f>ROUNDDOWN(SUMIF(N1397:N1429,M1462,E1397:E1429),0)</f>
        <v>633</v>
      </c>
      <c r="F1462" s="55">
        <f>ROUNDDOWN(SUMIF(N1397:N1429,M1462,F1397:F1429),0)</f>
        <v>658</v>
      </c>
      <c r="M1462" s="20" t="s">
        <v>1129</v>
      </c>
      <c r="N1462" s="20" t="s">
        <v>1172</v>
      </c>
    </row>
    <row r="1463" spans="1:14" ht="12.6" customHeight="1" x14ac:dyDescent="0.3">
      <c r="A1463" s="141" t="s">
        <v>1173</v>
      </c>
      <c r="B1463" s="142"/>
      <c r="C1463" s="55">
        <f>E1463+D1463+F1463</f>
        <v>1988</v>
      </c>
      <c r="D1463" s="54">
        <f>ROUNDDOWN(D1462*H1463/100,0)</f>
        <v>846</v>
      </c>
      <c r="E1463" s="63">
        <f>ROUNDDOWN(E1462*H1463/100,0)</f>
        <v>560</v>
      </c>
      <c r="F1463" s="55">
        <f>ROUNDDOWN(F1462*H1463/100,0)</f>
        <v>582</v>
      </c>
      <c r="H1463" s="67">
        <v>88.5</v>
      </c>
      <c r="M1463" s="20" t="s">
        <v>1172</v>
      </c>
    </row>
    <row r="1464" spans="1:14" ht="12.6" customHeight="1" x14ac:dyDescent="0.3">
      <c r="A1464" s="99" t="s">
        <v>127</v>
      </c>
      <c r="B1464" s="100" t="s">
        <v>127</v>
      </c>
      <c r="C1464" s="147">
        <f>C1567</f>
        <v>6852</v>
      </c>
      <c r="D1464" s="147">
        <f>D1567</f>
        <v>4294</v>
      </c>
      <c r="E1464" s="147">
        <f>E1567</f>
        <v>932</v>
      </c>
      <c r="F1464" s="147">
        <f>F1567</f>
        <v>1626</v>
      </c>
      <c r="G1464" s="36" t="str">
        <f>HYPERLINK("#G"&amp;ROW(G1543),"_x0005_`BDCOD|D02275_x0007_`POSS|"&amp;ROW(G1466)&amp;"_x0007_`POSE|"&amp;ROW(G1543)&amp;"_x0007_`")</f>
        <v>_x0005_`BDCOD|D02275_x0007_`POSS|1466_x0007_`POSE|1543_x0007_`</v>
      </c>
    </row>
    <row r="1465" spans="1:14" ht="12.6" customHeight="1" x14ac:dyDescent="0.3">
      <c r="A1465" s="85"/>
      <c r="B1465" s="100" t="s">
        <v>258</v>
      </c>
      <c r="C1465" s="137"/>
      <c r="D1465" s="137"/>
      <c r="E1465" s="137"/>
      <c r="F1465" s="137"/>
      <c r="M1465" s="20" t="s">
        <v>257</v>
      </c>
    </row>
    <row r="1466" spans="1:14" ht="12.6" customHeight="1" x14ac:dyDescent="0.3">
      <c r="A1466" s="70"/>
      <c r="B1466" s="79" t="s">
        <v>1894</v>
      </c>
      <c r="C1466" s="102"/>
      <c r="D1466" s="102"/>
      <c r="E1466" s="102"/>
      <c r="F1466" s="102"/>
      <c r="G1466" s="16" t="s">
        <v>1893</v>
      </c>
    </row>
    <row r="1467" spans="1:14" ht="12.6" customHeight="1" x14ac:dyDescent="0.3">
      <c r="A1467" s="80"/>
      <c r="B1467" s="80"/>
      <c r="C1467" s="80"/>
      <c r="D1467" s="80"/>
      <c r="E1467" s="80"/>
      <c r="F1467" s="80"/>
      <c r="G1467" s="16" t="s">
        <v>1324</v>
      </c>
    </row>
    <row r="1468" spans="1:14" ht="12.6" customHeight="1" x14ac:dyDescent="0.3">
      <c r="A1468" s="70"/>
      <c r="B1468" s="79" t="s">
        <v>1896</v>
      </c>
      <c r="C1468" s="80"/>
      <c r="D1468" s="80"/>
      <c r="E1468" s="80"/>
      <c r="F1468" s="80"/>
      <c r="G1468" s="16" t="s">
        <v>1895</v>
      </c>
    </row>
    <row r="1469" spans="1:14" ht="12.6" customHeight="1" x14ac:dyDescent="0.3">
      <c r="A1469" s="80"/>
      <c r="B1469" s="80"/>
      <c r="C1469" s="80"/>
      <c r="D1469" s="80"/>
      <c r="E1469" s="80"/>
      <c r="F1469" s="80"/>
      <c r="G1469" s="16" t="s">
        <v>1324</v>
      </c>
    </row>
    <row r="1470" spans="1:14" ht="12.6" customHeight="1" x14ac:dyDescent="0.3">
      <c r="A1470" s="70"/>
      <c r="B1470" s="79" t="s">
        <v>1898</v>
      </c>
      <c r="C1470" s="80"/>
      <c r="D1470" s="80"/>
      <c r="E1470" s="80"/>
      <c r="F1470" s="80"/>
      <c r="G1470" s="16" t="s">
        <v>1897</v>
      </c>
    </row>
    <row r="1471" spans="1:14" ht="12.6" customHeight="1" x14ac:dyDescent="0.3">
      <c r="A1471" s="80"/>
      <c r="B1471" s="80"/>
      <c r="C1471" s="80"/>
      <c r="D1471" s="80"/>
      <c r="E1471" s="80"/>
      <c r="F1471" s="80"/>
      <c r="G1471" s="16" t="s">
        <v>1324</v>
      </c>
    </row>
    <row r="1472" spans="1:14" ht="12.6" customHeight="1" x14ac:dyDescent="0.3">
      <c r="A1472" s="70"/>
      <c r="B1472" s="79" t="s">
        <v>1900</v>
      </c>
      <c r="C1472" s="80"/>
      <c r="D1472" s="80"/>
      <c r="E1472" s="80"/>
      <c r="F1472" s="80"/>
      <c r="G1472" s="16" t="s">
        <v>1899</v>
      </c>
    </row>
    <row r="1473" spans="1:25" ht="12.6" customHeight="1" x14ac:dyDescent="0.3">
      <c r="A1473" s="80"/>
      <c r="B1473" s="80"/>
      <c r="C1473" s="80"/>
      <c r="D1473" s="80"/>
      <c r="E1473" s="80"/>
      <c r="F1473" s="80"/>
      <c r="G1473" s="16" t="s">
        <v>1324</v>
      </c>
    </row>
    <row r="1474" spans="1:25" ht="12.6" customHeight="1" x14ac:dyDescent="0.3">
      <c r="A1474" s="70"/>
      <c r="B1474" s="79" t="s">
        <v>1902</v>
      </c>
      <c r="C1474" s="80"/>
      <c r="D1474" s="80"/>
      <c r="E1474" s="80"/>
      <c r="F1474" s="80"/>
      <c r="G1474" s="16" t="s">
        <v>1901</v>
      </c>
    </row>
    <row r="1475" spans="1:25" ht="12.6" customHeight="1" x14ac:dyDescent="0.3">
      <c r="A1475" s="80"/>
      <c r="B1475" s="80"/>
      <c r="C1475" s="80"/>
      <c r="D1475" s="80"/>
      <c r="E1475" s="80"/>
      <c r="F1475" s="80"/>
      <c r="G1475" s="16" t="s">
        <v>1324</v>
      </c>
    </row>
    <row r="1476" spans="1:25" ht="12.6" customHeight="1" x14ac:dyDescent="0.3">
      <c r="A1476" s="70"/>
      <c r="B1476" s="79" t="s">
        <v>1904</v>
      </c>
      <c r="C1476" s="80"/>
      <c r="D1476" s="80"/>
      <c r="E1476" s="80"/>
      <c r="F1476" s="80"/>
      <c r="G1476" s="16" t="s">
        <v>1903</v>
      </c>
    </row>
    <row r="1477" spans="1:25" ht="12.6" customHeight="1" x14ac:dyDescent="0.3">
      <c r="A1477" s="80"/>
      <c r="B1477" s="80"/>
      <c r="C1477" s="80"/>
      <c r="D1477" s="80"/>
      <c r="E1477" s="80"/>
      <c r="F1477" s="80"/>
      <c r="G1477" s="16" t="s">
        <v>1324</v>
      </c>
    </row>
    <row r="1478" spans="1:25" ht="12.6" customHeight="1" x14ac:dyDescent="0.3">
      <c r="A1478" s="70"/>
      <c r="B1478" s="79" t="s">
        <v>1906</v>
      </c>
      <c r="C1478" s="80"/>
      <c r="D1478" s="80"/>
      <c r="E1478" s="80"/>
      <c r="F1478" s="80"/>
      <c r="G1478" s="16" t="s">
        <v>1905</v>
      </c>
    </row>
    <row r="1479" spans="1:25" ht="12.6" customHeight="1" x14ac:dyDescent="0.3">
      <c r="A1479" s="80"/>
      <c r="B1479" s="80"/>
      <c r="C1479" s="80"/>
      <c r="D1479" s="80"/>
      <c r="E1479" s="80"/>
      <c r="F1479" s="80"/>
      <c r="G1479" s="16" t="s">
        <v>1324</v>
      </c>
    </row>
    <row r="1480" spans="1:25" ht="12.6" customHeight="1" x14ac:dyDescent="0.3">
      <c r="A1480" s="70"/>
      <c r="B1480" s="79" t="s">
        <v>1908</v>
      </c>
      <c r="C1480" s="80"/>
      <c r="D1480" s="80"/>
      <c r="E1480" s="80"/>
      <c r="F1480" s="80"/>
      <c r="G1480" s="16" t="s">
        <v>1907</v>
      </c>
    </row>
    <row r="1481" spans="1:25" ht="12.6" customHeight="1" x14ac:dyDescent="0.3">
      <c r="A1481" s="80"/>
      <c r="B1481" s="80"/>
      <c r="C1481" s="80"/>
      <c r="D1481" s="80"/>
      <c r="E1481" s="80"/>
      <c r="F1481" s="80"/>
      <c r="G1481" s="16" t="s">
        <v>1324</v>
      </c>
    </row>
    <row r="1482" spans="1:25" ht="12.6" customHeight="1" x14ac:dyDescent="0.3">
      <c r="A1482" s="70" t="s">
        <v>1524</v>
      </c>
      <c r="B1482" s="101" t="str">
        <f>" 노 무 비  :   "&amp;TEXT(I1482,"#,##0"&amp;IF(I1482&lt;&gt;INT(I1482),".###",""))&amp;" / Q  = "&amp;TEXT(C1482,"#,##0.0")&amp;""</f>
        <v xml:space="preserve"> 노 무 비  :   55,700 / Q  = 1,754.3</v>
      </c>
      <c r="C1482" s="103">
        <f>E1482+D1482+F1482</f>
        <v>1754.3</v>
      </c>
      <c r="D1482" s="103">
        <f>IF(H1482=0,0,ROUNDDOWN(J1482*H1482,1))</f>
        <v>1754.3</v>
      </c>
      <c r="E1482" s="103">
        <f>IF(H1482=0,0,ROUNDDOWN(K1482*H1482,1))</f>
        <v>0</v>
      </c>
      <c r="F1482" s="103">
        <f>IF(H1482=0,0,ROUNDDOWN(L1482*H1482,1))</f>
        <v>0</v>
      </c>
      <c r="G1482" s="16" t="s">
        <v>1909</v>
      </c>
      <c r="H1482" s="108">
        <v>3.1496063002200002E-2</v>
      </c>
      <c r="I1482" s="109">
        <f>K1482+J1482+L1482</f>
        <v>55700</v>
      </c>
      <c r="J1482" s="39">
        <f>중기목록표!F7</f>
        <v>55700</v>
      </c>
      <c r="M1482" s="20" t="s">
        <v>1179</v>
      </c>
      <c r="N1482" s="20" t="s">
        <v>1345</v>
      </c>
      <c r="X1482" s="110" t="str">
        <f>중기목록표!B7&amp;" / "&amp;중기목록표!C7</f>
        <v xml:space="preserve">굴삭기(0.7m3) / </v>
      </c>
      <c r="Y1482" s="19" t="str">
        <f ca="1">HYPERLINK("#"&amp;중기목록표!J2&amp;"!A"&amp;ROW(중기목록표!A7),"중기    4 →")</f>
        <v>중기    4 →</v>
      </c>
    </row>
    <row r="1483" spans="1:25" ht="12.6" customHeight="1" x14ac:dyDescent="0.3">
      <c r="A1483" s="80"/>
      <c r="B1483" s="80"/>
      <c r="C1483" s="80"/>
      <c r="D1483" s="80"/>
      <c r="E1483" s="80"/>
      <c r="F1483" s="80"/>
      <c r="G1483" s="16" t="s">
        <v>1324</v>
      </c>
    </row>
    <row r="1484" spans="1:25" ht="12.6" customHeight="1" x14ac:dyDescent="0.3">
      <c r="A1484" s="70" t="s">
        <v>1526</v>
      </c>
      <c r="B1484" s="101" t="str">
        <f>" 재 료 비  :   "&amp;TEXT(I1484,"#,##0"&amp;IF(I1484&lt;&gt;INT(I1484),".###",""))&amp;" / Q  = "&amp;TEXT(C1484,"#,##0.0")&amp;""</f>
        <v xml:space="preserve"> 재 료 비  :   18,001 / Q  = 566.9</v>
      </c>
      <c r="C1484" s="103">
        <f>E1484+D1484+F1484</f>
        <v>566.9</v>
      </c>
      <c r="D1484" s="103">
        <f>IF(H1484=0,0,ROUNDDOWN(J1484*H1484,1))</f>
        <v>0</v>
      </c>
      <c r="E1484" s="103">
        <f>IF(H1484=0,0,ROUNDDOWN(K1484*H1484,1))</f>
        <v>566.9</v>
      </c>
      <c r="F1484" s="103">
        <f>IF(H1484=0,0,ROUNDDOWN(L1484*H1484,1))</f>
        <v>0</v>
      </c>
      <c r="G1484" s="16" t="s">
        <v>1910</v>
      </c>
      <c r="H1484" s="108">
        <v>3.1496063002200002E-2</v>
      </c>
      <c r="I1484" s="109">
        <f>K1484+J1484+L1484</f>
        <v>18001</v>
      </c>
      <c r="K1484" s="39">
        <f>중기목록표!G7</f>
        <v>18001</v>
      </c>
      <c r="M1484" s="20" t="s">
        <v>1179</v>
      </c>
      <c r="N1484" s="20" t="s">
        <v>1345</v>
      </c>
      <c r="X1484" s="110" t="str">
        <f>중기목록표!B7&amp;" / "&amp;중기목록표!C7</f>
        <v xml:space="preserve">굴삭기(0.7m3) / </v>
      </c>
      <c r="Y1484" s="19" t="str">
        <f ca="1">HYPERLINK("#"&amp;중기목록표!J2&amp;"!A"&amp;ROW(중기목록표!A7),"중기    4 →")</f>
        <v>중기    4 →</v>
      </c>
    </row>
    <row r="1485" spans="1:25" ht="12.6" customHeight="1" x14ac:dyDescent="0.3">
      <c r="A1485" s="80"/>
      <c r="B1485" s="80"/>
      <c r="C1485" s="80"/>
      <c r="D1485" s="80"/>
      <c r="E1485" s="80"/>
      <c r="F1485" s="80"/>
      <c r="G1485" s="16" t="s">
        <v>1324</v>
      </c>
    </row>
    <row r="1486" spans="1:25" ht="12.6" customHeight="1" x14ac:dyDescent="0.3">
      <c r="A1486" s="70" t="s">
        <v>1528</v>
      </c>
      <c r="B1486" s="101" t="str">
        <f>" 경    비  :   "&amp;TEXT(I1486,"#,##0"&amp;IF(I1486&lt;&gt;INT(I1486),".###",""))&amp;" / Q  = "&amp;TEXT(C1486,"#,##0.0")&amp;""</f>
        <v xml:space="preserve"> 경    비  :   23,128 / Q  = 728.4</v>
      </c>
      <c r="C1486" s="103">
        <f>E1486+D1486+F1486</f>
        <v>728.4</v>
      </c>
      <c r="D1486" s="103">
        <f>IF(H1486=0,0,ROUNDDOWN(J1486*H1486,1))</f>
        <v>0</v>
      </c>
      <c r="E1486" s="103">
        <f>IF(H1486=0,0,ROUNDDOWN(K1486*H1486,1))</f>
        <v>0</v>
      </c>
      <c r="F1486" s="103">
        <f>IF(H1486=0,0,ROUNDDOWN(L1486*H1486,1))</f>
        <v>728.4</v>
      </c>
      <c r="G1486" s="16" t="s">
        <v>1911</v>
      </c>
      <c r="H1486" s="108">
        <v>3.1496063002200002E-2</v>
      </c>
      <c r="I1486" s="109">
        <f>K1486+J1486+L1486</f>
        <v>23128</v>
      </c>
      <c r="L1486" s="39">
        <f>중기목록표!H7</f>
        <v>23128</v>
      </c>
      <c r="M1486" s="20" t="s">
        <v>1179</v>
      </c>
      <c r="N1486" s="20" t="s">
        <v>1345</v>
      </c>
      <c r="X1486" s="110" t="str">
        <f>중기목록표!B7&amp;" / "&amp;중기목록표!C7</f>
        <v xml:space="preserve">굴삭기(0.7m3) / </v>
      </c>
      <c r="Y1486" s="19" t="str">
        <f ca="1">HYPERLINK("#"&amp;중기목록표!J2&amp;"!A"&amp;ROW(중기목록표!A7),"중기    4 →")</f>
        <v>중기    4 →</v>
      </c>
    </row>
    <row r="1487" spans="1:25" ht="12.6" customHeight="1" x14ac:dyDescent="0.3">
      <c r="A1487" s="80"/>
      <c r="B1487" s="80"/>
      <c r="C1487" s="80"/>
      <c r="D1487" s="80"/>
      <c r="E1487" s="80"/>
      <c r="F1487" s="80"/>
      <c r="G1487" s="16" t="s">
        <v>1324</v>
      </c>
    </row>
    <row r="1488" spans="1:25" ht="12.6" customHeight="1" x14ac:dyDescent="0.3">
      <c r="A1488" s="70"/>
      <c r="B1488" s="79" t="s">
        <v>1344</v>
      </c>
      <c r="C1488" s="104">
        <f>E1488+D1488+F1488</f>
        <v>3049.6</v>
      </c>
      <c r="D1488" s="104">
        <f>SUMIF(N1466:N1487,M1488,D1466:D1487)</f>
        <v>1754.3</v>
      </c>
      <c r="E1488" s="104">
        <f>SUMIF(N1466:N1487,M1488,E1466:E1487)</f>
        <v>566.9</v>
      </c>
      <c r="F1488" s="104">
        <f>SUMIF(N1466:N1487,M1488,F1466:F1487)</f>
        <v>728.4</v>
      </c>
      <c r="G1488" s="16" t="s">
        <v>1343</v>
      </c>
      <c r="M1488" s="20" t="s">
        <v>1345</v>
      </c>
      <c r="N1488" s="20" t="s">
        <v>1368</v>
      </c>
    </row>
    <row r="1489" spans="1:7" ht="12.6" customHeight="1" x14ac:dyDescent="0.3">
      <c r="A1489" s="80"/>
      <c r="B1489" s="80"/>
      <c r="C1489" s="102"/>
      <c r="D1489" s="102"/>
      <c r="E1489" s="102"/>
      <c r="F1489" s="102"/>
      <c r="G1489" s="16" t="s">
        <v>1324</v>
      </c>
    </row>
    <row r="1490" spans="1:7" ht="12.6" customHeight="1" x14ac:dyDescent="0.3">
      <c r="A1490" s="70"/>
      <c r="B1490" s="79" t="s">
        <v>1913</v>
      </c>
      <c r="C1490" s="80"/>
      <c r="D1490" s="80"/>
      <c r="E1490" s="80"/>
      <c r="F1490" s="80"/>
      <c r="G1490" s="16" t="s">
        <v>1912</v>
      </c>
    </row>
    <row r="1491" spans="1:7" ht="12.6" customHeight="1" x14ac:dyDescent="0.3">
      <c r="A1491" s="80"/>
      <c r="B1491" s="80"/>
      <c r="C1491" s="80"/>
      <c r="D1491" s="80"/>
      <c r="E1491" s="80"/>
      <c r="F1491" s="80"/>
      <c r="G1491" s="16" t="s">
        <v>1324</v>
      </c>
    </row>
    <row r="1492" spans="1:7" ht="12.6" customHeight="1" x14ac:dyDescent="0.3">
      <c r="A1492" s="70"/>
      <c r="B1492" s="79" t="s">
        <v>1915</v>
      </c>
      <c r="C1492" s="80"/>
      <c r="D1492" s="80"/>
      <c r="E1492" s="80"/>
      <c r="F1492" s="80"/>
      <c r="G1492" s="16" t="s">
        <v>1914</v>
      </c>
    </row>
    <row r="1493" spans="1:7" ht="12.6" customHeight="1" x14ac:dyDescent="0.3">
      <c r="A1493" s="80"/>
      <c r="B1493" s="80"/>
      <c r="C1493" s="80"/>
      <c r="D1493" s="80"/>
      <c r="E1493" s="80"/>
      <c r="F1493" s="80"/>
      <c r="G1493" s="16" t="s">
        <v>1324</v>
      </c>
    </row>
    <row r="1494" spans="1:7" ht="12.6" customHeight="1" x14ac:dyDescent="0.3">
      <c r="A1494" s="70"/>
      <c r="B1494" s="79" t="s">
        <v>1917</v>
      </c>
      <c r="C1494" s="80"/>
      <c r="D1494" s="80"/>
      <c r="E1494" s="80"/>
      <c r="F1494" s="80"/>
      <c r="G1494" s="16" t="s">
        <v>1916</v>
      </c>
    </row>
    <row r="1495" spans="1:7" ht="12.6" customHeight="1" x14ac:dyDescent="0.3">
      <c r="A1495" s="80"/>
      <c r="B1495" s="80"/>
      <c r="C1495" s="80"/>
      <c r="D1495" s="80"/>
      <c r="E1495" s="80"/>
      <c r="F1495" s="80"/>
      <c r="G1495" s="16" t="s">
        <v>1324</v>
      </c>
    </row>
    <row r="1496" spans="1:7" ht="12.6" customHeight="1" x14ac:dyDescent="0.3">
      <c r="A1496" s="70"/>
      <c r="B1496" s="79" t="s">
        <v>1919</v>
      </c>
      <c r="C1496" s="80"/>
      <c r="D1496" s="80"/>
      <c r="E1496" s="80"/>
      <c r="F1496" s="80"/>
      <c r="G1496" s="16" t="s">
        <v>1918</v>
      </c>
    </row>
    <row r="1497" spans="1:7" ht="12.6" customHeight="1" x14ac:dyDescent="0.3">
      <c r="A1497" s="80"/>
      <c r="B1497" s="80"/>
      <c r="C1497" s="80"/>
      <c r="D1497" s="80"/>
      <c r="E1497" s="80"/>
      <c r="F1497" s="80"/>
      <c r="G1497" s="16" t="s">
        <v>1324</v>
      </c>
    </row>
    <row r="1498" spans="1:7" ht="12.6" customHeight="1" x14ac:dyDescent="0.3">
      <c r="A1498" s="70"/>
      <c r="B1498" s="79" t="s">
        <v>1921</v>
      </c>
      <c r="C1498" s="80"/>
      <c r="D1498" s="80"/>
      <c r="E1498" s="80"/>
      <c r="F1498" s="80"/>
      <c r="G1498" s="16" t="s">
        <v>1920</v>
      </c>
    </row>
    <row r="1499" spans="1:7" ht="12.6" customHeight="1" x14ac:dyDescent="0.3">
      <c r="A1499" s="80"/>
      <c r="B1499" s="80"/>
      <c r="C1499" s="80"/>
      <c r="D1499" s="80"/>
      <c r="E1499" s="80"/>
      <c r="F1499" s="80"/>
      <c r="G1499" s="16" t="s">
        <v>1324</v>
      </c>
    </row>
    <row r="1500" spans="1:7" ht="12.6" customHeight="1" x14ac:dyDescent="0.3">
      <c r="A1500" s="70"/>
      <c r="B1500" s="79" t="s">
        <v>1409</v>
      </c>
      <c r="C1500" s="80"/>
      <c r="D1500" s="80"/>
      <c r="E1500" s="80"/>
      <c r="F1500" s="80"/>
      <c r="G1500" s="16" t="s">
        <v>1922</v>
      </c>
    </row>
    <row r="1501" spans="1:7" ht="12.6" customHeight="1" x14ac:dyDescent="0.3">
      <c r="A1501" s="80"/>
      <c r="B1501" s="80"/>
      <c r="C1501" s="80"/>
      <c r="D1501" s="80"/>
      <c r="E1501" s="80"/>
      <c r="F1501" s="80"/>
      <c r="G1501" s="16" t="s">
        <v>1324</v>
      </c>
    </row>
    <row r="1502" spans="1:7" ht="12.6" customHeight="1" x14ac:dyDescent="0.3">
      <c r="A1502" s="70"/>
      <c r="B1502" s="79" t="s">
        <v>1924</v>
      </c>
      <c r="C1502" s="80"/>
      <c r="D1502" s="80"/>
      <c r="E1502" s="80"/>
      <c r="F1502" s="80"/>
      <c r="G1502" s="16" t="s">
        <v>1923</v>
      </c>
    </row>
    <row r="1503" spans="1:7" ht="12.6" customHeight="1" x14ac:dyDescent="0.3">
      <c r="A1503" s="80"/>
      <c r="B1503" s="80"/>
      <c r="C1503" s="80"/>
      <c r="D1503" s="80"/>
      <c r="E1503" s="80"/>
      <c r="F1503" s="80"/>
      <c r="G1503" s="16" t="s">
        <v>1324</v>
      </c>
    </row>
    <row r="1504" spans="1:7" ht="12.6" customHeight="1" x14ac:dyDescent="0.3">
      <c r="A1504" s="70"/>
      <c r="B1504" s="79" t="s">
        <v>1926</v>
      </c>
      <c r="C1504" s="80"/>
      <c r="D1504" s="80"/>
      <c r="E1504" s="80"/>
      <c r="F1504" s="80"/>
      <c r="G1504" s="16" t="s">
        <v>1925</v>
      </c>
    </row>
    <row r="1505" spans="1:25" ht="12.6" customHeight="1" x14ac:dyDescent="0.3">
      <c r="A1505" s="80"/>
      <c r="B1505" s="80"/>
      <c r="C1505" s="80"/>
      <c r="D1505" s="80"/>
      <c r="E1505" s="80"/>
      <c r="F1505" s="80"/>
      <c r="G1505" s="16" t="s">
        <v>1324</v>
      </c>
    </row>
    <row r="1506" spans="1:25" ht="12.6" customHeight="1" x14ac:dyDescent="0.3">
      <c r="A1506" s="70"/>
      <c r="B1506" s="79" t="s">
        <v>1928</v>
      </c>
      <c r="C1506" s="80"/>
      <c r="D1506" s="80"/>
      <c r="E1506" s="80"/>
      <c r="F1506" s="80"/>
      <c r="G1506" s="16" t="s">
        <v>1927</v>
      </c>
    </row>
    <row r="1507" spans="1:25" ht="12.6" customHeight="1" x14ac:dyDescent="0.3">
      <c r="A1507" s="80"/>
      <c r="B1507" s="80"/>
      <c r="C1507" s="80"/>
      <c r="D1507" s="80"/>
      <c r="E1507" s="80"/>
      <c r="F1507" s="80"/>
      <c r="G1507" s="16" t="s">
        <v>1324</v>
      </c>
    </row>
    <row r="1508" spans="1:25" ht="12.6" customHeight="1" x14ac:dyDescent="0.3">
      <c r="A1508" s="70"/>
      <c r="B1508" s="79" t="s">
        <v>1930</v>
      </c>
      <c r="C1508" s="80"/>
      <c r="D1508" s="80"/>
      <c r="E1508" s="80"/>
      <c r="F1508" s="80"/>
      <c r="G1508" s="16" t="s">
        <v>1929</v>
      </c>
    </row>
    <row r="1509" spans="1:25" ht="12.6" customHeight="1" x14ac:dyDescent="0.3">
      <c r="A1509" s="80"/>
      <c r="B1509" s="80"/>
      <c r="C1509" s="80"/>
      <c r="D1509" s="80"/>
      <c r="E1509" s="80"/>
      <c r="F1509" s="80"/>
      <c r="G1509" s="16" t="s">
        <v>1324</v>
      </c>
    </row>
    <row r="1510" spans="1:25" ht="12.6" customHeight="1" x14ac:dyDescent="0.3">
      <c r="A1510" s="70"/>
      <c r="B1510" s="79" t="s">
        <v>1932</v>
      </c>
      <c r="C1510" s="80"/>
      <c r="D1510" s="80"/>
      <c r="E1510" s="80"/>
      <c r="F1510" s="80"/>
      <c r="G1510" s="16" t="s">
        <v>1931</v>
      </c>
    </row>
    <row r="1511" spans="1:25" ht="12.6" customHeight="1" x14ac:dyDescent="0.3">
      <c r="A1511" s="80"/>
      <c r="B1511" s="80"/>
      <c r="C1511" s="80"/>
      <c r="D1511" s="80"/>
      <c r="E1511" s="80"/>
      <c r="F1511" s="80"/>
      <c r="G1511" s="16" t="s">
        <v>1324</v>
      </c>
    </row>
    <row r="1512" spans="1:25" ht="12.6" customHeight="1" x14ac:dyDescent="0.3">
      <c r="A1512" s="70"/>
      <c r="B1512" s="79" t="s">
        <v>1934</v>
      </c>
      <c r="C1512" s="80"/>
      <c r="D1512" s="80"/>
      <c r="E1512" s="80"/>
      <c r="F1512" s="80"/>
      <c r="G1512" s="16" t="s">
        <v>1933</v>
      </c>
    </row>
    <row r="1513" spans="1:25" ht="12.6" customHeight="1" x14ac:dyDescent="0.3">
      <c r="A1513" s="80"/>
      <c r="B1513" s="80"/>
      <c r="C1513" s="80"/>
      <c r="D1513" s="80"/>
      <c r="E1513" s="80"/>
      <c r="F1513" s="80"/>
      <c r="G1513" s="16" t="s">
        <v>1324</v>
      </c>
    </row>
    <row r="1514" spans="1:25" ht="12.6" customHeight="1" x14ac:dyDescent="0.3">
      <c r="A1514" s="70"/>
      <c r="B1514" s="79" t="s">
        <v>1936</v>
      </c>
      <c r="C1514" s="80"/>
      <c r="D1514" s="80"/>
      <c r="E1514" s="80"/>
      <c r="F1514" s="80"/>
      <c r="G1514" s="16" t="s">
        <v>1935</v>
      </c>
    </row>
    <row r="1515" spans="1:25" ht="12.6" customHeight="1" x14ac:dyDescent="0.3">
      <c r="A1515" s="80"/>
      <c r="B1515" s="80"/>
      <c r="C1515" s="80"/>
      <c r="D1515" s="80"/>
      <c r="E1515" s="80"/>
      <c r="F1515" s="80"/>
      <c r="G1515" s="16" t="s">
        <v>1324</v>
      </c>
    </row>
    <row r="1516" spans="1:25" ht="12.6" customHeight="1" x14ac:dyDescent="0.3">
      <c r="A1516" s="70"/>
      <c r="B1516" s="79" t="s">
        <v>1938</v>
      </c>
      <c r="C1516" s="80"/>
      <c r="D1516" s="80"/>
      <c r="E1516" s="80"/>
      <c r="F1516" s="80"/>
      <c r="G1516" s="16" t="s">
        <v>1937</v>
      </c>
    </row>
    <row r="1517" spans="1:25" ht="12.6" customHeight="1" x14ac:dyDescent="0.3">
      <c r="A1517" s="80"/>
      <c r="B1517" s="80"/>
      <c r="C1517" s="80"/>
      <c r="D1517" s="80"/>
      <c r="E1517" s="80"/>
      <c r="F1517" s="80"/>
      <c r="G1517" s="16" t="s">
        <v>1324</v>
      </c>
    </row>
    <row r="1518" spans="1:25" ht="12.6" customHeight="1" x14ac:dyDescent="0.3">
      <c r="A1518" s="70" t="s">
        <v>1940</v>
      </c>
      <c r="B1518" s="101" t="str">
        <f>" 노 무 비  :   "&amp;TEXT(I1518,"#,##0"&amp;IF(I1518&lt;&gt;INT(I1518),".###",""))&amp;" / Q1  = "&amp;TEXT(C1518,"#,##0.0")&amp;""</f>
        <v xml:space="preserve"> 노 무 비  :   55,700 / Q1  = 2,807.4</v>
      </c>
      <c r="C1518" s="103">
        <f>E1518+D1518+F1518</f>
        <v>2807.4</v>
      </c>
      <c r="D1518" s="103">
        <f>IF(H1518=0,0,ROUNDDOWN(J1518*H1518,1))</f>
        <v>2807.4</v>
      </c>
      <c r="E1518" s="103">
        <f>IF(H1518=0,0,ROUNDDOWN(K1518*H1518,1))</f>
        <v>0</v>
      </c>
      <c r="F1518" s="103">
        <f>IF(H1518=0,0,ROUNDDOWN(L1518*H1518,1))</f>
        <v>0</v>
      </c>
      <c r="G1518" s="16" t="s">
        <v>1939</v>
      </c>
      <c r="H1518" s="108">
        <v>5.0403225816599999E-2</v>
      </c>
      <c r="I1518" s="109">
        <f>K1518+J1518+L1518</f>
        <v>55700</v>
      </c>
      <c r="J1518" s="39">
        <f>중기목록표!F11</f>
        <v>55700</v>
      </c>
      <c r="M1518" s="20" t="s">
        <v>1941</v>
      </c>
      <c r="N1518" s="20" t="s">
        <v>1345</v>
      </c>
      <c r="X1518" s="110" t="str">
        <f>중기목록표!B11&amp;" / "&amp;중기목록표!C11</f>
        <v xml:space="preserve">덤프트럭15ton(토사) / </v>
      </c>
      <c r="Y1518" s="19" t="str">
        <f ca="1">HYPERLINK("#"&amp;중기목록표!J2&amp;"!A"&amp;ROW(중기목록표!A11),"중기    8 →")</f>
        <v>중기    8 →</v>
      </c>
    </row>
    <row r="1519" spans="1:25" ht="12.6" customHeight="1" x14ac:dyDescent="0.3">
      <c r="A1519" s="80"/>
      <c r="B1519" s="80"/>
      <c r="C1519" s="80"/>
      <c r="D1519" s="80"/>
      <c r="E1519" s="80"/>
      <c r="F1519" s="80"/>
      <c r="G1519" s="16" t="s">
        <v>1324</v>
      </c>
    </row>
    <row r="1520" spans="1:25" ht="12.6" customHeight="1" x14ac:dyDescent="0.3">
      <c r="A1520" s="70" t="s">
        <v>1943</v>
      </c>
      <c r="B1520" s="101" t="str">
        <f>" 재 료 비  :   "&amp;TEXT(I1520,"#,##0"&amp;IF(I1520&lt;&gt;INT(I1520),".###",""))&amp;" / Q1 * OH = "&amp;TEXT(C1520,"#,##0.0")&amp;""</f>
        <v xml:space="preserve"> 재 료 비  :   27,910 / Q1 * OH = 393.8</v>
      </c>
      <c r="C1520" s="103">
        <f>E1520+D1520+F1520</f>
        <v>393.8</v>
      </c>
      <c r="D1520" s="103">
        <f>IF(H1520=0,0,ROUNDDOWN(J1520*H1520,1))</f>
        <v>0</v>
      </c>
      <c r="E1520" s="103">
        <f>IF(H1520=0,0,ROUNDDOWN(K1520*H1520,1))</f>
        <v>393.8</v>
      </c>
      <c r="F1520" s="103">
        <f>IF(H1520=0,0,ROUNDDOWN(L1520*H1520,1))</f>
        <v>0</v>
      </c>
      <c r="G1520" s="16" t="s">
        <v>1942</v>
      </c>
      <c r="H1520" s="108">
        <v>1.41129032359E-2</v>
      </c>
      <c r="I1520" s="109">
        <f>K1520+J1520+L1520</f>
        <v>27910</v>
      </c>
      <c r="K1520" s="39">
        <f>중기목록표!G11</f>
        <v>27910</v>
      </c>
      <c r="M1520" s="20" t="s">
        <v>1941</v>
      </c>
      <c r="N1520" s="20" t="s">
        <v>1345</v>
      </c>
      <c r="X1520" s="110" t="str">
        <f>중기목록표!B11&amp;" / "&amp;중기목록표!C11</f>
        <v xml:space="preserve">덤프트럭15ton(토사) / </v>
      </c>
      <c r="Y1520" s="19" t="str">
        <f ca="1">HYPERLINK("#"&amp;중기목록표!J2&amp;"!A"&amp;ROW(중기목록표!A11),"중기    8 →")</f>
        <v>중기    8 →</v>
      </c>
    </row>
    <row r="1521" spans="1:25" ht="12.6" customHeight="1" x14ac:dyDescent="0.3">
      <c r="A1521" s="80"/>
      <c r="B1521" s="80"/>
      <c r="C1521" s="80"/>
      <c r="D1521" s="80"/>
      <c r="E1521" s="80"/>
      <c r="F1521" s="80"/>
      <c r="G1521" s="16" t="s">
        <v>1324</v>
      </c>
    </row>
    <row r="1522" spans="1:25" ht="12.6" customHeight="1" x14ac:dyDescent="0.3">
      <c r="A1522" s="70" t="s">
        <v>1945</v>
      </c>
      <c r="B1522" s="101" t="str">
        <f>" 경    비  :   "&amp;TEXT(I1522,"#,##0"&amp;IF(I1522&lt;&gt;INT(I1522),".###",""))&amp;" / Q1  = "&amp;TEXT(C1522,"#,##0.0")&amp;""</f>
        <v xml:space="preserve"> 경    비  :   19,631 / Q1  = 989.4</v>
      </c>
      <c r="C1522" s="103">
        <f>E1522+D1522+F1522</f>
        <v>989.4</v>
      </c>
      <c r="D1522" s="103">
        <f>IF(H1522=0,0,ROUNDDOWN(J1522*H1522,1))</f>
        <v>0</v>
      </c>
      <c r="E1522" s="103">
        <f>IF(H1522=0,0,ROUNDDOWN(K1522*H1522,1))</f>
        <v>0</v>
      </c>
      <c r="F1522" s="103">
        <f>IF(H1522=0,0,ROUNDDOWN(L1522*H1522,1))</f>
        <v>989.4</v>
      </c>
      <c r="G1522" s="16" t="s">
        <v>1944</v>
      </c>
      <c r="H1522" s="108">
        <v>5.0403225816599999E-2</v>
      </c>
      <c r="I1522" s="109">
        <f>K1522+J1522+L1522</f>
        <v>19631</v>
      </c>
      <c r="L1522" s="39">
        <f>중기목록표!H11</f>
        <v>19631</v>
      </c>
      <c r="M1522" s="20" t="s">
        <v>1941</v>
      </c>
      <c r="N1522" s="20" t="s">
        <v>1345</v>
      </c>
      <c r="X1522" s="110" t="str">
        <f>중기목록표!B11&amp;" / "&amp;중기목록표!C11</f>
        <v xml:space="preserve">덤프트럭15ton(토사) / </v>
      </c>
      <c r="Y1522" s="19" t="str">
        <f ca="1">HYPERLINK("#"&amp;중기목록표!J2&amp;"!A"&amp;ROW(중기목록표!A11),"중기    8 →")</f>
        <v>중기    8 →</v>
      </c>
    </row>
    <row r="1523" spans="1:25" ht="12.6" customHeight="1" x14ac:dyDescent="0.3">
      <c r="A1523" s="80"/>
      <c r="B1523" s="80"/>
      <c r="C1523" s="80"/>
      <c r="D1523" s="80"/>
      <c r="E1523" s="80"/>
      <c r="F1523" s="80"/>
      <c r="G1523" s="16" t="s">
        <v>1324</v>
      </c>
    </row>
    <row r="1524" spans="1:25" ht="12.6" customHeight="1" x14ac:dyDescent="0.3">
      <c r="A1524" s="70"/>
      <c r="B1524" s="79" t="s">
        <v>1344</v>
      </c>
      <c r="C1524" s="104">
        <f>E1524+D1524+F1524</f>
        <v>4190.6000000000004</v>
      </c>
      <c r="D1524" s="104">
        <f>SUMIF(N1489:N1523,M1524,D1489:D1523)</f>
        <v>2807.4</v>
      </c>
      <c r="E1524" s="104">
        <f>SUMIF(N1489:N1523,M1524,E1489:E1523)</f>
        <v>393.8</v>
      </c>
      <c r="F1524" s="104">
        <f>SUMIF(N1489:N1523,M1524,F1489:F1523)</f>
        <v>989.4</v>
      </c>
      <c r="G1524" s="16" t="s">
        <v>1603</v>
      </c>
      <c r="M1524" s="20" t="s">
        <v>1345</v>
      </c>
      <c r="N1524" s="20" t="s">
        <v>1368</v>
      </c>
    </row>
    <row r="1525" spans="1:25" ht="12.6" customHeight="1" x14ac:dyDescent="0.3">
      <c r="A1525" s="80"/>
      <c r="B1525" s="80"/>
      <c r="C1525" s="102"/>
      <c r="D1525" s="102"/>
      <c r="E1525" s="102"/>
      <c r="F1525" s="102"/>
      <c r="G1525" s="16" t="s">
        <v>1324</v>
      </c>
    </row>
    <row r="1526" spans="1:25" ht="12.6" customHeight="1" x14ac:dyDescent="0.3">
      <c r="A1526" s="80"/>
      <c r="B1526" s="80"/>
      <c r="C1526" s="80"/>
      <c r="D1526" s="80"/>
      <c r="E1526" s="80"/>
      <c r="F1526" s="80"/>
      <c r="G1526" s="16" t="s">
        <v>1324</v>
      </c>
    </row>
    <row r="1527" spans="1:25" ht="12.6" customHeight="1" x14ac:dyDescent="0.3">
      <c r="A1527" s="70"/>
      <c r="B1527" s="79" t="s">
        <v>1947</v>
      </c>
      <c r="C1527" s="80"/>
      <c r="D1527" s="80"/>
      <c r="E1527" s="80"/>
      <c r="F1527" s="80"/>
      <c r="G1527" s="16" t="s">
        <v>1946</v>
      </c>
    </row>
    <row r="1528" spans="1:25" ht="12.6" customHeight="1" x14ac:dyDescent="0.3">
      <c r="A1528" s="80"/>
      <c r="B1528" s="80"/>
      <c r="C1528" s="80"/>
      <c r="D1528" s="80"/>
      <c r="E1528" s="80"/>
      <c r="F1528" s="80"/>
      <c r="G1528" s="16" t="s">
        <v>1324</v>
      </c>
    </row>
    <row r="1529" spans="1:25" ht="12.6" customHeight="1" x14ac:dyDescent="0.3">
      <c r="A1529" s="70"/>
      <c r="B1529" s="79" t="s">
        <v>1949</v>
      </c>
      <c r="C1529" s="80"/>
      <c r="D1529" s="80"/>
      <c r="E1529" s="80"/>
      <c r="F1529" s="80"/>
      <c r="G1529" s="16" t="s">
        <v>1948</v>
      </c>
    </row>
    <row r="1530" spans="1:25" ht="12.6" customHeight="1" x14ac:dyDescent="0.3">
      <c r="A1530" s="80"/>
      <c r="B1530" s="80"/>
      <c r="C1530" s="80"/>
      <c r="D1530" s="80"/>
      <c r="E1530" s="80"/>
      <c r="F1530" s="80"/>
      <c r="G1530" s="16" t="s">
        <v>1324</v>
      </c>
    </row>
    <row r="1531" spans="1:25" ht="12.6" customHeight="1" x14ac:dyDescent="0.3">
      <c r="A1531" s="70"/>
      <c r="B1531" s="79" t="s">
        <v>1951</v>
      </c>
      <c r="C1531" s="80"/>
      <c r="D1531" s="80"/>
      <c r="E1531" s="80"/>
      <c r="F1531" s="80"/>
      <c r="G1531" s="16" t="s">
        <v>1950</v>
      </c>
    </row>
    <row r="1532" spans="1:25" ht="12.6" customHeight="1" x14ac:dyDescent="0.3">
      <c r="A1532" s="80"/>
      <c r="B1532" s="80"/>
      <c r="C1532" s="80"/>
      <c r="D1532" s="80"/>
      <c r="E1532" s="80"/>
      <c r="F1532" s="80"/>
      <c r="G1532" s="16" t="s">
        <v>1324</v>
      </c>
    </row>
    <row r="1533" spans="1:25" ht="12.6" customHeight="1" x14ac:dyDescent="0.3">
      <c r="A1533" s="70"/>
      <c r="B1533" s="79" t="s">
        <v>1953</v>
      </c>
      <c r="C1533" s="80"/>
      <c r="D1533" s="80"/>
      <c r="E1533" s="80"/>
      <c r="F1533" s="80"/>
      <c r="G1533" s="16" t="s">
        <v>1952</v>
      </c>
    </row>
    <row r="1534" spans="1:25" ht="12.6" customHeight="1" x14ac:dyDescent="0.3">
      <c r="A1534" s="80"/>
      <c r="B1534" s="80"/>
      <c r="C1534" s="80"/>
      <c r="D1534" s="80"/>
      <c r="E1534" s="80"/>
      <c r="F1534" s="80"/>
      <c r="G1534" s="16" t="s">
        <v>1324</v>
      </c>
    </row>
    <row r="1535" spans="1:25" ht="12.6" customHeight="1" x14ac:dyDescent="0.3">
      <c r="A1535" s="70" t="s">
        <v>1524</v>
      </c>
      <c r="B1535" s="101" t="str">
        <f>" 노 무 비  :   "&amp;TEXT(I1535,"#,##0"&amp;IF(I1535&lt;&gt;INT(I1535),".###",""))&amp;" / Q / 3 = "&amp;TEXT(C1535,"#,##0.0")&amp;""</f>
        <v xml:space="preserve"> 노 무 비  :   55,700 / Q / 3 = 291.4</v>
      </c>
      <c r="C1535" s="103">
        <f>E1535+D1535+F1535</f>
        <v>291.39999999999998</v>
      </c>
      <c r="D1535" s="103">
        <f>IF(H1535=0,0,ROUNDDOWN(J1535*H1535,1))</f>
        <v>291.39999999999998</v>
      </c>
      <c r="E1535" s="103">
        <f>IF(H1535=0,0,ROUNDDOWN(K1535*H1535,1))</f>
        <v>0</v>
      </c>
      <c r="F1535" s="103">
        <f>IF(H1535=0,0,ROUNDDOWN(L1535*H1535,1))</f>
        <v>0</v>
      </c>
      <c r="G1535" s="16" t="s">
        <v>1954</v>
      </c>
      <c r="H1535" s="108">
        <v>5.2328623858E-3</v>
      </c>
      <c r="I1535" s="109">
        <f>K1535+J1535+L1535</f>
        <v>55700</v>
      </c>
      <c r="J1535" s="39">
        <f>중기목록표!F7</f>
        <v>55700</v>
      </c>
      <c r="M1535" s="20" t="s">
        <v>1179</v>
      </c>
      <c r="N1535" s="20" t="s">
        <v>1345</v>
      </c>
      <c r="X1535" s="110" t="str">
        <f>중기목록표!B7&amp;" / "&amp;중기목록표!C7</f>
        <v xml:space="preserve">굴삭기(0.7m3) / </v>
      </c>
      <c r="Y1535" s="19" t="str">
        <f ca="1">HYPERLINK("#"&amp;중기목록표!J2&amp;"!A"&amp;ROW(중기목록표!A7),"중기    4 →")</f>
        <v>중기    4 →</v>
      </c>
    </row>
    <row r="1536" spans="1:25" ht="12.6" customHeight="1" x14ac:dyDescent="0.3">
      <c r="A1536" s="80"/>
      <c r="B1536" s="80"/>
      <c r="C1536" s="80"/>
      <c r="D1536" s="80"/>
      <c r="E1536" s="80"/>
      <c r="F1536" s="80"/>
      <c r="G1536" s="16" t="s">
        <v>1324</v>
      </c>
    </row>
    <row r="1537" spans="1:25" ht="12.6" customHeight="1" x14ac:dyDescent="0.3">
      <c r="A1537" s="70" t="s">
        <v>1526</v>
      </c>
      <c r="B1537" s="101" t="str">
        <f>" 재 료 비  :   "&amp;TEXT(I1537,"#,##0"&amp;IF(I1537&lt;&gt;INT(I1537),".###",""))&amp;" / Q / 3 = "&amp;TEXT(C1537,"#,##0.0")&amp;""</f>
        <v xml:space="preserve"> 재 료 비  :   18,001 / Q / 3 = 94.1</v>
      </c>
      <c r="C1537" s="103">
        <f>E1537+D1537+F1537</f>
        <v>94.1</v>
      </c>
      <c r="D1537" s="103">
        <f>IF(H1537=0,0,ROUNDDOWN(J1537*H1537,1))</f>
        <v>0</v>
      </c>
      <c r="E1537" s="103">
        <f>IF(H1537=0,0,ROUNDDOWN(K1537*H1537,1))</f>
        <v>94.1</v>
      </c>
      <c r="F1537" s="103">
        <f>IF(H1537=0,0,ROUNDDOWN(L1537*H1537,1))</f>
        <v>0</v>
      </c>
      <c r="G1537" s="16" t="s">
        <v>1955</v>
      </c>
      <c r="H1537" s="108">
        <v>5.2328623858E-3</v>
      </c>
      <c r="I1537" s="109">
        <f>K1537+J1537+L1537</f>
        <v>18001</v>
      </c>
      <c r="K1537" s="39">
        <f>중기목록표!G7</f>
        <v>18001</v>
      </c>
      <c r="M1537" s="20" t="s">
        <v>1179</v>
      </c>
      <c r="N1537" s="20" t="s">
        <v>1345</v>
      </c>
      <c r="X1537" s="110" t="str">
        <f>중기목록표!B7&amp;" / "&amp;중기목록표!C7</f>
        <v xml:space="preserve">굴삭기(0.7m3) / </v>
      </c>
      <c r="Y1537" s="19" t="str">
        <f ca="1">HYPERLINK("#"&amp;중기목록표!J2&amp;"!A"&amp;ROW(중기목록표!A7),"중기    4 →")</f>
        <v>중기    4 →</v>
      </c>
    </row>
    <row r="1538" spans="1:25" ht="12.6" customHeight="1" x14ac:dyDescent="0.3">
      <c r="A1538" s="80"/>
      <c r="B1538" s="80"/>
      <c r="C1538" s="80"/>
      <c r="D1538" s="80"/>
      <c r="E1538" s="80"/>
      <c r="F1538" s="80"/>
      <c r="G1538" s="16" t="s">
        <v>1324</v>
      </c>
    </row>
    <row r="1539" spans="1:25" ht="12.6" customHeight="1" x14ac:dyDescent="0.3">
      <c r="A1539" s="70" t="s">
        <v>1528</v>
      </c>
      <c r="B1539" s="101" t="str">
        <f>" 경    비  :   "&amp;TEXT(I1539,"#,##0"&amp;IF(I1539&lt;&gt;INT(I1539),".###",""))&amp;" / Q / 3 = "&amp;TEXT(C1539,"#,##0.0")&amp;""</f>
        <v xml:space="preserve"> 경    비  :   23,128 / Q / 3 = 121.0</v>
      </c>
      <c r="C1539" s="103">
        <f>E1539+D1539+F1539</f>
        <v>121</v>
      </c>
      <c r="D1539" s="103">
        <f>IF(H1539=0,0,ROUNDDOWN(J1539*H1539,1))</f>
        <v>0</v>
      </c>
      <c r="E1539" s="103">
        <f>IF(H1539=0,0,ROUNDDOWN(K1539*H1539,1))</f>
        <v>0</v>
      </c>
      <c r="F1539" s="103">
        <f>IF(H1539=0,0,ROUNDDOWN(L1539*H1539,1))</f>
        <v>121</v>
      </c>
      <c r="G1539" s="16" t="s">
        <v>1956</v>
      </c>
      <c r="H1539" s="108">
        <v>5.2328623858E-3</v>
      </c>
      <c r="I1539" s="109">
        <f>K1539+J1539+L1539</f>
        <v>23128</v>
      </c>
      <c r="L1539" s="39">
        <f>중기목록표!H7</f>
        <v>23128</v>
      </c>
      <c r="M1539" s="20" t="s">
        <v>1179</v>
      </c>
      <c r="N1539" s="20" t="s">
        <v>1345</v>
      </c>
      <c r="X1539" s="110" t="str">
        <f>중기목록표!B7&amp;" / "&amp;중기목록표!C7</f>
        <v xml:space="preserve">굴삭기(0.7m3) / </v>
      </c>
      <c r="Y1539" s="19" t="str">
        <f ca="1">HYPERLINK("#"&amp;중기목록표!J2&amp;"!A"&amp;ROW(중기목록표!A7),"중기    4 →")</f>
        <v>중기    4 →</v>
      </c>
    </row>
    <row r="1540" spans="1:25" ht="12.6" customHeight="1" x14ac:dyDescent="0.3">
      <c r="A1540" s="80"/>
      <c r="B1540" s="80"/>
      <c r="C1540" s="80"/>
      <c r="D1540" s="80"/>
      <c r="E1540" s="80"/>
      <c r="F1540" s="80"/>
      <c r="G1540" s="16" t="s">
        <v>1324</v>
      </c>
    </row>
    <row r="1541" spans="1:25" ht="12.6" customHeight="1" x14ac:dyDescent="0.3">
      <c r="A1541" s="70"/>
      <c r="B1541" s="79" t="s">
        <v>1344</v>
      </c>
      <c r="C1541" s="104">
        <f>E1541+D1541+F1541</f>
        <v>506.5</v>
      </c>
      <c r="D1541" s="104">
        <f>SUMIF(N1525:N1540,M1541,D1525:D1540)</f>
        <v>291.39999999999998</v>
      </c>
      <c r="E1541" s="104">
        <f>SUMIF(N1525:N1540,M1541,E1525:E1540)</f>
        <v>94.1</v>
      </c>
      <c r="F1541" s="104">
        <f>SUMIF(N1525:N1540,M1541,F1525:F1540)</f>
        <v>121</v>
      </c>
      <c r="G1541" s="16" t="s">
        <v>1343</v>
      </c>
      <c r="M1541" s="20" t="s">
        <v>1345</v>
      </c>
      <c r="N1541" s="20" t="s">
        <v>1368</v>
      </c>
    </row>
    <row r="1542" spans="1:25" ht="12.6" customHeight="1" x14ac:dyDescent="0.3">
      <c r="A1542" s="80"/>
      <c r="B1542" s="80"/>
      <c r="C1542" s="102"/>
      <c r="D1542" s="102"/>
      <c r="E1542" s="102"/>
      <c r="F1542" s="102"/>
      <c r="G1542" s="16" t="s">
        <v>1324</v>
      </c>
    </row>
    <row r="1543" spans="1:25" ht="12.6" customHeight="1" x14ac:dyDescent="0.3">
      <c r="A1543" s="70"/>
      <c r="B1543" s="79" t="s">
        <v>1171</v>
      </c>
      <c r="C1543" s="104">
        <f>E1543+D1543+F1543</f>
        <v>7746.7</v>
      </c>
      <c r="D1543" s="104">
        <f>SUMIF(N1466:N1542,M1543,D1466:D1542)</f>
        <v>4853.0999999999995</v>
      </c>
      <c r="E1543" s="104">
        <f>SUMIF(N1466:N1542,M1543,E1466:E1542)</f>
        <v>1054.8</v>
      </c>
      <c r="F1543" s="104">
        <f>SUMIF(N1466:N1542,M1543,F1466:F1542)</f>
        <v>1838.8</v>
      </c>
      <c r="G1543" s="16" t="s">
        <v>1367</v>
      </c>
      <c r="M1543" s="20" t="s">
        <v>1368</v>
      </c>
      <c r="N1543" s="20" t="s">
        <v>1129</v>
      </c>
    </row>
    <row r="1544" spans="1:25" ht="12.6" customHeight="1" x14ac:dyDescent="0.3">
      <c r="A1544" s="80"/>
      <c r="B1544" s="80"/>
      <c r="C1544" s="102"/>
      <c r="D1544" s="102"/>
      <c r="E1544" s="102"/>
      <c r="F1544" s="102"/>
    </row>
    <row r="1545" spans="1:25" ht="12.6" customHeight="1" x14ac:dyDescent="0.3">
      <c r="A1545" s="80"/>
      <c r="B1545" s="80"/>
      <c r="C1545" s="80"/>
      <c r="D1545" s="80"/>
      <c r="E1545" s="80"/>
      <c r="F1545" s="80"/>
    </row>
    <row r="1546" spans="1:25" ht="12.6" customHeight="1" x14ac:dyDescent="0.3">
      <c r="A1546" s="80"/>
      <c r="B1546" s="80"/>
      <c r="C1546" s="80"/>
      <c r="D1546" s="80"/>
      <c r="E1546" s="80"/>
      <c r="F1546" s="80"/>
    </row>
    <row r="1547" spans="1:25" ht="12.6" customHeight="1" x14ac:dyDescent="0.3">
      <c r="A1547" s="80"/>
      <c r="B1547" s="80"/>
      <c r="C1547" s="80"/>
      <c r="D1547" s="80"/>
      <c r="E1547" s="80"/>
      <c r="F1547" s="80"/>
    </row>
    <row r="1548" spans="1:25" ht="12.6" customHeight="1" x14ac:dyDescent="0.3">
      <c r="A1548" s="80"/>
      <c r="B1548" s="80"/>
      <c r="C1548" s="80"/>
      <c r="D1548" s="80"/>
      <c r="E1548" s="80"/>
      <c r="F1548" s="80"/>
    </row>
    <row r="1549" spans="1:25" ht="12.6" customHeight="1" x14ac:dyDescent="0.3">
      <c r="A1549" s="80"/>
      <c r="B1549" s="80"/>
      <c r="C1549" s="80"/>
      <c r="D1549" s="80"/>
      <c r="E1549" s="80"/>
      <c r="F1549" s="80"/>
    </row>
    <row r="1550" spans="1:25" ht="12.6" customHeight="1" x14ac:dyDescent="0.3">
      <c r="A1550" s="80"/>
      <c r="B1550" s="80"/>
      <c r="C1550" s="80"/>
      <c r="D1550" s="80"/>
      <c r="E1550" s="80"/>
      <c r="F1550" s="80"/>
    </row>
    <row r="1551" spans="1:25" ht="12.6" customHeight="1" x14ac:dyDescent="0.3">
      <c r="A1551" s="80"/>
      <c r="B1551" s="80"/>
      <c r="C1551" s="80"/>
      <c r="D1551" s="80"/>
      <c r="E1551" s="80"/>
      <c r="F1551" s="80"/>
    </row>
    <row r="1552" spans="1:25" ht="12.6" customHeight="1" x14ac:dyDescent="0.3">
      <c r="A1552" s="80"/>
      <c r="B1552" s="80"/>
      <c r="C1552" s="80"/>
      <c r="D1552" s="80"/>
      <c r="E1552" s="80"/>
      <c r="F1552" s="80"/>
    </row>
    <row r="1553" spans="1:14" ht="12.6" customHeight="1" x14ac:dyDescent="0.3">
      <c r="A1553" s="80"/>
      <c r="B1553" s="80"/>
      <c r="C1553" s="80"/>
      <c r="D1553" s="80"/>
      <c r="E1553" s="80"/>
      <c r="F1553" s="80"/>
    </row>
    <row r="1554" spans="1:14" ht="12.6" customHeight="1" x14ac:dyDescent="0.3">
      <c r="A1554" s="80"/>
      <c r="B1554" s="80"/>
      <c r="C1554" s="80"/>
      <c r="D1554" s="80"/>
      <c r="E1554" s="80"/>
      <c r="F1554" s="80"/>
    </row>
    <row r="1555" spans="1:14" ht="12.6" customHeight="1" x14ac:dyDescent="0.3">
      <c r="A1555" s="80"/>
      <c r="B1555" s="80"/>
      <c r="C1555" s="80"/>
      <c r="D1555" s="80"/>
      <c r="E1555" s="80"/>
      <c r="F1555" s="80"/>
    </row>
    <row r="1556" spans="1:14" ht="12.6" customHeight="1" x14ac:dyDescent="0.3">
      <c r="A1556" s="80"/>
      <c r="B1556" s="80"/>
      <c r="C1556" s="80"/>
      <c r="D1556" s="80"/>
      <c r="E1556" s="80"/>
      <c r="F1556" s="80"/>
    </row>
    <row r="1557" spans="1:14" ht="12.6" customHeight="1" x14ac:dyDescent="0.3">
      <c r="A1557" s="80"/>
      <c r="B1557" s="80"/>
      <c r="C1557" s="80"/>
      <c r="D1557" s="80"/>
      <c r="E1557" s="80"/>
      <c r="F1557" s="80"/>
    </row>
    <row r="1558" spans="1:14" ht="12.6" customHeight="1" x14ac:dyDescent="0.3">
      <c r="A1558" s="80"/>
      <c r="B1558" s="80"/>
      <c r="C1558" s="80"/>
      <c r="D1558" s="80"/>
      <c r="E1558" s="80"/>
      <c r="F1558" s="80"/>
    </row>
    <row r="1559" spans="1:14" ht="12.6" customHeight="1" x14ac:dyDescent="0.3">
      <c r="A1559" s="80"/>
      <c r="B1559" s="80"/>
      <c r="C1559" s="80"/>
      <c r="D1559" s="80"/>
      <c r="E1559" s="80"/>
      <c r="F1559" s="80"/>
    </row>
    <row r="1560" spans="1:14" ht="12.6" customHeight="1" x14ac:dyDescent="0.3">
      <c r="A1560" s="80"/>
      <c r="B1560" s="80"/>
      <c r="C1560" s="80"/>
      <c r="D1560" s="80"/>
      <c r="E1560" s="80"/>
      <c r="F1560" s="80"/>
    </row>
    <row r="1561" spans="1:14" ht="12.6" customHeight="1" x14ac:dyDescent="0.3">
      <c r="A1561" s="80"/>
      <c r="B1561" s="80"/>
      <c r="C1561" s="80"/>
      <c r="D1561" s="80"/>
      <c r="E1561" s="80"/>
      <c r="F1561" s="80"/>
    </row>
    <row r="1562" spans="1:14" ht="12.6" customHeight="1" x14ac:dyDescent="0.3">
      <c r="A1562" s="80"/>
      <c r="B1562" s="80"/>
      <c r="C1562" s="80"/>
      <c r="D1562" s="80"/>
      <c r="E1562" s="80"/>
      <c r="F1562" s="80"/>
    </row>
    <row r="1563" spans="1:14" ht="12.6" customHeight="1" x14ac:dyDescent="0.3">
      <c r="A1563" s="80"/>
      <c r="B1563" s="80"/>
      <c r="C1563" s="80"/>
      <c r="D1563" s="80"/>
      <c r="E1563" s="80"/>
      <c r="F1563" s="80"/>
    </row>
    <row r="1564" spans="1:14" ht="12.6" customHeight="1" x14ac:dyDescent="0.3">
      <c r="A1564" s="80"/>
      <c r="B1564" s="80"/>
      <c r="C1564" s="80"/>
      <c r="D1564" s="80"/>
      <c r="E1564" s="80"/>
      <c r="F1564" s="80"/>
    </row>
    <row r="1565" spans="1:14" ht="12.6" customHeight="1" x14ac:dyDescent="0.3">
      <c r="A1565" s="58"/>
      <c r="B1565" s="58"/>
      <c r="C1565" s="58"/>
      <c r="D1565" s="58"/>
      <c r="E1565" s="58"/>
      <c r="F1565" s="58"/>
    </row>
    <row r="1566" spans="1:14" ht="12.6" customHeight="1" x14ac:dyDescent="0.3">
      <c r="A1566" s="141" t="s">
        <v>1171</v>
      </c>
      <c r="B1566" s="142"/>
      <c r="C1566" s="55">
        <f>E1566+D1566+F1566</f>
        <v>7745</v>
      </c>
      <c r="D1566" s="54">
        <f>ROUNDDOWN(SUMIF(N1466:N1543,M1566,D1466:D1543),0)</f>
        <v>4853</v>
      </c>
      <c r="E1566" s="63">
        <f>ROUNDDOWN(SUMIF(N1466:N1543,M1566,E1466:E1543),0)</f>
        <v>1054</v>
      </c>
      <c r="F1566" s="55">
        <f>ROUNDDOWN(SUMIF(N1466:N1543,M1566,F1466:F1543),0)</f>
        <v>1838</v>
      </c>
      <c r="M1566" s="20" t="s">
        <v>1129</v>
      </c>
      <c r="N1566" s="20" t="s">
        <v>1172</v>
      </c>
    </row>
    <row r="1567" spans="1:14" ht="12.6" customHeight="1" x14ac:dyDescent="0.3">
      <c r="A1567" s="141" t="s">
        <v>1173</v>
      </c>
      <c r="B1567" s="142"/>
      <c r="C1567" s="55">
        <f>E1567+D1567+F1567</f>
        <v>6852</v>
      </c>
      <c r="D1567" s="54">
        <f>ROUNDDOWN(D1566*H1567/100,0)</f>
        <v>4294</v>
      </c>
      <c r="E1567" s="63">
        <f>ROUNDDOWN(E1566*H1567/100,0)</f>
        <v>932</v>
      </c>
      <c r="F1567" s="55">
        <f>ROUNDDOWN(F1566*H1567/100,0)</f>
        <v>1626</v>
      </c>
      <c r="H1567" s="67">
        <v>88.5</v>
      </c>
      <c r="M1567" s="20" t="s">
        <v>1172</v>
      </c>
    </row>
    <row r="1568" spans="1:14" ht="12.6" customHeight="1" x14ac:dyDescent="0.3">
      <c r="A1568" s="99" t="s">
        <v>132</v>
      </c>
      <c r="B1568" s="100" t="s">
        <v>132</v>
      </c>
      <c r="C1568" s="147">
        <f>C1706</f>
        <v>7742</v>
      </c>
      <c r="D1568" s="147">
        <f>D1706</f>
        <v>4879</v>
      </c>
      <c r="E1568" s="147">
        <f>E1706</f>
        <v>1040</v>
      </c>
      <c r="F1568" s="147">
        <f>F1706</f>
        <v>1823</v>
      </c>
      <c r="G1568" s="36" t="str">
        <f>HYPERLINK("#G"&amp;ROW(G1676),"_x0005_`BDCOD|D02276_x0007_`POSS|"&amp;ROW(G1570)&amp;"_x0007_`POSE|"&amp;ROW(G1676)&amp;"_x0007_`")</f>
        <v>_x0005_`BDCOD|D02276_x0007_`POSS|1570_x0007_`POSE|1676_x0007_`</v>
      </c>
    </row>
    <row r="1569" spans="1:13" ht="12.6" customHeight="1" x14ac:dyDescent="0.3">
      <c r="A1569" s="85"/>
      <c r="B1569" s="100" t="s">
        <v>262</v>
      </c>
      <c r="C1569" s="137"/>
      <c r="D1569" s="137"/>
      <c r="E1569" s="137"/>
      <c r="F1569" s="137"/>
      <c r="M1569" s="20" t="s">
        <v>261</v>
      </c>
    </row>
    <row r="1570" spans="1:13" ht="12.6" customHeight="1" x14ac:dyDescent="0.3">
      <c r="A1570" s="70"/>
      <c r="B1570" s="79" t="s">
        <v>1894</v>
      </c>
      <c r="C1570" s="102"/>
      <c r="D1570" s="102"/>
      <c r="E1570" s="102"/>
      <c r="F1570" s="102"/>
      <c r="G1570" s="16" t="s">
        <v>1893</v>
      </c>
    </row>
    <row r="1571" spans="1:13" ht="12.6" customHeight="1" x14ac:dyDescent="0.3">
      <c r="A1571" s="80"/>
      <c r="B1571" s="80"/>
      <c r="C1571" s="80"/>
      <c r="D1571" s="80"/>
      <c r="E1571" s="80"/>
      <c r="F1571" s="80"/>
      <c r="G1571" s="16" t="s">
        <v>1324</v>
      </c>
    </row>
    <row r="1572" spans="1:13" ht="12.6" customHeight="1" x14ac:dyDescent="0.3">
      <c r="A1572" s="70"/>
      <c r="B1572" s="79" t="s">
        <v>1896</v>
      </c>
      <c r="C1572" s="80"/>
      <c r="D1572" s="80"/>
      <c r="E1572" s="80"/>
      <c r="F1572" s="80"/>
      <c r="G1572" s="16" t="s">
        <v>1895</v>
      </c>
    </row>
    <row r="1573" spans="1:13" ht="12.6" customHeight="1" x14ac:dyDescent="0.3">
      <c r="A1573" s="80"/>
      <c r="B1573" s="80"/>
      <c r="C1573" s="80"/>
      <c r="D1573" s="80"/>
      <c r="E1573" s="80"/>
      <c r="F1573" s="80"/>
      <c r="G1573" s="16" t="s">
        <v>1324</v>
      </c>
    </row>
    <row r="1574" spans="1:13" ht="12.6" customHeight="1" x14ac:dyDescent="0.3">
      <c r="A1574" s="70"/>
      <c r="B1574" s="79" t="s">
        <v>1958</v>
      </c>
      <c r="C1574" s="80"/>
      <c r="D1574" s="80"/>
      <c r="E1574" s="80"/>
      <c r="F1574" s="80"/>
      <c r="G1574" s="16" t="s">
        <v>1957</v>
      </c>
    </row>
    <row r="1575" spans="1:13" ht="12.6" customHeight="1" x14ac:dyDescent="0.3">
      <c r="A1575" s="80"/>
      <c r="B1575" s="80"/>
      <c r="C1575" s="80"/>
      <c r="D1575" s="80"/>
      <c r="E1575" s="80"/>
      <c r="F1575" s="80"/>
      <c r="G1575" s="16" t="s">
        <v>1324</v>
      </c>
    </row>
    <row r="1576" spans="1:13" ht="12.6" customHeight="1" x14ac:dyDescent="0.3">
      <c r="A1576" s="70"/>
      <c r="B1576" s="79" t="s">
        <v>1900</v>
      </c>
      <c r="C1576" s="80"/>
      <c r="D1576" s="80"/>
      <c r="E1576" s="80"/>
      <c r="F1576" s="80"/>
      <c r="G1576" s="16" t="s">
        <v>1899</v>
      </c>
    </row>
    <row r="1577" spans="1:13" ht="12.6" customHeight="1" x14ac:dyDescent="0.3">
      <c r="A1577" s="80"/>
      <c r="B1577" s="80"/>
      <c r="C1577" s="80"/>
      <c r="D1577" s="80"/>
      <c r="E1577" s="80"/>
      <c r="F1577" s="80"/>
      <c r="G1577" s="16" t="s">
        <v>1324</v>
      </c>
    </row>
    <row r="1578" spans="1:13" ht="12.6" customHeight="1" x14ac:dyDescent="0.3">
      <c r="A1578" s="70"/>
      <c r="B1578" s="79" t="s">
        <v>1960</v>
      </c>
      <c r="C1578" s="80"/>
      <c r="D1578" s="80"/>
      <c r="E1578" s="80"/>
      <c r="F1578" s="80"/>
      <c r="G1578" s="16" t="s">
        <v>1959</v>
      </c>
    </row>
    <row r="1579" spans="1:13" ht="12.6" customHeight="1" x14ac:dyDescent="0.3">
      <c r="A1579" s="80"/>
      <c r="B1579" s="80"/>
      <c r="C1579" s="80"/>
      <c r="D1579" s="80"/>
      <c r="E1579" s="80"/>
      <c r="F1579" s="80"/>
      <c r="G1579" s="16" t="s">
        <v>1324</v>
      </c>
    </row>
    <row r="1580" spans="1:13" ht="12.6" customHeight="1" x14ac:dyDescent="0.3">
      <c r="A1580" s="70"/>
      <c r="B1580" s="79" t="s">
        <v>1962</v>
      </c>
      <c r="C1580" s="80"/>
      <c r="D1580" s="80"/>
      <c r="E1580" s="80"/>
      <c r="F1580" s="80"/>
      <c r="G1580" s="16" t="s">
        <v>1961</v>
      </c>
    </row>
    <row r="1581" spans="1:13" ht="12.6" customHeight="1" x14ac:dyDescent="0.3">
      <c r="A1581" s="80"/>
      <c r="B1581" s="80"/>
      <c r="C1581" s="80"/>
      <c r="D1581" s="80"/>
      <c r="E1581" s="80"/>
      <c r="F1581" s="80"/>
      <c r="G1581" s="16" t="s">
        <v>1324</v>
      </c>
    </row>
    <row r="1582" spans="1:13" ht="12.6" customHeight="1" x14ac:dyDescent="0.3">
      <c r="A1582" s="70"/>
      <c r="B1582" s="79" t="s">
        <v>1964</v>
      </c>
      <c r="C1582" s="80"/>
      <c r="D1582" s="80"/>
      <c r="E1582" s="80"/>
      <c r="F1582" s="80"/>
      <c r="G1582" s="16" t="s">
        <v>1963</v>
      </c>
    </row>
    <row r="1583" spans="1:13" ht="12.6" customHeight="1" x14ac:dyDescent="0.3">
      <c r="A1583" s="80"/>
      <c r="B1583" s="80"/>
      <c r="C1583" s="80"/>
      <c r="D1583" s="80"/>
      <c r="E1583" s="80"/>
      <c r="F1583" s="80"/>
      <c r="G1583" s="16" t="s">
        <v>1324</v>
      </c>
    </row>
    <row r="1584" spans="1:13" ht="12.6" customHeight="1" x14ac:dyDescent="0.3">
      <c r="A1584" s="70"/>
      <c r="B1584" s="79" t="s">
        <v>1965</v>
      </c>
      <c r="C1584" s="80"/>
      <c r="D1584" s="80"/>
      <c r="E1584" s="80"/>
      <c r="F1584" s="80"/>
      <c r="G1584" s="16" t="s">
        <v>1952</v>
      </c>
    </row>
    <row r="1585" spans="1:25" ht="12.6" customHeight="1" x14ac:dyDescent="0.3">
      <c r="A1585" s="80"/>
      <c r="B1585" s="80"/>
      <c r="C1585" s="80"/>
      <c r="D1585" s="80"/>
      <c r="E1585" s="80"/>
      <c r="F1585" s="80"/>
      <c r="G1585" s="16" t="s">
        <v>1324</v>
      </c>
    </row>
    <row r="1586" spans="1:25" ht="12.6" customHeight="1" x14ac:dyDescent="0.3">
      <c r="A1586" s="70" t="s">
        <v>1394</v>
      </c>
      <c r="B1586" s="101" t="str">
        <f>" 노 무 비  :  "&amp;TEXT(I1586,"#,##0"&amp;IF(I1586&lt;&gt;INT(I1586),".###",""))&amp;" / Q  = "&amp;TEXT(C1586,"#,##0.0")&amp;""</f>
        <v xml:space="preserve"> 노 무 비  :  55,700 / Q  = 2,178.3</v>
      </c>
      <c r="C1586" s="103">
        <f>E1586+D1586+F1586</f>
        <v>2178.3000000000002</v>
      </c>
      <c r="D1586" s="103">
        <f>IF(H1586=0,0,ROUNDDOWN(J1586*H1586,1))</f>
        <v>2178.3000000000002</v>
      </c>
      <c r="E1586" s="103">
        <f>IF(H1586=0,0,ROUNDDOWN(K1586*H1586,1))</f>
        <v>0</v>
      </c>
      <c r="F1586" s="103">
        <f>IF(H1586=0,0,ROUNDDOWN(L1586*H1586,1))</f>
        <v>0</v>
      </c>
      <c r="G1586" s="16" t="s">
        <v>1966</v>
      </c>
      <c r="H1586" s="108">
        <v>3.9108330084399998E-2</v>
      </c>
      <c r="I1586" s="109">
        <f>K1586+J1586+L1586</f>
        <v>55700</v>
      </c>
      <c r="J1586" s="39">
        <f>중기목록표!F9</f>
        <v>55700</v>
      </c>
      <c r="M1586" s="20" t="s">
        <v>1395</v>
      </c>
      <c r="N1586" s="20" t="s">
        <v>1345</v>
      </c>
      <c r="X1586" s="110" t="str">
        <f>중기목록표!B9&amp;" / "&amp;중기목록표!C9</f>
        <v>굴삭기(0.7m3) / 0.7㎥,(암석)</v>
      </c>
      <c r="Y1586" s="19" t="str">
        <f ca="1">HYPERLINK("#"&amp;중기목록표!J2&amp;"!A"&amp;ROW(중기목록표!A9),"중기    6 →")</f>
        <v>중기    6 →</v>
      </c>
    </row>
    <row r="1587" spans="1:25" ht="12.6" customHeight="1" x14ac:dyDescent="0.3">
      <c r="A1587" s="80"/>
      <c r="B1587" s="80"/>
      <c r="C1587" s="80"/>
      <c r="D1587" s="80"/>
      <c r="E1587" s="80"/>
      <c r="F1587" s="80"/>
      <c r="G1587" s="16" t="s">
        <v>1324</v>
      </c>
    </row>
    <row r="1588" spans="1:25" ht="12.6" customHeight="1" x14ac:dyDescent="0.3">
      <c r="A1588" s="70" t="s">
        <v>1397</v>
      </c>
      <c r="B1588" s="101" t="str">
        <f>" 재 료 비  :  "&amp;TEXT(I1588,"#,##0"&amp;IF(I1588&lt;&gt;INT(I1588),".###",""))&amp;" / Q  = "&amp;TEXT(C1588,"#,##0.0")&amp;""</f>
        <v xml:space="preserve"> 재 료 비  :  18,001 / Q  = 703.9</v>
      </c>
      <c r="C1588" s="103">
        <f>E1588+D1588+F1588</f>
        <v>703.9</v>
      </c>
      <c r="D1588" s="103">
        <f>IF(H1588=0,0,ROUNDDOWN(J1588*H1588,1))</f>
        <v>0</v>
      </c>
      <c r="E1588" s="103">
        <f>IF(H1588=0,0,ROUNDDOWN(K1588*H1588,1))</f>
        <v>703.9</v>
      </c>
      <c r="F1588" s="103">
        <f>IF(H1588=0,0,ROUNDDOWN(L1588*H1588,1))</f>
        <v>0</v>
      </c>
      <c r="G1588" s="16" t="s">
        <v>1967</v>
      </c>
      <c r="H1588" s="108">
        <v>3.9108330084399998E-2</v>
      </c>
      <c r="I1588" s="109">
        <f>K1588+J1588+L1588</f>
        <v>18001</v>
      </c>
      <c r="K1588" s="39">
        <f>중기목록표!G9</f>
        <v>18001</v>
      </c>
      <c r="M1588" s="20" t="s">
        <v>1395</v>
      </c>
      <c r="N1588" s="20" t="s">
        <v>1345</v>
      </c>
      <c r="X1588" s="110" t="str">
        <f>중기목록표!B9&amp;" / "&amp;중기목록표!C9</f>
        <v>굴삭기(0.7m3) / 0.7㎥,(암석)</v>
      </c>
      <c r="Y1588" s="19" t="str">
        <f ca="1">HYPERLINK("#"&amp;중기목록표!J2&amp;"!A"&amp;ROW(중기목록표!A9),"중기    6 →")</f>
        <v>중기    6 →</v>
      </c>
    </row>
    <row r="1589" spans="1:25" ht="12.6" customHeight="1" x14ac:dyDescent="0.3">
      <c r="A1589" s="80"/>
      <c r="B1589" s="80"/>
      <c r="C1589" s="80"/>
      <c r="D1589" s="80"/>
      <c r="E1589" s="80"/>
      <c r="F1589" s="80"/>
      <c r="G1589" s="16" t="s">
        <v>1324</v>
      </c>
    </row>
    <row r="1590" spans="1:25" ht="12.6" customHeight="1" x14ac:dyDescent="0.3">
      <c r="A1590" s="70" t="s">
        <v>1399</v>
      </c>
      <c r="B1590" s="101" t="str">
        <f>" 경    비  :  "&amp;TEXT(I1590,"#,##0"&amp;IF(I1590&lt;&gt;INT(I1590),".###",""))&amp;" / Q  = "&amp;TEXT(C1590,"#,##0.0")&amp;""</f>
        <v xml:space="preserve"> 경    비  :  26,677 / Q  = 1,043.2</v>
      </c>
      <c r="C1590" s="103">
        <f>E1590+D1590+F1590</f>
        <v>1043.2</v>
      </c>
      <c r="D1590" s="103">
        <f>IF(H1590=0,0,ROUNDDOWN(J1590*H1590,1))</f>
        <v>0</v>
      </c>
      <c r="E1590" s="103">
        <f>IF(H1590=0,0,ROUNDDOWN(K1590*H1590,1))</f>
        <v>0</v>
      </c>
      <c r="F1590" s="103">
        <f>IF(H1590=0,0,ROUNDDOWN(L1590*H1590,1))</f>
        <v>1043.2</v>
      </c>
      <c r="G1590" s="16" t="s">
        <v>1968</v>
      </c>
      <c r="H1590" s="108">
        <v>3.9108330084399998E-2</v>
      </c>
      <c r="I1590" s="109">
        <f>K1590+J1590+L1590</f>
        <v>26677</v>
      </c>
      <c r="L1590" s="39">
        <f>중기목록표!H9</f>
        <v>26677</v>
      </c>
      <c r="M1590" s="20" t="s">
        <v>1395</v>
      </c>
      <c r="N1590" s="20" t="s">
        <v>1345</v>
      </c>
      <c r="X1590" s="110" t="str">
        <f>중기목록표!B9&amp;" / "&amp;중기목록표!C9</f>
        <v>굴삭기(0.7m3) / 0.7㎥,(암석)</v>
      </c>
      <c r="Y1590" s="19" t="str">
        <f ca="1">HYPERLINK("#"&amp;중기목록표!J2&amp;"!A"&amp;ROW(중기목록표!A9),"중기    6 →")</f>
        <v>중기    6 →</v>
      </c>
    </row>
    <row r="1591" spans="1:25" ht="12.6" customHeight="1" x14ac:dyDescent="0.3">
      <c r="A1591" s="80"/>
      <c r="B1591" s="80"/>
      <c r="C1591" s="80"/>
      <c r="D1591" s="80"/>
      <c r="E1591" s="80"/>
      <c r="F1591" s="80"/>
      <c r="G1591" s="16" t="s">
        <v>1324</v>
      </c>
    </row>
    <row r="1592" spans="1:25" ht="12.6" customHeight="1" x14ac:dyDescent="0.3">
      <c r="A1592" s="70"/>
      <c r="B1592" s="79" t="s">
        <v>1344</v>
      </c>
      <c r="C1592" s="104">
        <f>E1592+D1592+F1592</f>
        <v>3925.4000000000005</v>
      </c>
      <c r="D1592" s="104">
        <f>SUMIF(N1570:N1591,M1592,D1570:D1591)</f>
        <v>2178.3000000000002</v>
      </c>
      <c r="E1592" s="104">
        <f>SUMIF(N1570:N1591,M1592,E1570:E1591)</f>
        <v>703.9</v>
      </c>
      <c r="F1592" s="104">
        <f>SUMIF(N1570:N1591,M1592,F1570:F1591)</f>
        <v>1043.2</v>
      </c>
      <c r="G1592" s="16" t="s">
        <v>1343</v>
      </c>
      <c r="M1592" s="20" t="s">
        <v>1345</v>
      </c>
      <c r="N1592" s="20" t="s">
        <v>1368</v>
      </c>
    </row>
    <row r="1593" spans="1:25" ht="12.6" customHeight="1" x14ac:dyDescent="0.3">
      <c r="A1593" s="80"/>
      <c r="B1593" s="80"/>
      <c r="C1593" s="102"/>
      <c r="D1593" s="102"/>
      <c r="E1593" s="102"/>
      <c r="F1593" s="102"/>
      <c r="G1593" s="16" t="s">
        <v>1324</v>
      </c>
    </row>
    <row r="1594" spans="1:25" ht="12.6" customHeight="1" x14ac:dyDescent="0.3">
      <c r="A1594" s="70"/>
      <c r="B1594" s="79" t="s">
        <v>1970</v>
      </c>
      <c r="C1594" s="80"/>
      <c r="D1594" s="80"/>
      <c r="E1594" s="80"/>
      <c r="F1594" s="80"/>
      <c r="G1594" s="16" t="s">
        <v>1969</v>
      </c>
    </row>
    <row r="1595" spans="1:25" ht="12.6" customHeight="1" x14ac:dyDescent="0.3">
      <c r="A1595" s="80"/>
      <c r="B1595" s="80"/>
      <c r="C1595" s="80"/>
      <c r="D1595" s="80"/>
      <c r="E1595" s="80"/>
      <c r="F1595" s="80"/>
      <c r="G1595" s="16" t="s">
        <v>1324</v>
      </c>
    </row>
    <row r="1596" spans="1:25" ht="12.6" customHeight="1" x14ac:dyDescent="0.3">
      <c r="A1596" s="70"/>
      <c r="B1596" s="79" t="s">
        <v>1972</v>
      </c>
      <c r="C1596" s="80"/>
      <c r="D1596" s="80"/>
      <c r="E1596" s="80"/>
      <c r="F1596" s="80"/>
      <c r="G1596" s="16" t="s">
        <v>1971</v>
      </c>
    </row>
    <row r="1597" spans="1:25" ht="12.6" customHeight="1" x14ac:dyDescent="0.3">
      <c r="A1597" s="80"/>
      <c r="B1597" s="80"/>
      <c r="C1597" s="80"/>
      <c r="D1597" s="80"/>
      <c r="E1597" s="80"/>
      <c r="F1597" s="80"/>
      <c r="G1597" s="16" t="s">
        <v>1324</v>
      </c>
    </row>
    <row r="1598" spans="1:25" ht="12.6" customHeight="1" x14ac:dyDescent="0.3">
      <c r="A1598" s="70"/>
      <c r="B1598" s="79" t="s">
        <v>1974</v>
      </c>
      <c r="C1598" s="80"/>
      <c r="D1598" s="80"/>
      <c r="E1598" s="80"/>
      <c r="F1598" s="80"/>
      <c r="G1598" s="16" t="s">
        <v>1973</v>
      </c>
    </row>
    <row r="1599" spans="1:25" ht="12.6" customHeight="1" x14ac:dyDescent="0.3">
      <c r="A1599" s="80"/>
      <c r="B1599" s="80"/>
      <c r="C1599" s="80"/>
      <c r="D1599" s="80"/>
      <c r="E1599" s="80"/>
      <c r="F1599" s="80"/>
      <c r="G1599" s="16" t="s">
        <v>1324</v>
      </c>
    </row>
    <row r="1600" spans="1:25" ht="12.6" customHeight="1" x14ac:dyDescent="0.3">
      <c r="A1600" s="70"/>
      <c r="B1600" s="79" t="s">
        <v>1976</v>
      </c>
      <c r="C1600" s="80"/>
      <c r="D1600" s="80"/>
      <c r="E1600" s="80"/>
      <c r="F1600" s="80"/>
      <c r="G1600" s="16" t="s">
        <v>1975</v>
      </c>
    </row>
    <row r="1601" spans="1:7" ht="12.6" customHeight="1" x14ac:dyDescent="0.3">
      <c r="A1601" s="80"/>
      <c r="B1601" s="80"/>
      <c r="C1601" s="80"/>
      <c r="D1601" s="80"/>
      <c r="E1601" s="80"/>
      <c r="F1601" s="80"/>
      <c r="G1601" s="16" t="s">
        <v>1324</v>
      </c>
    </row>
    <row r="1602" spans="1:7" ht="12.6" customHeight="1" x14ac:dyDescent="0.3">
      <c r="A1602" s="70"/>
      <c r="B1602" s="79" t="s">
        <v>1409</v>
      </c>
      <c r="C1602" s="80"/>
      <c r="D1602" s="80"/>
      <c r="E1602" s="80"/>
      <c r="F1602" s="80"/>
      <c r="G1602" s="16" t="s">
        <v>1922</v>
      </c>
    </row>
    <row r="1603" spans="1:7" ht="12.6" customHeight="1" x14ac:dyDescent="0.3">
      <c r="A1603" s="80"/>
      <c r="B1603" s="80"/>
      <c r="C1603" s="80"/>
      <c r="D1603" s="80"/>
      <c r="E1603" s="80"/>
      <c r="F1603" s="80"/>
      <c r="G1603" s="16" t="s">
        <v>1324</v>
      </c>
    </row>
    <row r="1604" spans="1:7" ht="12.6" customHeight="1" x14ac:dyDescent="0.3">
      <c r="A1604" s="70"/>
      <c r="B1604" s="79" t="s">
        <v>1978</v>
      </c>
      <c r="C1604" s="80"/>
      <c r="D1604" s="80"/>
      <c r="E1604" s="80"/>
      <c r="F1604" s="80"/>
      <c r="G1604" s="16" t="s">
        <v>1977</v>
      </c>
    </row>
    <row r="1605" spans="1:7" ht="12.6" customHeight="1" x14ac:dyDescent="0.3">
      <c r="A1605" s="80"/>
      <c r="B1605" s="80"/>
      <c r="C1605" s="80"/>
      <c r="D1605" s="80"/>
      <c r="E1605" s="80"/>
      <c r="F1605" s="80"/>
      <c r="G1605" s="16" t="s">
        <v>1324</v>
      </c>
    </row>
    <row r="1606" spans="1:7" ht="12.6" customHeight="1" x14ac:dyDescent="0.3">
      <c r="A1606" s="70"/>
      <c r="B1606" s="79" t="s">
        <v>1980</v>
      </c>
      <c r="C1606" s="80"/>
      <c r="D1606" s="80"/>
      <c r="E1606" s="80"/>
      <c r="F1606" s="80"/>
      <c r="G1606" s="16" t="s">
        <v>1979</v>
      </c>
    </row>
    <row r="1607" spans="1:7" ht="12.6" customHeight="1" x14ac:dyDescent="0.3">
      <c r="A1607" s="80"/>
      <c r="B1607" s="80"/>
      <c r="C1607" s="80"/>
      <c r="D1607" s="80"/>
      <c r="E1607" s="80"/>
      <c r="F1607" s="80"/>
      <c r="G1607" s="16" t="s">
        <v>1324</v>
      </c>
    </row>
    <row r="1608" spans="1:7" ht="12.6" customHeight="1" x14ac:dyDescent="0.3">
      <c r="A1608" s="70"/>
      <c r="B1608" s="79" t="s">
        <v>1981</v>
      </c>
      <c r="C1608" s="80"/>
      <c r="D1608" s="80"/>
      <c r="E1608" s="80"/>
      <c r="F1608" s="80"/>
      <c r="G1608" s="16" t="s">
        <v>1927</v>
      </c>
    </row>
    <row r="1609" spans="1:7" ht="12.6" customHeight="1" x14ac:dyDescent="0.3">
      <c r="A1609" s="80"/>
      <c r="B1609" s="80"/>
      <c r="C1609" s="80"/>
      <c r="D1609" s="80"/>
      <c r="E1609" s="80"/>
      <c r="F1609" s="80"/>
      <c r="G1609" s="16" t="s">
        <v>1324</v>
      </c>
    </row>
    <row r="1610" spans="1:7" ht="12.6" customHeight="1" x14ac:dyDescent="0.3">
      <c r="A1610" s="70"/>
      <c r="B1610" s="79" t="s">
        <v>1930</v>
      </c>
      <c r="C1610" s="80"/>
      <c r="D1610" s="80"/>
      <c r="E1610" s="80"/>
      <c r="F1610" s="80"/>
      <c r="G1610" s="16" t="s">
        <v>1929</v>
      </c>
    </row>
    <row r="1611" spans="1:7" ht="12.6" customHeight="1" x14ac:dyDescent="0.3">
      <c r="A1611" s="80"/>
      <c r="B1611" s="80"/>
      <c r="C1611" s="80"/>
      <c r="D1611" s="80"/>
      <c r="E1611" s="80"/>
      <c r="F1611" s="80"/>
      <c r="G1611" s="16" t="s">
        <v>1324</v>
      </c>
    </row>
    <row r="1612" spans="1:7" ht="12.6" customHeight="1" x14ac:dyDescent="0.3">
      <c r="A1612" s="70"/>
      <c r="B1612" s="79" t="s">
        <v>1983</v>
      </c>
      <c r="C1612" s="80"/>
      <c r="D1612" s="80"/>
      <c r="E1612" s="80"/>
      <c r="F1612" s="80"/>
      <c r="G1612" s="16" t="s">
        <v>1982</v>
      </c>
    </row>
    <row r="1613" spans="1:7" ht="12.6" customHeight="1" x14ac:dyDescent="0.3">
      <c r="A1613" s="80"/>
      <c r="B1613" s="80"/>
      <c r="C1613" s="80"/>
      <c r="D1613" s="80"/>
      <c r="E1613" s="80"/>
      <c r="F1613" s="80"/>
      <c r="G1613" s="16" t="s">
        <v>1324</v>
      </c>
    </row>
    <row r="1614" spans="1:7" ht="12.6" customHeight="1" x14ac:dyDescent="0.3">
      <c r="A1614" s="70"/>
      <c r="B1614" s="79" t="s">
        <v>1985</v>
      </c>
      <c r="C1614" s="80"/>
      <c r="D1614" s="80"/>
      <c r="E1614" s="80"/>
      <c r="F1614" s="80"/>
      <c r="G1614" s="16" t="s">
        <v>1984</v>
      </c>
    </row>
    <row r="1615" spans="1:7" ht="12.6" customHeight="1" x14ac:dyDescent="0.3">
      <c r="A1615" s="80"/>
      <c r="B1615" s="80"/>
      <c r="C1615" s="80"/>
      <c r="D1615" s="80"/>
      <c r="E1615" s="80"/>
      <c r="F1615" s="80"/>
      <c r="G1615" s="16" t="s">
        <v>1324</v>
      </c>
    </row>
    <row r="1616" spans="1:7" ht="12.6" customHeight="1" x14ac:dyDescent="0.3">
      <c r="A1616" s="70"/>
      <c r="B1616" s="79" t="s">
        <v>1987</v>
      </c>
      <c r="C1616" s="80"/>
      <c r="D1616" s="80"/>
      <c r="E1616" s="80"/>
      <c r="F1616" s="80"/>
      <c r="G1616" s="16" t="s">
        <v>1986</v>
      </c>
    </row>
    <row r="1617" spans="1:25" ht="12.6" customHeight="1" x14ac:dyDescent="0.3">
      <c r="A1617" s="80"/>
      <c r="B1617" s="80"/>
      <c r="C1617" s="80"/>
      <c r="D1617" s="80"/>
      <c r="E1617" s="80"/>
      <c r="F1617" s="80"/>
      <c r="G1617" s="16" t="s">
        <v>1324</v>
      </c>
    </row>
    <row r="1618" spans="1:25" ht="12.6" customHeight="1" x14ac:dyDescent="0.3">
      <c r="A1618" s="70"/>
      <c r="B1618" s="79" t="s">
        <v>1989</v>
      </c>
      <c r="C1618" s="80"/>
      <c r="D1618" s="80"/>
      <c r="E1618" s="80"/>
      <c r="F1618" s="80"/>
      <c r="G1618" s="16" t="s">
        <v>1988</v>
      </c>
    </row>
    <row r="1619" spans="1:25" ht="12.6" customHeight="1" x14ac:dyDescent="0.3">
      <c r="A1619" s="80"/>
      <c r="B1619" s="80"/>
      <c r="C1619" s="80"/>
      <c r="D1619" s="80"/>
      <c r="E1619" s="80"/>
      <c r="F1619" s="80"/>
      <c r="G1619" s="16" t="s">
        <v>1324</v>
      </c>
    </row>
    <row r="1620" spans="1:25" ht="12.6" customHeight="1" x14ac:dyDescent="0.3">
      <c r="A1620" s="70" t="s">
        <v>1991</v>
      </c>
      <c r="B1620" s="101" t="str">
        <f>" 노 무 비  :  "&amp;TEXT(I1620,"#,##0"&amp;IF(I1620&lt;&gt;INT(I1620),".###",""))&amp;" / Q1  = "&amp;TEXT(C1620,"#,##0.0")&amp;""</f>
        <v xml:space="preserve"> 노 무 비  :  55,700 / Q1  = 3,132.7</v>
      </c>
      <c r="C1620" s="103">
        <f>E1620+D1620+F1620</f>
        <v>3132.7</v>
      </c>
      <c r="D1620" s="103">
        <f>IF(H1620=0,0,ROUNDDOWN(J1620*H1620,1))</f>
        <v>3132.7</v>
      </c>
      <c r="E1620" s="103">
        <f>IF(H1620=0,0,ROUNDDOWN(K1620*H1620,1))</f>
        <v>0</v>
      </c>
      <c r="F1620" s="103">
        <f>IF(H1620=0,0,ROUNDDOWN(L1620*H1620,1))</f>
        <v>0</v>
      </c>
      <c r="G1620" s="16" t="s">
        <v>1990</v>
      </c>
      <c r="H1620" s="108">
        <v>5.6242969638899999E-2</v>
      </c>
      <c r="I1620" s="109">
        <f>K1620+J1620+L1620</f>
        <v>55700</v>
      </c>
      <c r="J1620" s="39">
        <f>중기목록표!F13</f>
        <v>55700</v>
      </c>
      <c r="M1620" s="20" t="s">
        <v>1992</v>
      </c>
      <c r="N1620" s="20" t="s">
        <v>1999</v>
      </c>
      <c r="X1620" s="110" t="str">
        <f>중기목록표!B13&amp;" / "&amp;중기목록표!C13</f>
        <v>덤프트럭15ton(암) / 할증율:1.25</v>
      </c>
      <c r="Y1620" s="19" t="str">
        <f ca="1">HYPERLINK("#"&amp;중기목록표!J2&amp;"!A"&amp;ROW(중기목록표!A13),"중기   10 →")</f>
        <v>중기   10 →</v>
      </c>
    </row>
    <row r="1621" spans="1:25" ht="12.6" customHeight="1" x14ac:dyDescent="0.3">
      <c r="A1621" s="80"/>
      <c r="B1621" s="80"/>
      <c r="C1621" s="80"/>
      <c r="D1621" s="80"/>
      <c r="E1621" s="80"/>
      <c r="F1621" s="80"/>
      <c r="G1621" s="16" t="s">
        <v>1324</v>
      </c>
    </row>
    <row r="1622" spans="1:25" ht="12.6" customHeight="1" x14ac:dyDescent="0.3">
      <c r="A1622" s="70" t="s">
        <v>1994</v>
      </c>
      <c r="B1622" s="101" t="str">
        <f>" 재 료 비  :  "&amp;TEXT(I1622,"#,##0"&amp;IF(I1622&lt;&gt;INT(I1622),".###",""))&amp;" / Q1 * OH = "&amp;TEXT(C1622,"#,##0.0")&amp;""</f>
        <v xml:space="preserve"> 재 료 비  :  27,910 / Q1 * OH = 266.8</v>
      </c>
      <c r="C1622" s="103">
        <f>E1622+D1622+F1622</f>
        <v>266.8</v>
      </c>
      <c r="D1622" s="103">
        <f>IF(H1622=0,0,ROUNDDOWN(J1622*H1622,1))</f>
        <v>0</v>
      </c>
      <c r="E1622" s="103">
        <f>IF(H1622=0,0,ROUNDDOWN(K1622*H1622,1))</f>
        <v>266.8</v>
      </c>
      <c r="F1622" s="103">
        <f>IF(H1622=0,0,ROUNDDOWN(L1622*H1622,1))</f>
        <v>0</v>
      </c>
      <c r="G1622" s="16" t="s">
        <v>1993</v>
      </c>
      <c r="H1622" s="108">
        <v>9.5613048469999993E-3</v>
      </c>
      <c r="I1622" s="109">
        <f>K1622+J1622+L1622</f>
        <v>27910</v>
      </c>
      <c r="K1622" s="39">
        <f>중기목록표!G13</f>
        <v>27910</v>
      </c>
      <c r="M1622" s="20" t="s">
        <v>1992</v>
      </c>
      <c r="N1622" s="20" t="s">
        <v>1999</v>
      </c>
      <c r="X1622" s="110" t="str">
        <f>중기목록표!B13&amp;" / "&amp;중기목록표!C13</f>
        <v>덤프트럭15ton(암) / 할증율:1.25</v>
      </c>
      <c r="Y1622" s="19" t="str">
        <f ca="1">HYPERLINK("#"&amp;중기목록표!J2&amp;"!A"&amp;ROW(중기목록표!A13),"중기   10 →")</f>
        <v>중기   10 →</v>
      </c>
    </row>
    <row r="1623" spans="1:25" ht="12.6" customHeight="1" x14ac:dyDescent="0.3">
      <c r="A1623" s="80"/>
      <c r="B1623" s="80"/>
      <c r="C1623" s="80"/>
      <c r="D1623" s="80"/>
      <c r="E1623" s="80"/>
      <c r="F1623" s="80"/>
      <c r="G1623" s="16" t="s">
        <v>1324</v>
      </c>
    </row>
    <row r="1624" spans="1:25" ht="12.6" customHeight="1" x14ac:dyDescent="0.3">
      <c r="A1624" s="70" t="s">
        <v>1996</v>
      </c>
      <c r="B1624" s="101" t="str">
        <f>" 경    비  :  "&amp;TEXT(I1624,"#,##0"&amp;IF(I1624&lt;&gt;INT(I1624),".###",""))&amp;" / Q1  = "&amp;TEXT(C1624,"#,##0.0")&amp;""</f>
        <v xml:space="preserve"> 경    비  :  23,077 / Q1  = 1,297.9</v>
      </c>
      <c r="C1624" s="103">
        <f>E1624+D1624+F1624</f>
        <v>1297.9000000000001</v>
      </c>
      <c r="D1624" s="103">
        <f>IF(H1624=0,0,ROUNDDOWN(J1624*H1624,1))</f>
        <v>0</v>
      </c>
      <c r="E1624" s="103">
        <f>IF(H1624=0,0,ROUNDDOWN(K1624*H1624,1))</f>
        <v>0</v>
      </c>
      <c r="F1624" s="103">
        <f>IF(H1624=0,0,ROUNDDOWN(L1624*H1624,1))</f>
        <v>1297.9000000000001</v>
      </c>
      <c r="G1624" s="16" t="s">
        <v>1995</v>
      </c>
      <c r="H1624" s="108">
        <v>5.6242969638899999E-2</v>
      </c>
      <c r="I1624" s="109">
        <f>K1624+J1624+L1624</f>
        <v>23077</v>
      </c>
      <c r="L1624" s="39">
        <f>중기목록표!H13</f>
        <v>23077</v>
      </c>
      <c r="M1624" s="20" t="s">
        <v>1992</v>
      </c>
      <c r="N1624" s="20" t="s">
        <v>1999</v>
      </c>
      <c r="X1624" s="110" t="str">
        <f>중기목록표!B13&amp;" / "&amp;중기목록표!C13</f>
        <v>덤프트럭15ton(암) / 할증율:1.25</v>
      </c>
      <c r="Y1624" s="19" t="str">
        <f ca="1">HYPERLINK("#"&amp;중기목록표!J2&amp;"!A"&amp;ROW(중기목록표!A13),"중기   10 →")</f>
        <v>중기   10 →</v>
      </c>
    </row>
    <row r="1625" spans="1:25" ht="12.6" customHeight="1" x14ac:dyDescent="0.3">
      <c r="A1625" s="80"/>
      <c r="B1625" s="80"/>
      <c r="C1625" s="80"/>
      <c r="D1625" s="80"/>
      <c r="E1625" s="80"/>
      <c r="F1625" s="80"/>
      <c r="G1625" s="16" t="s">
        <v>1324</v>
      </c>
    </row>
    <row r="1626" spans="1:25" ht="12.6" customHeight="1" x14ac:dyDescent="0.3">
      <c r="A1626" s="70"/>
      <c r="B1626" s="79" t="s">
        <v>1998</v>
      </c>
      <c r="C1626" s="106">
        <f>E1626+D1626+F1626</f>
        <v>4697.3999999999996</v>
      </c>
      <c r="D1626" s="106">
        <f>SUMIF(N1593:N1625,M1626,D1593:D1625)</f>
        <v>3132.7</v>
      </c>
      <c r="E1626" s="106">
        <f>SUMIF(N1593:N1625,M1626,E1593:E1625)</f>
        <v>266.8</v>
      </c>
      <c r="F1626" s="106">
        <f>SUMIF(N1593:N1625,M1626,F1593:F1625)</f>
        <v>1297.9000000000001</v>
      </c>
      <c r="G1626" s="16" t="s">
        <v>1997</v>
      </c>
      <c r="M1626" s="20" t="s">
        <v>1999</v>
      </c>
    </row>
    <row r="1627" spans="1:25" ht="12.6" customHeight="1" x14ac:dyDescent="0.3">
      <c r="A1627" s="80"/>
      <c r="B1627" s="80"/>
      <c r="C1627" s="107"/>
      <c r="D1627" s="107"/>
      <c r="E1627" s="107"/>
      <c r="F1627" s="107"/>
      <c r="G1627" s="16" t="s">
        <v>1324</v>
      </c>
    </row>
    <row r="1628" spans="1:25" ht="12.6" customHeight="1" x14ac:dyDescent="0.3">
      <c r="A1628" s="70"/>
      <c r="B1628" s="79" t="s">
        <v>2001</v>
      </c>
      <c r="C1628" s="80"/>
      <c r="D1628" s="80"/>
      <c r="E1628" s="80"/>
      <c r="F1628" s="80"/>
      <c r="G1628" s="16" t="s">
        <v>2000</v>
      </c>
    </row>
    <row r="1629" spans="1:25" ht="12.6" customHeight="1" x14ac:dyDescent="0.3">
      <c r="A1629" s="80"/>
      <c r="B1629" s="80"/>
      <c r="C1629" s="80"/>
      <c r="D1629" s="80"/>
      <c r="E1629" s="80"/>
      <c r="F1629" s="80"/>
      <c r="G1629" s="16" t="s">
        <v>1324</v>
      </c>
    </row>
    <row r="1630" spans="1:25" ht="12.6" customHeight="1" x14ac:dyDescent="0.3">
      <c r="A1630" s="70"/>
      <c r="B1630" s="79" t="s">
        <v>1974</v>
      </c>
      <c r="C1630" s="80"/>
      <c r="D1630" s="80"/>
      <c r="E1630" s="80"/>
      <c r="F1630" s="80"/>
      <c r="G1630" s="16" t="s">
        <v>1973</v>
      </c>
    </row>
    <row r="1631" spans="1:25" ht="12.6" customHeight="1" x14ac:dyDescent="0.3">
      <c r="A1631" s="80"/>
      <c r="B1631" s="80"/>
      <c r="C1631" s="80"/>
      <c r="D1631" s="80"/>
      <c r="E1631" s="80"/>
      <c r="F1631" s="80"/>
      <c r="G1631" s="16" t="s">
        <v>1324</v>
      </c>
    </row>
    <row r="1632" spans="1:25" ht="12.6" customHeight="1" x14ac:dyDescent="0.3">
      <c r="A1632" s="70"/>
      <c r="B1632" s="79" t="s">
        <v>2003</v>
      </c>
      <c r="C1632" s="80"/>
      <c r="D1632" s="80"/>
      <c r="E1632" s="80"/>
      <c r="F1632" s="80"/>
      <c r="G1632" s="16" t="s">
        <v>2002</v>
      </c>
    </row>
    <row r="1633" spans="1:7" ht="12.6" customHeight="1" x14ac:dyDescent="0.3">
      <c r="A1633" s="80"/>
      <c r="B1633" s="80"/>
      <c r="C1633" s="80"/>
      <c r="D1633" s="80"/>
      <c r="E1633" s="80"/>
      <c r="F1633" s="80"/>
      <c r="G1633" s="16" t="s">
        <v>1324</v>
      </c>
    </row>
    <row r="1634" spans="1:7" ht="12.6" customHeight="1" x14ac:dyDescent="0.3">
      <c r="A1634" s="70"/>
      <c r="B1634" s="79" t="s">
        <v>1409</v>
      </c>
      <c r="C1634" s="80"/>
      <c r="D1634" s="80"/>
      <c r="E1634" s="80"/>
      <c r="F1634" s="80"/>
      <c r="G1634" s="16" t="s">
        <v>1922</v>
      </c>
    </row>
    <row r="1635" spans="1:7" ht="12.6" customHeight="1" x14ac:dyDescent="0.3">
      <c r="A1635" s="80"/>
      <c r="B1635" s="80"/>
      <c r="C1635" s="80"/>
      <c r="D1635" s="80"/>
      <c r="E1635" s="80"/>
      <c r="F1635" s="80"/>
      <c r="G1635" s="16" t="s">
        <v>1324</v>
      </c>
    </row>
    <row r="1636" spans="1:7" ht="12.6" customHeight="1" x14ac:dyDescent="0.3">
      <c r="A1636" s="70"/>
      <c r="B1636" s="79" t="s">
        <v>2004</v>
      </c>
      <c r="C1636" s="80"/>
      <c r="D1636" s="80"/>
      <c r="E1636" s="80"/>
      <c r="F1636" s="80"/>
      <c r="G1636" s="16" t="s">
        <v>1977</v>
      </c>
    </row>
    <row r="1637" spans="1:7" ht="12.6" customHeight="1" x14ac:dyDescent="0.3">
      <c r="A1637" s="80"/>
      <c r="B1637" s="80"/>
      <c r="C1637" s="80"/>
      <c r="D1637" s="80"/>
      <c r="E1637" s="80"/>
      <c r="F1637" s="80"/>
      <c r="G1637" s="16" t="s">
        <v>1324</v>
      </c>
    </row>
    <row r="1638" spans="1:7" ht="12.6" customHeight="1" x14ac:dyDescent="0.3">
      <c r="A1638" s="70"/>
      <c r="B1638" s="79" t="s">
        <v>2005</v>
      </c>
      <c r="C1638" s="80"/>
      <c r="D1638" s="80"/>
      <c r="E1638" s="80"/>
      <c r="F1638" s="80"/>
      <c r="G1638" s="16" t="s">
        <v>1979</v>
      </c>
    </row>
    <row r="1639" spans="1:7" ht="12.6" customHeight="1" x14ac:dyDescent="0.3">
      <c r="A1639" s="80"/>
      <c r="B1639" s="80"/>
      <c r="C1639" s="80"/>
      <c r="D1639" s="80"/>
      <c r="E1639" s="80"/>
      <c r="F1639" s="80"/>
      <c r="G1639" s="16" t="s">
        <v>1324</v>
      </c>
    </row>
    <row r="1640" spans="1:7" ht="12.6" customHeight="1" x14ac:dyDescent="0.3">
      <c r="A1640" s="70"/>
      <c r="B1640" s="79" t="s">
        <v>1981</v>
      </c>
      <c r="C1640" s="80"/>
      <c r="D1640" s="80"/>
      <c r="E1640" s="80"/>
      <c r="F1640" s="80"/>
      <c r="G1640" s="16" t="s">
        <v>1927</v>
      </c>
    </row>
    <row r="1641" spans="1:7" ht="12.6" customHeight="1" x14ac:dyDescent="0.3">
      <c r="A1641" s="80"/>
      <c r="B1641" s="80"/>
      <c r="C1641" s="80"/>
      <c r="D1641" s="80"/>
      <c r="E1641" s="80"/>
      <c r="F1641" s="80"/>
      <c r="G1641" s="16" t="s">
        <v>1324</v>
      </c>
    </row>
    <row r="1642" spans="1:7" ht="12.6" customHeight="1" x14ac:dyDescent="0.3">
      <c r="A1642" s="70"/>
      <c r="B1642" s="79" t="s">
        <v>1930</v>
      </c>
      <c r="C1642" s="80"/>
      <c r="D1642" s="80"/>
      <c r="E1642" s="80"/>
      <c r="F1642" s="80"/>
      <c r="G1642" s="16" t="s">
        <v>1929</v>
      </c>
    </row>
    <row r="1643" spans="1:7" ht="12.6" customHeight="1" x14ac:dyDescent="0.3">
      <c r="A1643" s="80"/>
      <c r="B1643" s="80"/>
      <c r="C1643" s="80"/>
      <c r="D1643" s="80"/>
      <c r="E1643" s="80"/>
      <c r="F1643" s="80"/>
      <c r="G1643" s="16" t="s">
        <v>1324</v>
      </c>
    </row>
    <row r="1644" spans="1:7" ht="12.6" customHeight="1" x14ac:dyDescent="0.3">
      <c r="A1644" s="70"/>
      <c r="B1644" s="79" t="s">
        <v>1983</v>
      </c>
      <c r="C1644" s="80"/>
      <c r="D1644" s="80"/>
      <c r="E1644" s="80"/>
      <c r="F1644" s="80"/>
      <c r="G1644" s="16" t="s">
        <v>1982</v>
      </c>
    </row>
    <row r="1645" spans="1:7" ht="12.6" customHeight="1" x14ac:dyDescent="0.3">
      <c r="A1645" s="80"/>
      <c r="B1645" s="80"/>
      <c r="C1645" s="80"/>
      <c r="D1645" s="80"/>
      <c r="E1645" s="80"/>
      <c r="F1645" s="80"/>
      <c r="G1645" s="16" t="s">
        <v>1324</v>
      </c>
    </row>
    <row r="1646" spans="1:7" ht="12.6" customHeight="1" x14ac:dyDescent="0.3">
      <c r="A1646" s="70"/>
      <c r="B1646" s="79" t="s">
        <v>2006</v>
      </c>
      <c r="C1646" s="80"/>
      <c r="D1646" s="80"/>
      <c r="E1646" s="80"/>
      <c r="F1646" s="80"/>
      <c r="G1646" s="16" t="s">
        <v>1984</v>
      </c>
    </row>
    <row r="1647" spans="1:7" ht="12.6" customHeight="1" x14ac:dyDescent="0.3">
      <c r="A1647" s="80"/>
      <c r="B1647" s="80"/>
      <c r="C1647" s="80"/>
      <c r="D1647" s="80"/>
      <c r="E1647" s="80"/>
      <c r="F1647" s="80"/>
      <c r="G1647" s="16" t="s">
        <v>1324</v>
      </c>
    </row>
    <row r="1648" spans="1:7" ht="12.6" customHeight="1" x14ac:dyDescent="0.3">
      <c r="A1648" s="70"/>
      <c r="B1648" s="79" t="s">
        <v>2008</v>
      </c>
      <c r="C1648" s="80"/>
      <c r="D1648" s="80"/>
      <c r="E1648" s="80"/>
      <c r="F1648" s="80"/>
      <c r="G1648" s="16" t="s">
        <v>2007</v>
      </c>
    </row>
    <row r="1649" spans="1:25" ht="12.6" customHeight="1" x14ac:dyDescent="0.3">
      <c r="A1649" s="80"/>
      <c r="B1649" s="80"/>
      <c r="C1649" s="80"/>
      <c r="D1649" s="80"/>
      <c r="E1649" s="80"/>
      <c r="F1649" s="80"/>
      <c r="G1649" s="16" t="s">
        <v>1324</v>
      </c>
    </row>
    <row r="1650" spans="1:25" ht="12.6" customHeight="1" x14ac:dyDescent="0.3">
      <c r="A1650" s="70"/>
      <c r="B1650" s="79" t="s">
        <v>2010</v>
      </c>
      <c r="C1650" s="80"/>
      <c r="D1650" s="80"/>
      <c r="E1650" s="80"/>
      <c r="F1650" s="80"/>
      <c r="G1650" s="16" t="s">
        <v>2009</v>
      </c>
    </row>
    <row r="1651" spans="1:25" ht="12.6" customHeight="1" x14ac:dyDescent="0.3">
      <c r="A1651" s="80"/>
      <c r="B1651" s="80"/>
      <c r="C1651" s="80"/>
      <c r="D1651" s="80"/>
      <c r="E1651" s="80"/>
      <c r="F1651" s="80"/>
      <c r="G1651" s="16" t="s">
        <v>1324</v>
      </c>
    </row>
    <row r="1652" spans="1:25" ht="12.6" customHeight="1" x14ac:dyDescent="0.3">
      <c r="A1652" s="70" t="s">
        <v>2012</v>
      </c>
      <c r="B1652" s="101" t="str">
        <f>" 노 무 비  :  "&amp;TEXT(I1652,"#,##0"&amp;IF(I1652&lt;&gt;INT(I1652),".###",""))&amp;" / Q2 = "&amp;TEXT(C1652,"#,##0.0")&amp;""</f>
        <v xml:space="preserve"> 노 무 비  :  47,231 / Q2 = 2,915.4</v>
      </c>
      <c r="C1652" s="103">
        <f>E1652+D1652+F1652</f>
        <v>2915.4</v>
      </c>
      <c r="D1652" s="103">
        <f>IF(H1652=0,0,ROUNDDOWN(J1652*H1652,1))</f>
        <v>2915.4</v>
      </c>
      <c r="E1652" s="103">
        <f>IF(H1652=0,0,ROUNDDOWN(K1652*H1652,1))</f>
        <v>0</v>
      </c>
      <c r="F1652" s="103">
        <f>IF(H1652=0,0,ROUNDDOWN(L1652*H1652,1))</f>
        <v>0</v>
      </c>
      <c r="G1652" s="16" t="s">
        <v>2011</v>
      </c>
      <c r="H1652" s="108">
        <v>6.1728395071800002E-2</v>
      </c>
      <c r="I1652" s="109">
        <f>K1652+J1652+L1652</f>
        <v>47231</v>
      </c>
      <c r="J1652" s="39">
        <f>중기목록표!F12</f>
        <v>47231</v>
      </c>
      <c r="M1652" s="20" t="s">
        <v>2013</v>
      </c>
      <c r="N1652" s="20" t="s">
        <v>1345</v>
      </c>
      <c r="X1652" s="110" t="str">
        <f>중기목록표!B12&amp;" / "&amp;중기목록표!C12</f>
        <v>덤프트럭10.5ton(암) / 할증율:1.25</v>
      </c>
      <c r="Y1652" s="19" t="str">
        <f ca="1">HYPERLINK("#"&amp;중기목록표!J2&amp;"!A"&amp;ROW(중기목록표!A12),"중기    9 →")</f>
        <v>중기    9 →</v>
      </c>
    </row>
    <row r="1653" spans="1:25" ht="12.6" customHeight="1" x14ac:dyDescent="0.3">
      <c r="A1653" s="80"/>
      <c r="B1653" s="80"/>
      <c r="C1653" s="80"/>
      <c r="D1653" s="80"/>
      <c r="E1653" s="80"/>
      <c r="F1653" s="80"/>
      <c r="G1653" s="16" t="s">
        <v>1324</v>
      </c>
    </row>
    <row r="1654" spans="1:25" ht="12.6" customHeight="1" x14ac:dyDescent="0.3">
      <c r="A1654" s="70" t="s">
        <v>2015</v>
      </c>
      <c r="B1654" s="101" t="str">
        <f>" 재 료 비  :  "&amp;TEXT(I1654,"#,##0"&amp;IF(I1654&lt;&gt;INT(I1654),".###",""))&amp;" / Q2 * OH = "&amp;TEXT(C1654,"#,##0.0")&amp;""</f>
        <v xml:space="preserve"> 재 료 비  :  24,750 / Q2 * OH = 336.1</v>
      </c>
      <c r="C1654" s="103">
        <f>E1654+D1654+F1654</f>
        <v>336.1</v>
      </c>
      <c r="D1654" s="103">
        <f>IF(H1654=0,0,ROUNDDOWN(J1654*H1654,1))</f>
        <v>0</v>
      </c>
      <c r="E1654" s="103">
        <f>IF(H1654=0,0,ROUNDDOWN(K1654*H1654,1))</f>
        <v>336.1</v>
      </c>
      <c r="F1654" s="103">
        <f>IF(H1654=0,0,ROUNDDOWN(L1654*H1654,1))</f>
        <v>0</v>
      </c>
      <c r="G1654" s="16" t="s">
        <v>2014</v>
      </c>
      <c r="H1654" s="108">
        <v>1.3580246923700001E-2</v>
      </c>
      <c r="I1654" s="109">
        <f>K1654+J1654+L1654</f>
        <v>24750</v>
      </c>
      <c r="K1654" s="39">
        <f>중기목록표!G12</f>
        <v>24750</v>
      </c>
      <c r="M1654" s="20" t="s">
        <v>2013</v>
      </c>
      <c r="N1654" s="20" t="s">
        <v>1345</v>
      </c>
      <c r="X1654" s="110" t="str">
        <f>중기목록표!B12&amp;" / "&amp;중기목록표!C12</f>
        <v>덤프트럭10.5ton(암) / 할증율:1.25</v>
      </c>
      <c r="Y1654" s="19" t="str">
        <f ca="1">HYPERLINK("#"&amp;중기목록표!J2&amp;"!A"&amp;ROW(중기목록표!A12),"중기    9 →")</f>
        <v>중기    9 →</v>
      </c>
    </row>
    <row r="1655" spans="1:25" ht="12.6" customHeight="1" x14ac:dyDescent="0.3">
      <c r="A1655" s="80"/>
      <c r="B1655" s="80"/>
      <c r="C1655" s="80"/>
      <c r="D1655" s="80"/>
      <c r="E1655" s="80"/>
      <c r="F1655" s="80"/>
      <c r="G1655" s="16" t="s">
        <v>1324</v>
      </c>
    </row>
    <row r="1656" spans="1:25" ht="12.6" customHeight="1" x14ac:dyDescent="0.3">
      <c r="A1656" s="70" t="s">
        <v>2017</v>
      </c>
      <c r="B1656" s="101" t="str">
        <f>" 경    비  :  "&amp;TEXT(I1656,"#,##0"&amp;IF(I1656&lt;&gt;INT(I1656),".###",""))&amp;" / Q2 = "&amp;TEXT(C1656,"#,##0.0")&amp;""</f>
        <v xml:space="preserve"> 경    비  :  13,222 / Q2 = 816.1</v>
      </c>
      <c r="C1656" s="103">
        <f>E1656+D1656+F1656</f>
        <v>816.1</v>
      </c>
      <c r="D1656" s="103">
        <f>IF(H1656=0,0,ROUNDDOWN(J1656*H1656,1))</f>
        <v>0</v>
      </c>
      <c r="E1656" s="103">
        <f>IF(H1656=0,0,ROUNDDOWN(K1656*H1656,1))</f>
        <v>0</v>
      </c>
      <c r="F1656" s="103">
        <f>IF(H1656=0,0,ROUNDDOWN(L1656*H1656,1))</f>
        <v>816.1</v>
      </c>
      <c r="G1656" s="16" t="s">
        <v>2016</v>
      </c>
      <c r="H1656" s="108">
        <v>6.1728395071800002E-2</v>
      </c>
      <c r="I1656" s="109">
        <f>K1656+J1656+L1656</f>
        <v>13222</v>
      </c>
      <c r="L1656" s="39">
        <f>중기목록표!H12</f>
        <v>13222</v>
      </c>
      <c r="M1656" s="20" t="s">
        <v>2013</v>
      </c>
      <c r="N1656" s="20" t="s">
        <v>1345</v>
      </c>
      <c r="X1656" s="110" t="str">
        <f>중기목록표!B12&amp;" / "&amp;중기목록표!C12</f>
        <v>덤프트럭10.5ton(암) / 할증율:1.25</v>
      </c>
      <c r="Y1656" s="19" t="str">
        <f ca="1">HYPERLINK("#"&amp;중기목록표!J2&amp;"!A"&amp;ROW(중기목록표!A12),"중기    9 →")</f>
        <v>중기    9 →</v>
      </c>
    </row>
    <row r="1657" spans="1:25" ht="12.6" customHeight="1" x14ac:dyDescent="0.3">
      <c r="A1657" s="80"/>
      <c r="B1657" s="80"/>
      <c r="C1657" s="80"/>
      <c r="D1657" s="80"/>
      <c r="E1657" s="80"/>
      <c r="F1657" s="80"/>
      <c r="G1657" s="16" t="s">
        <v>1324</v>
      </c>
    </row>
    <row r="1658" spans="1:25" ht="12.6" customHeight="1" x14ac:dyDescent="0.3">
      <c r="A1658" s="70"/>
      <c r="B1658" s="79" t="s">
        <v>1344</v>
      </c>
      <c r="C1658" s="104">
        <f>E1658+D1658+F1658</f>
        <v>4067.6</v>
      </c>
      <c r="D1658" s="104">
        <f>SUMIF(N1627:N1657,M1658,D1627:D1657)</f>
        <v>2915.4</v>
      </c>
      <c r="E1658" s="104">
        <f>SUMIF(N1627:N1657,M1658,E1627:E1657)</f>
        <v>336.1</v>
      </c>
      <c r="F1658" s="104">
        <f>SUMIF(N1627:N1657,M1658,F1627:F1657)</f>
        <v>816.1</v>
      </c>
      <c r="G1658" s="16" t="s">
        <v>1603</v>
      </c>
      <c r="M1658" s="20" t="s">
        <v>1345</v>
      </c>
      <c r="N1658" s="20" t="s">
        <v>1368</v>
      </c>
    </row>
    <row r="1659" spans="1:25" ht="12.6" customHeight="1" x14ac:dyDescent="0.3">
      <c r="A1659" s="80"/>
      <c r="B1659" s="80"/>
      <c r="C1659" s="102"/>
      <c r="D1659" s="102"/>
      <c r="E1659" s="102"/>
      <c r="F1659" s="102"/>
      <c r="G1659" s="16" t="s">
        <v>1324</v>
      </c>
    </row>
    <row r="1660" spans="1:25" ht="12.6" customHeight="1" x14ac:dyDescent="0.3">
      <c r="A1660" s="70"/>
      <c r="B1660" s="79" t="s">
        <v>1947</v>
      </c>
      <c r="C1660" s="80"/>
      <c r="D1660" s="80"/>
      <c r="E1660" s="80"/>
      <c r="F1660" s="80"/>
      <c r="G1660" s="16" t="s">
        <v>1946</v>
      </c>
    </row>
    <row r="1661" spans="1:25" ht="12.6" customHeight="1" x14ac:dyDescent="0.3">
      <c r="A1661" s="80"/>
      <c r="B1661" s="80"/>
      <c r="C1661" s="80"/>
      <c r="D1661" s="80"/>
      <c r="E1661" s="80"/>
      <c r="F1661" s="80"/>
      <c r="G1661" s="16" t="s">
        <v>1324</v>
      </c>
    </row>
    <row r="1662" spans="1:25" ht="12.6" customHeight="1" x14ac:dyDescent="0.3">
      <c r="A1662" s="70"/>
      <c r="B1662" s="79" t="s">
        <v>1949</v>
      </c>
      <c r="C1662" s="80"/>
      <c r="D1662" s="80"/>
      <c r="E1662" s="80"/>
      <c r="F1662" s="80"/>
      <c r="G1662" s="16" t="s">
        <v>1948</v>
      </c>
    </row>
    <row r="1663" spans="1:25" ht="12.6" customHeight="1" x14ac:dyDescent="0.3">
      <c r="A1663" s="80"/>
      <c r="B1663" s="80"/>
      <c r="C1663" s="80"/>
      <c r="D1663" s="80"/>
      <c r="E1663" s="80"/>
      <c r="F1663" s="80"/>
      <c r="G1663" s="16" t="s">
        <v>1324</v>
      </c>
    </row>
    <row r="1664" spans="1:25" ht="12.6" customHeight="1" x14ac:dyDescent="0.3">
      <c r="A1664" s="70"/>
      <c r="B1664" s="79" t="s">
        <v>2019</v>
      </c>
      <c r="C1664" s="80"/>
      <c r="D1664" s="80"/>
      <c r="E1664" s="80"/>
      <c r="F1664" s="80"/>
      <c r="G1664" s="16" t="s">
        <v>2018</v>
      </c>
    </row>
    <row r="1665" spans="1:25" ht="12.6" customHeight="1" x14ac:dyDescent="0.3">
      <c r="A1665" s="80"/>
      <c r="B1665" s="80"/>
      <c r="C1665" s="80"/>
      <c r="D1665" s="80"/>
      <c r="E1665" s="80"/>
      <c r="F1665" s="80"/>
      <c r="G1665" s="16" t="s">
        <v>1324</v>
      </c>
    </row>
    <row r="1666" spans="1:25" ht="12.6" customHeight="1" x14ac:dyDescent="0.3">
      <c r="A1666" s="70"/>
      <c r="B1666" s="79" t="s">
        <v>2021</v>
      </c>
      <c r="C1666" s="80"/>
      <c r="D1666" s="80"/>
      <c r="E1666" s="80"/>
      <c r="F1666" s="80"/>
      <c r="G1666" s="16" t="s">
        <v>2020</v>
      </c>
    </row>
    <row r="1667" spans="1:25" ht="12.6" customHeight="1" x14ac:dyDescent="0.3">
      <c r="A1667" s="80"/>
      <c r="B1667" s="80"/>
      <c r="C1667" s="80"/>
      <c r="D1667" s="80"/>
      <c r="E1667" s="80"/>
      <c r="F1667" s="80"/>
      <c r="G1667" s="16" t="s">
        <v>1324</v>
      </c>
    </row>
    <row r="1668" spans="1:25" ht="12.6" customHeight="1" x14ac:dyDescent="0.3">
      <c r="A1668" s="70" t="s">
        <v>1394</v>
      </c>
      <c r="B1668" s="101" t="str">
        <f>" 노 무 비  :  "&amp;TEXT(I1668,"#,##0"&amp;IF(I1668&lt;&gt;INT(I1668),".###",""))&amp;" / Q3/ 3 = "&amp;TEXT(C1668,"#,##0.0")&amp;""</f>
        <v xml:space="preserve"> 노 무 비  :  55,700 / Q3/ 3 = 421.0</v>
      </c>
      <c r="C1668" s="103">
        <f>E1668+D1668+F1668</f>
        <v>421</v>
      </c>
      <c r="D1668" s="103">
        <f>IF(H1668=0,0,ROUNDDOWN(J1668*H1668,1))</f>
        <v>421</v>
      </c>
      <c r="E1668" s="103">
        <f>IF(H1668=0,0,ROUNDDOWN(K1668*H1668,1))</f>
        <v>0</v>
      </c>
      <c r="F1668" s="103">
        <f>IF(H1668=0,0,ROUNDDOWN(L1668*H1668,1))</f>
        <v>0</v>
      </c>
      <c r="G1668" s="16" t="s">
        <v>2022</v>
      </c>
      <c r="H1668" s="108">
        <v>7.5585789973000002E-3</v>
      </c>
      <c r="I1668" s="109">
        <f>K1668+J1668+L1668</f>
        <v>55700</v>
      </c>
      <c r="J1668" s="39">
        <f>중기목록표!F9</f>
        <v>55700</v>
      </c>
      <c r="M1668" s="20" t="s">
        <v>1395</v>
      </c>
      <c r="N1668" s="20" t="s">
        <v>1345</v>
      </c>
      <c r="X1668" s="110" t="str">
        <f>중기목록표!B9&amp;" / "&amp;중기목록표!C9</f>
        <v>굴삭기(0.7m3) / 0.7㎥,(암석)</v>
      </c>
      <c r="Y1668" s="19" t="str">
        <f ca="1">HYPERLINK("#"&amp;중기목록표!J2&amp;"!A"&amp;ROW(중기목록표!A9),"중기    6 →")</f>
        <v>중기    6 →</v>
      </c>
    </row>
    <row r="1669" spans="1:25" ht="12.6" customHeight="1" x14ac:dyDescent="0.3">
      <c r="A1669" s="80"/>
      <c r="B1669" s="80"/>
      <c r="C1669" s="80"/>
      <c r="D1669" s="80"/>
      <c r="E1669" s="80"/>
      <c r="F1669" s="80"/>
      <c r="G1669" s="16" t="s">
        <v>1324</v>
      </c>
    </row>
    <row r="1670" spans="1:25" ht="12.6" customHeight="1" x14ac:dyDescent="0.3">
      <c r="A1670" s="70" t="s">
        <v>1397</v>
      </c>
      <c r="B1670" s="101" t="str">
        <f>" 재 료 비  :  "&amp;TEXT(I1670,"#,##0"&amp;IF(I1670&lt;&gt;INT(I1670),".###",""))&amp;" / Q3/ 3 = "&amp;TEXT(C1670,"#,##0.0")&amp;""</f>
        <v xml:space="preserve"> 재 료 비  :  18,001 / Q3/ 3 = 136.0</v>
      </c>
      <c r="C1670" s="103">
        <f>E1670+D1670+F1670</f>
        <v>136</v>
      </c>
      <c r="D1670" s="103">
        <f>IF(H1670=0,0,ROUNDDOWN(J1670*H1670,1))</f>
        <v>0</v>
      </c>
      <c r="E1670" s="103">
        <f>IF(H1670=0,0,ROUNDDOWN(K1670*H1670,1))</f>
        <v>136</v>
      </c>
      <c r="F1670" s="103">
        <f>IF(H1670=0,0,ROUNDDOWN(L1670*H1670,1))</f>
        <v>0</v>
      </c>
      <c r="G1670" s="16" t="s">
        <v>2023</v>
      </c>
      <c r="H1670" s="108">
        <v>7.5585789973000002E-3</v>
      </c>
      <c r="I1670" s="109">
        <f>K1670+J1670+L1670</f>
        <v>18001</v>
      </c>
      <c r="K1670" s="39">
        <f>중기목록표!G9</f>
        <v>18001</v>
      </c>
      <c r="M1670" s="20" t="s">
        <v>1395</v>
      </c>
      <c r="N1670" s="20" t="s">
        <v>1345</v>
      </c>
      <c r="X1670" s="110" t="str">
        <f>중기목록표!B9&amp;" / "&amp;중기목록표!C9</f>
        <v>굴삭기(0.7m3) / 0.7㎥,(암석)</v>
      </c>
      <c r="Y1670" s="19" t="str">
        <f ca="1">HYPERLINK("#"&amp;중기목록표!J2&amp;"!A"&amp;ROW(중기목록표!A9),"중기    6 →")</f>
        <v>중기    6 →</v>
      </c>
    </row>
    <row r="1671" spans="1:25" ht="12.6" customHeight="1" x14ac:dyDescent="0.3">
      <c r="A1671" s="80"/>
      <c r="B1671" s="80"/>
      <c r="C1671" s="80"/>
      <c r="D1671" s="80"/>
      <c r="E1671" s="80"/>
      <c r="F1671" s="80"/>
      <c r="G1671" s="16" t="s">
        <v>1324</v>
      </c>
    </row>
    <row r="1672" spans="1:25" ht="12.6" customHeight="1" x14ac:dyDescent="0.3">
      <c r="A1672" s="70" t="s">
        <v>1399</v>
      </c>
      <c r="B1672" s="101" t="str">
        <f>" 경    비  :  "&amp;TEXT(I1672,"#,##0"&amp;IF(I1672&lt;&gt;INT(I1672),".###",""))&amp;" / Q3/ 3 = "&amp;TEXT(C1672,"#,##0.0")&amp;""</f>
        <v xml:space="preserve"> 경    비  :  26,677 / Q3/ 3 = 201.6</v>
      </c>
      <c r="C1672" s="103">
        <f>E1672+D1672+F1672</f>
        <v>201.6</v>
      </c>
      <c r="D1672" s="103">
        <f>IF(H1672=0,0,ROUNDDOWN(J1672*H1672,1))</f>
        <v>0</v>
      </c>
      <c r="E1672" s="103">
        <f>IF(H1672=0,0,ROUNDDOWN(K1672*H1672,1))</f>
        <v>0</v>
      </c>
      <c r="F1672" s="103">
        <f>IF(H1672=0,0,ROUNDDOWN(L1672*H1672,1))</f>
        <v>201.6</v>
      </c>
      <c r="G1672" s="16" t="s">
        <v>2024</v>
      </c>
      <c r="H1672" s="108">
        <v>7.5585789973000002E-3</v>
      </c>
      <c r="I1672" s="109">
        <f>K1672+J1672+L1672</f>
        <v>26677</v>
      </c>
      <c r="L1672" s="39">
        <f>중기목록표!H9</f>
        <v>26677</v>
      </c>
      <c r="M1672" s="20" t="s">
        <v>1395</v>
      </c>
      <c r="N1672" s="20" t="s">
        <v>1345</v>
      </c>
      <c r="X1672" s="110" t="str">
        <f>중기목록표!B9&amp;" / "&amp;중기목록표!C9</f>
        <v>굴삭기(0.7m3) / 0.7㎥,(암석)</v>
      </c>
      <c r="Y1672" s="19" t="str">
        <f ca="1">HYPERLINK("#"&amp;중기목록표!J2&amp;"!A"&amp;ROW(중기목록표!A9),"중기    6 →")</f>
        <v>중기    6 →</v>
      </c>
    </row>
    <row r="1673" spans="1:25" ht="12.6" customHeight="1" x14ac:dyDescent="0.3">
      <c r="A1673" s="80"/>
      <c r="B1673" s="80"/>
      <c r="C1673" s="80"/>
      <c r="D1673" s="80"/>
      <c r="E1673" s="80"/>
      <c r="F1673" s="80"/>
      <c r="G1673" s="16" t="s">
        <v>1324</v>
      </c>
    </row>
    <row r="1674" spans="1:25" ht="12.6" customHeight="1" x14ac:dyDescent="0.3">
      <c r="A1674" s="70"/>
      <c r="B1674" s="79" t="s">
        <v>1344</v>
      </c>
      <c r="C1674" s="104">
        <f>E1674+D1674+F1674</f>
        <v>758.6</v>
      </c>
      <c r="D1674" s="104">
        <f>SUMIF(N1659:N1673,M1674,D1659:D1673)</f>
        <v>421</v>
      </c>
      <c r="E1674" s="104">
        <f>SUMIF(N1659:N1673,M1674,E1659:E1673)</f>
        <v>136</v>
      </c>
      <c r="F1674" s="104">
        <f>SUMIF(N1659:N1673,M1674,F1659:F1673)</f>
        <v>201.6</v>
      </c>
      <c r="G1674" s="16" t="s">
        <v>1343</v>
      </c>
      <c r="M1674" s="20" t="s">
        <v>1345</v>
      </c>
      <c r="N1674" s="20" t="s">
        <v>1368</v>
      </c>
    </row>
    <row r="1675" spans="1:25" ht="12.6" customHeight="1" x14ac:dyDescent="0.3">
      <c r="A1675" s="80"/>
      <c r="B1675" s="80"/>
      <c r="C1675" s="102"/>
      <c r="D1675" s="102"/>
      <c r="E1675" s="102"/>
      <c r="F1675" s="102"/>
      <c r="G1675" s="16" t="s">
        <v>1324</v>
      </c>
    </row>
    <row r="1676" spans="1:25" ht="12.6" customHeight="1" x14ac:dyDescent="0.3">
      <c r="A1676" s="70"/>
      <c r="B1676" s="79" t="s">
        <v>1171</v>
      </c>
      <c r="C1676" s="104">
        <f>E1676+D1676+F1676</f>
        <v>8751.6</v>
      </c>
      <c r="D1676" s="104">
        <f>SUMIF(N1570:N1675,M1676,D1570:D1675)</f>
        <v>5514.7000000000007</v>
      </c>
      <c r="E1676" s="104">
        <f>SUMIF(N1570:N1675,M1676,E1570:E1675)</f>
        <v>1176</v>
      </c>
      <c r="F1676" s="104">
        <f>SUMIF(N1570:N1675,M1676,F1570:F1675)</f>
        <v>2060.9</v>
      </c>
      <c r="G1676" s="16" t="s">
        <v>1367</v>
      </c>
      <c r="M1676" s="20" t="s">
        <v>1368</v>
      </c>
      <c r="N1676" s="20" t="s">
        <v>1129</v>
      </c>
    </row>
    <row r="1677" spans="1:25" ht="12.6" customHeight="1" x14ac:dyDescent="0.3">
      <c r="A1677" s="80"/>
      <c r="B1677" s="80"/>
      <c r="C1677" s="102"/>
      <c r="D1677" s="102"/>
      <c r="E1677" s="102"/>
      <c r="F1677" s="102"/>
    </row>
    <row r="1678" spans="1:25" ht="12.6" customHeight="1" x14ac:dyDescent="0.3">
      <c r="A1678" s="80"/>
      <c r="B1678" s="80"/>
      <c r="C1678" s="80"/>
      <c r="D1678" s="80"/>
      <c r="E1678" s="80"/>
      <c r="F1678" s="80"/>
    </row>
    <row r="1679" spans="1:25" ht="12.6" customHeight="1" x14ac:dyDescent="0.3">
      <c r="A1679" s="80"/>
      <c r="B1679" s="80"/>
      <c r="C1679" s="80"/>
      <c r="D1679" s="80"/>
      <c r="E1679" s="80"/>
      <c r="F1679" s="80"/>
    </row>
    <row r="1680" spans="1:25" ht="12.6" customHeight="1" x14ac:dyDescent="0.3">
      <c r="A1680" s="80"/>
      <c r="B1680" s="80"/>
      <c r="C1680" s="80"/>
      <c r="D1680" s="80"/>
      <c r="E1680" s="80"/>
      <c r="F1680" s="80"/>
    </row>
    <row r="1681" spans="1:6" ht="12.6" customHeight="1" x14ac:dyDescent="0.3">
      <c r="A1681" s="80"/>
      <c r="B1681" s="80"/>
      <c r="C1681" s="80"/>
      <c r="D1681" s="80"/>
      <c r="E1681" s="80"/>
      <c r="F1681" s="80"/>
    </row>
    <row r="1682" spans="1:6" ht="12.6" customHeight="1" x14ac:dyDescent="0.3">
      <c r="A1682" s="80"/>
      <c r="B1682" s="80"/>
      <c r="C1682" s="80"/>
      <c r="D1682" s="80"/>
      <c r="E1682" s="80"/>
      <c r="F1682" s="80"/>
    </row>
    <row r="1683" spans="1:6" ht="12.6" customHeight="1" x14ac:dyDescent="0.3">
      <c r="A1683" s="80"/>
      <c r="B1683" s="80"/>
      <c r="C1683" s="80"/>
      <c r="D1683" s="80"/>
      <c r="E1683" s="80"/>
      <c r="F1683" s="80"/>
    </row>
    <row r="1684" spans="1:6" ht="12.6" customHeight="1" x14ac:dyDescent="0.3">
      <c r="A1684" s="80"/>
      <c r="B1684" s="80"/>
      <c r="C1684" s="80"/>
      <c r="D1684" s="80"/>
      <c r="E1684" s="80"/>
      <c r="F1684" s="80"/>
    </row>
    <row r="1685" spans="1:6" ht="12.6" customHeight="1" x14ac:dyDescent="0.3">
      <c r="A1685" s="80"/>
      <c r="B1685" s="80"/>
      <c r="C1685" s="80"/>
      <c r="D1685" s="80"/>
      <c r="E1685" s="80"/>
      <c r="F1685" s="80"/>
    </row>
    <row r="1686" spans="1:6" ht="12.6" customHeight="1" x14ac:dyDescent="0.3">
      <c r="A1686" s="80"/>
      <c r="B1686" s="80"/>
      <c r="C1686" s="80"/>
      <c r="D1686" s="80"/>
      <c r="E1686" s="80"/>
      <c r="F1686" s="80"/>
    </row>
    <row r="1687" spans="1:6" ht="12.6" customHeight="1" x14ac:dyDescent="0.3">
      <c r="A1687" s="80"/>
      <c r="B1687" s="80"/>
      <c r="C1687" s="80"/>
      <c r="D1687" s="80"/>
      <c r="E1687" s="80"/>
      <c r="F1687" s="80"/>
    </row>
    <row r="1688" spans="1:6" ht="12.6" customHeight="1" x14ac:dyDescent="0.3">
      <c r="A1688" s="80"/>
      <c r="B1688" s="80"/>
      <c r="C1688" s="80"/>
      <c r="D1688" s="80"/>
      <c r="E1688" s="80"/>
      <c r="F1688" s="80"/>
    </row>
    <row r="1689" spans="1:6" ht="12.6" customHeight="1" x14ac:dyDescent="0.3">
      <c r="A1689" s="80"/>
      <c r="B1689" s="80"/>
      <c r="C1689" s="80"/>
      <c r="D1689" s="80"/>
      <c r="E1689" s="80"/>
      <c r="F1689" s="80"/>
    </row>
    <row r="1690" spans="1:6" ht="12.6" customHeight="1" x14ac:dyDescent="0.3">
      <c r="A1690" s="80"/>
      <c r="B1690" s="80"/>
      <c r="C1690" s="80"/>
      <c r="D1690" s="80"/>
      <c r="E1690" s="80"/>
      <c r="F1690" s="80"/>
    </row>
    <row r="1691" spans="1:6" ht="12.6" customHeight="1" x14ac:dyDescent="0.3">
      <c r="A1691" s="80"/>
      <c r="B1691" s="80"/>
      <c r="C1691" s="80"/>
      <c r="D1691" s="80"/>
      <c r="E1691" s="80"/>
      <c r="F1691" s="80"/>
    </row>
    <row r="1692" spans="1:6" ht="12.6" customHeight="1" x14ac:dyDescent="0.3">
      <c r="A1692" s="80"/>
      <c r="B1692" s="80"/>
      <c r="C1692" s="80"/>
      <c r="D1692" s="80"/>
      <c r="E1692" s="80"/>
      <c r="F1692" s="80"/>
    </row>
    <row r="1693" spans="1:6" ht="12.6" customHeight="1" x14ac:dyDescent="0.3">
      <c r="A1693" s="80"/>
      <c r="B1693" s="80"/>
      <c r="C1693" s="80"/>
      <c r="D1693" s="80"/>
      <c r="E1693" s="80"/>
      <c r="F1693" s="80"/>
    </row>
    <row r="1694" spans="1:6" ht="12.6" customHeight="1" x14ac:dyDescent="0.3">
      <c r="A1694" s="80"/>
      <c r="B1694" s="80"/>
      <c r="C1694" s="80"/>
      <c r="D1694" s="80"/>
      <c r="E1694" s="80"/>
      <c r="F1694" s="80"/>
    </row>
    <row r="1695" spans="1:6" ht="12.6" customHeight="1" x14ac:dyDescent="0.3">
      <c r="A1695" s="80"/>
      <c r="B1695" s="80"/>
      <c r="C1695" s="80"/>
      <c r="D1695" s="80"/>
      <c r="E1695" s="80"/>
      <c r="F1695" s="80"/>
    </row>
    <row r="1696" spans="1:6" ht="12.6" customHeight="1" x14ac:dyDescent="0.3">
      <c r="A1696" s="80"/>
      <c r="B1696" s="80"/>
      <c r="C1696" s="80"/>
      <c r="D1696" s="80"/>
      <c r="E1696" s="80"/>
      <c r="F1696" s="80"/>
    </row>
    <row r="1697" spans="1:14" ht="12.6" customHeight="1" x14ac:dyDescent="0.3">
      <c r="A1697" s="80"/>
      <c r="B1697" s="80"/>
      <c r="C1697" s="80"/>
      <c r="D1697" s="80"/>
      <c r="E1697" s="80"/>
      <c r="F1697" s="80"/>
    </row>
    <row r="1698" spans="1:14" ht="12.6" customHeight="1" x14ac:dyDescent="0.3">
      <c r="A1698" s="80"/>
      <c r="B1698" s="80"/>
      <c r="C1698" s="80"/>
      <c r="D1698" s="80"/>
      <c r="E1698" s="80"/>
      <c r="F1698" s="80"/>
    </row>
    <row r="1699" spans="1:14" ht="12.6" customHeight="1" x14ac:dyDescent="0.3">
      <c r="A1699" s="80"/>
      <c r="B1699" s="80"/>
      <c r="C1699" s="80"/>
      <c r="D1699" s="80"/>
      <c r="E1699" s="80"/>
      <c r="F1699" s="80"/>
    </row>
    <row r="1700" spans="1:14" ht="12.6" customHeight="1" x14ac:dyDescent="0.3">
      <c r="A1700" s="80"/>
      <c r="B1700" s="80"/>
      <c r="C1700" s="80"/>
      <c r="D1700" s="80"/>
      <c r="E1700" s="80"/>
      <c r="F1700" s="80"/>
    </row>
    <row r="1701" spans="1:14" ht="12.6" customHeight="1" x14ac:dyDescent="0.3">
      <c r="A1701" s="80"/>
      <c r="B1701" s="80"/>
      <c r="C1701" s="80"/>
      <c r="D1701" s="80"/>
      <c r="E1701" s="80"/>
      <c r="F1701" s="80"/>
    </row>
    <row r="1702" spans="1:14" ht="12.6" customHeight="1" x14ac:dyDescent="0.3">
      <c r="A1702" s="80"/>
      <c r="B1702" s="80"/>
      <c r="C1702" s="80"/>
      <c r="D1702" s="80"/>
      <c r="E1702" s="80"/>
      <c r="F1702" s="80"/>
    </row>
    <row r="1703" spans="1:14" ht="12.6" customHeight="1" x14ac:dyDescent="0.3">
      <c r="A1703" s="80"/>
      <c r="B1703" s="80"/>
      <c r="C1703" s="80"/>
      <c r="D1703" s="80"/>
      <c r="E1703" s="80"/>
      <c r="F1703" s="80"/>
    </row>
    <row r="1704" spans="1:14" ht="12.6" customHeight="1" x14ac:dyDescent="0.3">
      <c r="A1704" s="58"/>
      <c r="B1704" s="58"/>
      <c r="C1704" s="58"/>
      <c r="D1704" s="58"/>
      <c r="E1704" s="58"/>
      <c r="F1704" s="58"/>
    </row>
    <row r="1705" spans="1:14" ht="12.6" customHeight="1" x14ac:dyDescent="0.3">
      <c r="A1705" s="141" t="s">
        <v>1171</v>
      </c>
      <c r="B1705" s="142"/>
      <c r="C1705" s="55">
        <f>E1705+D1705+F1705</f>
        <v>8750</v>
      </c>
      <c r="D1705" s="54">
        <f>ROUNDDOWN(SUMIF(N1570:N1676,M1705,D1570:D1676),0)</f>
        <v>5514</v>
      </c>
      <c r="E1705" s="63">
        <f>ROUNDDOWN(SUMIF(N1570:N1676,M1705,E1570:E1676),0)</f>
        <v>1176</v>
      </c>
      <c r="F1705" s="55">
        <f>ROUNDDOWN(SUMIF(N1570:N1676,M1705,F1570:F1676),0)</f>
        <v>2060</v>
      </c>
      <c r="M1705" s="20" t="s">
        <v>1129</v>
      </c>
      <c r="N1705" s="20" t="s">
        <v>1172</v>
      </c>
    </row>
    <row r="1706" spans="1:14" ht="12.6" customHeight="1" x14ac:dyDescent="0.3">
      <c r="A1706" s="141" t="s">
        <v>1173</v>
      </c>
      <c r="B1706" s="142"/>
      <c r="C1706" s="55">
        <f>E1706+D1706+F1706</f>
        <v>7742</v>
      </c>
      <c r="D1706" s="54">
        <f>ROUNDDOWN(D1705*H1706/100,0)</f>
        <v>4879</v>
      </c>
      <c r="E1706" s="63">
        <f>ROUNDDOWN(E1705*H1706/100,0)</f>
        <v>1040</v>
      </c>
      <c r="F1706" s="55">
        <f>ROUNDDOWN(F1705*H1706/100,0)</f>
        <v>1823</v>
      </c>
      <c r="H1706" s="67">
        <v>88.5</v>
      </c>
      <c r="M1706" s="20" t="s">
        <v>1172</v>
      </c>
    </row>
    <row r="1707" spans="1:14" ht="12.6" customHeight="1" x14ac:dyDescent="0.3">
      <c r="A1707" s="99" t="s">
        <v>136</v>
      </c>
      <c r="B1707" s="100" t="s">
        <v>136</v>
      </c>
      <c r="C1707" s="147">
        <f>C1775</f>
        <v>2012</v>
      </c>
      <c r="D1707" s="147">
        <f>D1775</f>
        <v>1158</v>
      </c>
      <c r="E1707" s="147">
        <f>E1775</f>
        <v>374</v>
      </c>
      <c r="F1707" s="147">
        <f>F1775</f>
        <v>480</v>
      </c>
      <c r="G1707" s="36" t="str">
        <f>HYPERLINK("#G"&amp;ROW(G1745),"_x0005_`BDCOD|D02277_x0007_`POSS|"&amp;ROW(G1709)&amp;"_x0007_`POSE|"&amp;ROW(G1745)&amp;"_x0007_`")</f>
        <v>_x0005_`BDCOD|D02277_x0007_`POSS|1709_x0007_`POSE|1745_x0007_`</v>
      </c>
    </row>
    <row r="1708" spans="1:14" ht="12.6" customHeight="1" x14ac:dyDescent="0.3">
      <c r="A1708" s="85"/>
      <c r="B1708" s="100" t="s">
        <v>266</v>
      </c>
      <c r="C1708" s="137"/>
      <c r="D1708" s="137"/>
      <c r="E1708" s="137"/>
      <c r="F1708" s="137"/>
      <c r="M1708" s="20" t="s">
        <v>265</v>
      </c>
    </row>
    <row r="1709" spans="1:14" ht="12.6" customHeight="1" x14ac:dyDescent="0.3">
      <c r="A1709" s="70"/>
      <c r="B1709" s="79" t="s">
        <v>2026</v>
      </c>
      <c r="C1709" s="102"/>
      <c r="D1709" s="102"/>
      <c r="E1709" s="102"/>
      <c r="F1709" s="102"/>
      <c r="G1709" s="16" t="s">
        <v>2025</v>
      </c>
    </row>
    <row r="1710" spans="1:14" ht="12.6" customHeight="1" x14ac:dyDescent="0.3">
      <c r="A1710" s="80"/>
      <c r="B1710" s="80"/>
      <c r="C1710" s="80"/>
      <c r="D1710" s="80"/>
      <c r="E1710" s="80"/>
      <c r="F1710" s="80"/>
      <c r="G1710" s="16" t="s">
        <v>1324</v>
      </c>
    </row>
    <row r="1711" spans="1:14" ht="12.6" customHeight="1" x14ac:dyDescent="0.3">
      <c r="A1711" s="80"/>
      <c r="B1711" s="80"/>
      <c r="C1711" s="80"/>
      <c r="D1711" s="80"/>
      <c r="E1711" s="80"/>
      <c r="F1711" s="80"/>
      <c r="G1711" s="16" t="s">
        <v>1324</v>
      </c>
    </row>
    <row r="1712" spans="1:14" ht="12.6" customHeight="1" x14ac:dyDescent="0.3">
      <c r="A1712" s="70"/>
      <c r="B1712" s="79" t="s">
        <v>2028</v>
      </c>
      <c r="C1712" s="80"/>
      <c r="D1712" s="80"/>
      <c r="E1712" s="80"/>
      <c r="F1712" s="80"/>
      <c r="G1712" s="16" t="s">
        <v>2027</v>
      </c>
    </row>
    <row r="1713" spans="1:25" ht="12.6" customHeight="1" x14ac:dyDescent="0.3">
      <c r="A1713" s="80"/>
      <c r="B1713" s="80"/>
      <c r="C1713" s="80"/>
      <c r="D1713" s="80"/>
      <c r="E1713" s="80"/>
      <c r="F1713" s="80"/>
      <c r="G1713" s="16" t="s">
        <v>1324</v>
      </c>
    </row>
    <row r="1714" spans="1:25" ht="12.6" customHeight="1" x14ac:dyDescent="0.3">
      <c r="A1714" s="70"/>
      <c r="B1714" s="79" t="s">
        <v>2030</v>
      </c>
      <c r="C1714" s="80"/>
      <c r="D1714" s="80"/>
      <c r="E1714" s="80"/>
      <c r="F1714" s="80"/>
      <c r="G1714" s="16" t="s">
        <v>2029</v>
      </c>
    </row>
    <row r="1715" spans="1:25" ht="12.6" customHeight="1" x14ac:dyDescent="0.3">
      <c r="A1715" s="80"/>
      <c r="B1715" s="80"/>
      <c r="C1715" s="80"/>
      <c r="D1715" s="80"/>
      <c r="E1715" s="80"/>
      <c r="F1715" s="80"/>
      <c r="G1715" s="16" t="s">
        <v>1324</v>
      </c>
    </row>
    <row r="1716" spans="1:25" ht="12.6" customHeight="1" x14ac:dyDescent="0.3">
      <c r="A1716" s="70"/>
      <c r="B1716" s="79" t="s">
        <v>2032</v>
      </c>
      <c r="C1716" s="80"/>
      <c r="D1716" s="80"/>
      <c r="E1716" s="80"/>
      <c r="F1716" s="80"/>
      <c r="G1716" s="16" t="s">
        <v>2031</v>
      </c>
    </row>
    <row r="1717" spans="1:25" ht="12.6" customHeight="1" x14ac:dyDescent="0.3">
      <c r="A1717" s="80"/>
      <c r="B1717" s="80"/>
      <c r="C1717" s="80"/>
      <c r="D1717" s="80"/>
      <c r="E1717" s="80"/>
      <c r="F1717" s="80"/>
      <c r="G1717" s="16" t="s">
        <v>1324</v>
      </c>
    </row>
    <row r="1718" spans="1:25" ht="12.6" customHeight="1" x14ac:dyDescent="0.3">
      <c r="A1718" s="70"/>
      <c r="B1718" s="79" t="s">
        <v>2033</v>
      </c>
      <c r="C1718" s="80"/>
      <c r="D1718" s="80"/>
      <c r="E1718" s="80"/>
      <c r="F1718" s="80"/>
      <c r="G1718" s="16" t="s">
        <v>1907</v>
      </c>
    </row>
    <row r="1719" spans="1:25" ht="12.6" customHeight="1" x14ac:dyDescent="0.3">
      <c r="A1719" s="80"/>
      <c r="B1719" s="80"/>
      <c r="C1719" s="80"/>
      <c r="D1719" s="80"/>
      <c r="E1719" s="80"/>
      <c r="F1719" s="80"/>
      <c r="G1719" s="16" t="s">
        <v>1324</v>
      </c>
    </row>
    <row r="1720" spans="1:25" ht="12.6" customHeight="1" x14ac:dyDescent="0.3">
      <c r="A1720" s="70" t="s">
        <v>1524</v>
      </c>
      <c r="B1720" s="101" t="str">
        <f>" 노 무 비  :   "&amp;TEXT(I1720,"#,##0"&amp;IF(I1720&lt;&gt;INT(I1720),".###",""))&amp;" / Q  = "&amp;TEXT(C1720,"#,##0.0")&amp;""</f>
        <v xml:space="preserve"> 노 무 비  :   55,700 / Q  = 654.9</v>
      </c>
      <c r="C1720" s="103">
        <f>E1720+D1720+F1720</f>
        <v>654.9</v>
      </c>
      <c r="D1720" s="103">
        <f>IF(H1720=0,0,ROUNDDOWN(J1720*H1720,1))</f>
        <v>654.9</v>
      </c>
      <c r="E1720" s="103">
        <f>IF(H1720=0,0,ROUNDDOWN(K1720*H1720,1))</f>
        <v>0</v>
      </c>
      <c r="F1720" s="103">
        <f>IF(H1720=0,0,ROUNDDOWN(L1720*H1720,1))</f>
        <v>0</v>
      </c>
      <c r="G1720" s="16" t="s">
        <v>1909</v>
      </c>
      <c r="H1720" s="108">
        <v>1.17577895457E-2</v>
      </c>
      <c r="I1720" s="109">
        <f>K1720+J1720+L1720</f>
        <v>55700</v>
      </c>
      <c r="J1720" s="39">
        <f>중기목록표!F7</f>
        <v>55700</v>
      </c>
      <c r="M1720" s="20" t="s">
        <v>1179</v>
      </c>
      <c r="N1720" s="20" t="s">
        <v>1345</v>
      </c>
      <c r="X1720" s="110" t="str">
        <f>중기목록표!B7&amp;" / "&amp;중기목록표!C7</f>
        <v xml:space="preserve">굴삭기(0.7m3) / </v>
      </c>
      <c r="Y1720" s="19" t="str">
        <f ca="1">HYPERLINK("#"&amp;중기목록표!J2&amp;"!A"&amp;ROW(중기목록표!A7),"중기    4 →")</f>
        <v>중기    4 →</v>
      </c>
    </row>
    <row r="1721" spans="1:25" ht="12.6" customHeight="1" x14ac:dyDescent="0.3">
      <c r="A1721" s="80"/>
      <c r="B1721" s="80"/>
      <c r="C1721" s="80"/>
      <c r="D1721" s="80"/>
      <c r="E1721" s="80"/>
      <c r="F1721" s="80"/>
      <c r="G1721" s="16" t="s">
        <v>1324</v>
      </c>
    </row>
    <row r="1722" spans="1:25" ht="12.6" customHeight="1" x14ac:dyDescent="0.3">
      <c r="A1722" s="70" t="s">
        <v>1526</v>
      </c>
      <c r="B1722" s="101" t="str">
        <f>" 재 료 비  :   "&amp;TEXT(I1722,"#,##0"&amp;IF(I1722&lt;&gt;INT(I1722),".###",""))&amp;" / Q  = "&amp;TEXT(C1722,"#,##0.0")&amp;""</f>
        <v xml:space="preserve"> 재 료 비  :   18,001 / Q  = 211.6</v>
      </c>
      <c r="C1722" s="103">
        <f>E1722+D1722+F1722</f>
        <v>211.6</v>
      </c>
      <c r="D1722" s="103">
        <f>IF(H1722=0,0,ROUNDDOWN(J1722*H1722,1))</f>
        <v>0</v>
      </c>
      <c r="E1722" s="103">
        <f>IF(H1722=0,0,ROUNDDOWN(K1722*H1722,1))</f>
        <v>211.6</v>
      </c>
      <c r="F1722" s="103">
        <f>IF(H1722=0,0,ROUNDDOWN(L1722*H1722,1))</f>
        <v>0</v>
      </c>
      <c r="G1722" s="16" t="s">
        <v>1910</v>
      </c>
      <c r="H1722" s="108">
        <v>1.17577895457E-2</v>
      </c>
      <c r="I1722" s="109">
        <f>K1722+J1722+L1722</f>
        <v>18001</v>
      </c>
      <c r="K1722" s="39">
        <f>중기목록표!G7</f>
        <v>18001</v>
      </c>
      <c r="M1722" s="20" t="s">
        <v>1179</v>
      </c>
      <c r="N1722" s="20" t="s">
        <v>1345</v>
      </c>
      <c r="X1722" s="110" t="str">
        <f>중기목록표!B7&amp;" / "&amp;중기목록표!C7</f>
        <v xml:space="preserve">굴삭기(0.7m3) / </v>
      </c>
      <c r="Y1722" s="19" t="str">
        <f ca="1">HYPERLINK("#"&amp;중기목록표!J2&amp;"!A"&amp;ROW(중기목록표!A7),"중기    4 →")</f>
        <v>중기    4 →</v>
      </c>
    </row>
    <row r="1723" spans="1:25" ht="12.6" customHeight="1" x14ac:dyDescent="0.3">
      <c r="A1723" s="80"/>
      <c r="B1723" s="80"/>
      <c r="C1723" s="80"/>
      <c r="D1723" s="80"/>
      <c r="E1723" s="80"/>
      <c r="F1723" s="80"/>
      <c r="G1723" s="16" t="s">
        <v>1324</v>
      </c>
    </row>
    <row r="1724" spans="1:25" ht="12.6" customHeight="1" x14ac:dyDescent="0.3">
      <c r="A1724" s="70" t="s">
        <v>1528</v>
      </c>
      <c r="B1724" s="101" t="str">
        <f>" 경    비  :   "&amp;TEXT(I1724,"#,##0"&amp;IF(I1724&lt;&gt;INT(I1724),".###",""))&amp;" / Q  = "&amp;TEXT(C1724,"#,##0.0")&amp;""</f>
        <v xml:space="preserve"> 경    비  :   23,128 / Q  = 271.9</v>
      </c>
      <c r="C1724" s="103">
        <f>E1724+D1724+F1724</f>
        <v>271.89999999999998</v>
      </c>
      <c r="D1724" s="103">
        <f>IF(H1724=0,0,ROUNDDOWN(J1724*H1724,1))</f>
        <v>0</v>
      </c>
      <c r="E1724" s="103">
        <f>IF(H1724=0,0,ROUNDDOWN(K1724*H1724,1))</f>
        <v>0</v>
      </c>
      <c r="F1724" s="103">
        <f>IF(H1724=0,0,ROUNDDOWN(L1724*H1724,1))</f>
        <v>271.89999999999998</v>
      </c>
      <c r="G1724" s="16" t="s">
        <v>1911</v>
      </c>
      <c r="H1724" s="108">
        <v>1.17577895457E-2</v>
      </c>
      <c r="I1724" s="109">
        <f>K1724+J1724+L1724</f>
        <v>23128</v>
      </c>
      <c r="L1724" s="39">
        <f>중기목록표!H7</f>
        <v>23128</v>
      </c>
      <c r="M1724" s="20" t="s">
        <v>1179</v>
      </c>
      <c r="N1724" s="20" t="s">
        <v>1345</v>
      </c>
      <c r="X1724" s="110" t="str">
        <f>중기목록표!B7&amp;" / "&amp;중기목록표!C7</f>
        <v xml:space="preserve">굴삭기(0.7m3) / </v>
      </c>
      <c r="Y1724" s="19" t="str">
        <f ca="1">HYPERLINK("#"&amp;중기목록표!J2&amp;"!A"&amp;ROW(중기목록표!A7),"중기    4 →")</f>
        <v>중기    4 →</v>
      </c>
    </row>
    <row r="1725" spans="1:25" ht="12.6" customHeight="1" x14ac:dyDescent="0.3">
      <c r="A1725" s="80"/>
      <c r="B1725" s="80"/>
      <c r="C1725" s="80"/>
      <c r="D1725" s="80"/>
      <c r="E1725" s="80"/>
      <c r="F1725" s="80"/>
      <c r="G1725" s="16" t="s">
        <v>1324</v>
      </c>
    </row>
    <row r="1726" spans="1:25" ht="12.6" customHeight="1" x14ac:dyDescent="0.3">
      <c r="A1726" s="70"/>
      <c r="B1726" s="79" t="s">
        <v>1344</v>
      </c>
      <c r="C1726" s="104">
        <f>E1726+D1726+F1726</f>
        <v>1138.4000000000001</v>
      </c>
      <c r="D1726" s="104">
        <f>SUMIF(N1709:N1725,M1726,D1709:D1725)</f>
        <v>654.9</v>
      </c>
      <c r="E1726" s="104">
        <f>SUMIF(N1709:N1725,M1726,E1709:E1725)</f>
        <v>211.6</v>
      </c>
      <c r="F1726" s="104">
        <f>SUMIF(N1709:N1725,M1726,F1709:F1725)</f>
        <v>271.89999999999998</v>
      </c>
      <c r="G1726" s="16" t="s">
        <v>1343</v>
      </c>
      <c r="M1726" s="20" t="s">
        <v>1345</v>
      </c>
      <c r="N1726" s="20" t="s">
        <v>1368</v>
      </c>
    </row>
    <row r="1727" spans="1:25" ht="12.6" customHeight="1" x14ac:dyDescent="0.3">
      <c r="A1727" s="80"/>
      <c r="B1727" s="80"/>
      <c r="C1727" s="102"/>
      <c r="D1727" s="102"/>
      <c r="E1727" s="102"/>
      <c r="F1727" s="102"/>
      <c r="G1727" s="16" t="s">
        <v>1324</v>
      </c>
    </row>
    <row r="1728" spans="1:25" ht="12.6" customHeight="1" x14ac:dyDescent="0.3">
      <c r="A1728" s="80"/>
      <c r="B1728" s="80"/>
      <c r="C1728" s="80"/>
      <c r="D1728" s="80"/>
      <c r="E1728" s="80"/>
      <c r="F1728" s="80"/>
      <c r="G1728" s="16" t="s">
        <v>1324</v>
      </c>
    </row>
    <row r="1729" spans="1:25" ht="12.6" customHeight="1" x14ac:dyDescent="0.3">
      <c r="A1729" s="70"/>
      <c r="B1729" s="79" t="s">
        <v>2035</v>
      </c>
      <c r="C1729" s="80"/>
      <c r="D1729" s="80"/>
      <c r="E1729" s="80"/>
      <c r="F1729" s="80"/>
      <c r="G1729" s="16" t="s">
        <v>2034</v>
      </c>
    </row>
    <row r="1730" spans="1:25" ht="12.6" customHeight="1" x14ac:dyDescent="0.3">
      <c r="A1730" s="80"/>
      <c r="B1730" s="80"/>
      <c r="C1730" s="80"/>
      <c r="D1730" s="80"/>
      <c r="E1730" s="80"/>
      <c r="F1730" s="80"/>
      <c r="G1730" s="16" t="s">
        <v>1324</v>
      </c>
    </row>
    <row r="1731" spans="1:25" ht="12.6" customHeight="1" x14ac:dyDescent="0.3">
      <c r="A1731" s="70"/>
      <c r="B1731" s="79" t="s">
        <v>2037</v>
      </c>
      <c r="C1731" s="80"/>
      <c r="D1731" s="80"/>
      <c r="E1731" s="80"/>
      <c r="F1731" s="80"/>
      <c r="G1731" s="16" t="s">
        <v>2036</v>
      </c>
    </row>
    <row r="1732" spans="1:25" ht="12.6" customHeight="1" x14ac:dyDescent="0.3">
      <c r="A1732" s="80"/>
      <c r="B1732" s="80"/>
      <c r="C1732" s="80"/>
      <c r="D1732" s="80"/>
      <c r="E1732" s="80"/>
      <c r="F1732" s="80"/>
      <c r="G1732" s="16" t="s">
        <v>1324</v>
      </c>
    </row>
    <row r="1733" spans="1:25" ht="12.6" customHeight="1" x14ac:dyDescent="0.3">
      <c r="A1733" s="70"/>
      <c r="B1733" s="79" t="s">
        <v>2039</v>
      </c>
      <c r="C1733" s="80"/>
      <c r="D1733" s="80"/>
      <c r="E1733" s="80"/>
      <c r="F1733" s="80"/>
      <c r="G1733" s="16" t="s">
        <v>2038</v>
      </c>
    </row>
    <row r="1734" spans="1:25" ht="12.6" customHeight="1" x14ac:dyDescent="0.3">
      <c r="A1734" s="80"/>
      <c r="B1734" s="80"/>
      <c r="C1734" s="80"/>
      <c r="D1734" s="80"/>
      <c r="E1734" s="80"/>
      <c r="F1734" s="80"/>
      <c r="G1734" s="16" t="s">
        <v>1324</v>
      </c>
    </row>
    <row r="1735" spans="1:25" ht="12.6" customHeight="1" x14ac:dyDescent="0.3">
      <c r="A1735" s="70"/>
      <c r="B1735" s="79" t="s">
        <v>2041</v>
      </c>
      <c r="C1735" s="80"/>
      <c r="D1735" s="80"/>
      <c r="E1735" s="80"/>
      <c r="F1735" s="80"/>
      <c r="G1735" s="16" t="s">
        <v>2040</v>
      </c>
    </row>
    <row r="1736" spans="1:25" ht="12.6" customHeight="1" x14ac:dyDescent="0.3">
      <c r="A1736" s="80"/>
      <c r="B1736" s="80"/>
      <c r="C1736" s="80"/>
      <c r="D1736" s="80"/>
      <c r="E1736" s="80"/>
      <c r="F1736" s="80"/>
      <c r="G1736" s="16" t="s">
        <v>1324</v>
      </c>
    </row>
    <row r="1737" spans="1:25" ht="12.6" customHeight="1" x14ac:dyDescent="0.3">
      <c r="A1737" s="70" t="s">
        <v>1524</v>
      </c>
      <c r="B1737" s="101" t="str">
        <f>" 노 무 비  :   "&amp;TEXT(I1737,"#,##0"&amp;IF(I1737&lt;&gt;INT(I1737),".###",""))&amp;" / Q = "&amp;TEXT(C1737,"#,##0.0")&amp;""</f>
        <v xml:space="preserve"> 노 무 비  :   55,700 / Q = 654.9</v>
      </c>
      <c r="C1737" s="103">
        <f>E1737+D1737+F1737</f>
        <v>654.9</v>
      </c>
      <c r="D1737" s="103">
        <f>IF(H1737=0,0,ROUNDDOWN(J1737*H1737,1))</f>
        <v>654.9</v>
      </c>
      <c r="E1737" s="103">
        <f>IF(H1737=0,0,ROUNDDOWN(K1737*H1737,1))</f>
        <v>0</v>
      </c>
      <c r="F1737" s="103">
        <f>IF(H1737=0,0,ROUNDDOWN(L1737*H1737,1))</f>
        <v>0</v>
      </c>
      <c r="G1737" s="16" t="s">
        <v>2042</v>
      </c>
      <c r="H1737" s="108">
        <v>1.17577895457E-2</v>
      </c>
      <c r="I1737" s="109">
        <f>K1737+J1737+L1737</f>
        <v>55700</v>
      </c>
      <c r="J1737" s="39">
        <f>중기목록표!F7</f>
        <v>55700</v>
      </c>
      <c r="M1737" s="20" t="s">
        <v>1179</v>
      </c>
      <c r="N1737" s="20" t="s">
        <v>1345</v>
      </c>
      <c r="X1737" s="110" t="str">
        <f>중기목록표!B7&amp;" / "&amp;중기목록표!C7</f>
        <v xml:space="preserve">굴삭기(0.7m3) / </v>
      </c>
      <c r="Y1737" s="19" t="str">
        <f ca="1">HYPERLINK("#"&amp;중기목록표!J2&amp;"!A"&amp;ROW(중기목록표!A7),"중기    4 →")</f>
        <v>중기    4 →</v>
      </c>
    </row>
    <row r="1738" spans="1:25" ht="12.6" customHeight="1" x14ac:dyDescent="0.3">
      <c r="A1738" s="80"/>
      <c r="B1738" s="80"/>
      <c r="C1738" s="80"/>
      <c r="D1738" s="80"/>
      <c r="E1738" s="80"/>
      <c r="F1738" s="80"/>
      <c r="G1738" s="16" t="s">
        <v>1324</v>
      </c>
    </row>
    <row r="1739" spans="1:25" ht="12.6" customHeight="1" x14ac:dyDescent="0.3">
      <c r="A1739" s="70" t="s">
        <v>1526</v>
      </c>
      <c r="B1739" s="101" t="str">
        <f>" 재 료 비  :   "&amp;TEXT(I1739,"#,##0"&amp;IF(I1739&lt;&gt;INT(I1739),".###",""))&amp;" / Q = "&amp;TEXT(C1739,"#,##0.0")&amp;""</f>
        <v xml:space="preserve"> 재 료 비  :   18,001 / Q = 211.6</v>
      </c>
      <c r="C1739" s="103">
        <f>E1739+D1739+F1739</f>
        <v>211.6</v>
      </c>
      <c r="D1739" s="103">
        <f>IF(H1739=0,0,ROUNDDOWN(J1739*H1739,1))</f>
        <v>0</v>
      </c>
      <c r="E1739" s="103">
        <f>IF(H1739=0,0,ROUNDDOWN(K1739*H1739,1))</f>
        <v>211.6</v>
      </c>
      <c r="F1739" s="103">
        <f>IF(H1739=0,0,ROUNDDOWN(L1739*H1739,1))</f>
        <v>0</v>
      </c>
      <c r="G1739" s="16" t="s">
        <v>2043</v>
      </c>
      <c r="H1739" s="108">
        <v>1.17577895457E-2</v>
      </c>
      <c r="I1739" s="109">
        <f>K1739+J1739+L1739</f>
        <v>18001</v>
      </c>
      <c r="K1739" s="39">
        <f>중기목록표!G7</f>
        <v>18001</v>
      </c>
      <c r="M1739" s="20" t="s">
        <v>1179</v>
      </c>
      <c r="N1739" s="20" t="s">
        <v>1345</v>
      </c>
      <c r="X1739" s="110" t="str">
        <f>중기목록표!B7&amp;" / "&amp;중기목록표!C7</f>
        <v xml:space="preserve">굴삭기(0.7m3) / </v>
      </c>
      <c r="Y1739" s="19" t="str">
        <f ca="1">HYPERLINK("#"&amp;중기목록표!J2&amp;"!A"&amp;ROW(중기목록표!A7),"중기    4 →")</f>
        <v>중기    4 →</v>
      </c>
    </row>
    <row r="1740" spans="1:25" ht="12.6" customHeight="1" x14ac:dyDescent="0.3">
      <c r="A1740" s="80"/>
      <c r="B1740" s="80"/>
      <c r="C1740" s="80"/>
      <c r="D1740" s="80"/>
      <c r="E1740" s="80"/>
      <c r="F1740" s="80"/>
      <c r="G1740" s="16" t="s">
        <v>1324</v>
      </c>
    </row>
    <row r="1741" spans="1:25" ht="12.6" customHeight="1" x14ac:dyDescent="0.3">
      <c r="A1741" s="70" t="s">
        <v>1528</v>
      </c>
      <c r="B1741" s="101" t="str">
        <f>" 경    비  :   "&amp;TEXT(I1741,"#,##0"&amp;IF(I1741&lt;&gt;INT(I1741),".###",""))&amp;" / Q = "&amp;TEXT(C1741,"#,##0.0")&amp;""</f>
        <v xml:space="preserve"> 경    비  :   23,128 / Q = 271.9</v>
      </c>
      <c r="C1741" s="103">
        <f>E1741+D1741+F1741</f>
        <v>271.89999999999998</v>
      </c>
      <c r="D1741" s="103">
        <f>IF(H1741=0,0,ROUNDDOWN(J1741*H1741,1))</f>
        <v>0</v>
      </c>
      <c r="E1741" s="103">
        <f>IF(H1741=0,0,ROUNDDOWN(K1741*H1741,1))</f>
        <v>0</v>
      </c>
      <c r="F1741" s="103">
        <f>IF(H1741=0,0,ROUNDDOWN(L1741*H1741,1))</f>
        <v>271.89999999999998</v>
      </c>
      <c r="G1741" s="16" t="s">
        <v>2044</v>
      </c>
      <c r="H1741" s="108">
        <v>1.17577895457E-2</v>
      </c>
      <c r="I1741" s="109">
        <f>K1741+J1741+L1741</f>
        <v>23128</v>
      </c>
      <c r="L1741" s="39">
        <f>중기목록표!H7</f>
        <v>23128</v>
      </c>
      <c r="M1741" s="20" t="s">
        <v>1179</v>
      </c>
      <c r="N1741" s="20" t="s">
        <v>1345</v>
      </c>
      <c r="X1741" s="110" t="str">
        <f>중기목록표!B7&amp;" / "&amp;중기목록표!C7</f>
        <v xml:space="preserve">굴삭기(0.7m3) / </v>
      </c>
      <c r="Y1741" s="19" t="str">
        <f ca="1">HYPERLINK("#"&amp;중기목록표!J2&amp;"!A"&amp;ROW(중기목록표!A7),"중기    4 →")</f>
        <v>중기    4 →</v>
      </c>
    </row>
    <row r="1742" spans="1:25" ht="12.6" customHeight="1" x14ac:dyDescent="0.3">
      <c r="A1742" s="80"/>
      <c r="B1742" s="80"/>
      <c r="C1742" s="80"/>
      <c r="D1742" s="80"/>
      <c r="E1742" s="80"/>
      <c r="F1742" s="80"/>
      <c r="G1742" s="16" t="s">
        <v>1324</v>
      </c>
    </row>
    <row r="1743" spans="1:25" ht="12.6" customHeight="1" x14ac:dyDescent="0.3">
      <c r="A1743" s="70"/>
      <c r="B1743" s="79" t="s">
        <v>1344</v>
      </c>
      <c r="C1743" s="104">
        <f>E1743+D1743+F1743</f>
        <v>1138.4000000000001</v>
      </c>
      <c r="D1743" s="104">
        <f>SUMIF(N1727:N1742,M1743,D1727:D1742)</f>
        <v>654.9</v>
      </c>
      <c r="E1743" s="104">
        <f>SUMIF(N1727:N1742,M1743,E1727:E1742)</f>
        <v>211.6</v>
      </c>
      <c r="F1743" s="104">
        <f>SUMIF(N1727:N1742,M1743,F1727:F1742)</f>
        <v>271.89999999999998</v>
      </c>
      <c r="G1743" s="16" t="s">
        <v>1343</v>
      </c>
      <c r="M1743" s="20" t="s">
        <v>1345</v>
      </c>
      <c r="N1743" s="20" t="s">
        <v>1368</v>
      </c>
    </row>
    <row r="1744" spans="1:25" ht="12.6" customHeight="1" x14ac:dyDescent="0.3">
      <c r="A1744" s="80"/>
      <c r="B1744" s="80"/>
      <c r="C1744" s="102"/>
      <c r="D1744" s="102"/>
      <c r="E1744" s="102"/>
      <c r="F1744" s="102"/>
      <c r="G1744" s="16" t="s">
        <v>1324</v>
      </c>
    </row>
    <row r="1745" spans="1:14" ht="12.6" customHeight="1" x14ac:dyDescent="0.3">
      <c r="A1745" s="70"/>
      <c r="B1745" s="79" t="s">
        <v>1171</v>
      </c>
      <c r="C1745" s="104">
        <f>E1745+D1745+F1745</f>
        <v>2276.8000000000002</v>
      </c>
      <c r="D1745" s="104">
        <f>SUMIF(N1709:N1744,M1745,D1709:D1744)</f>
        <v>1309.8</v>
      </c>
      <c r="E1745" s="104">
        <f>SUMIF(N1709:N1744,M1745,E1709:E1744)</f>
        <v>423.2</v>
      </c>
      <c r="F1745" s="104">
        <f>SUMIF(N1709:N1744,M1745,F1709:F1744)</f>
        <v>543.79999999999995</v>
      </c>
      <c r="G1745" s="16" t="s">
        <v>1367</v>
      </c>
      <c r="M1745" s="20" t="s">
        <v>1368</v>
      </c>
      <c r="N1745" s="20" t="s">
        <v>1129</v>
      </c>
    </row>
    <row r="1746" spans="1:14" ht="12.6" customHeight="1" x14ac:dyDescent="0.3">
      <c r="A1746" s="80"/>
      <c r="B1746" s="80"/>
      <c r="C1746" s="102"/>
      <c r="D1746" s="102"/>
      <c r="E1746" s="102"/>
      <c r="F1746" s="102"/>
    </row>
    <row r="1747" spans="1:14" ht="12.6" customHeight="1" x14ac:dyDescent="0.3">
      <c r="A1747" s="80"/>
      <c r="B1747" s="80"/>
      <c r="C1747" s="80"/>
      <c r="D1747" s="80"/>
      <c r="E1747" s="80"/>
      <c r="F1747" s="80"/>
    </row>
    <row r="1748" spans="1:14" ht="12.6" customHeight="1" x14ac:dyDescent="0.3">
      <c r="A1748" s="80"/>
      <c r="B1748" s="80"/>
      <c r="C1748" s="80"/>
      <c r="D1748" s="80"/>
      <c r="E1748" s="80"/>
      <c r="F1748" s="80"/>
    </row>
    <row r="1749" spans="1:14" ht="12.6" customHeight="1" x14ac:dyDescent="0.3">
      <c r="A1749" s="80"/>
      <c r="B1749" s="80"/>
      <c r="C1749" s="80"/>
      <c r="D1749" s="80"/>
      <c r="E1749" s="80"/>
      <c r="F1749" s="80"/>
    </row>
    <row r="1750" spans="1:14" ht="12.6" customHeight="1" x14ac:dyDescent="0.3">
      <c r="A1750" s="80"/>
      <c r="B1750" s="80"/>
      <c r="C1750" s="80"/>
      <c r="D1750" s="80"/>
      <c r="E1750" s="80"/>
      <c r="F1750" s="80"/>
    </row>
    <row r="1751" spans="1:14" ht="12.6" customHeight="1" x14ac:dyDescent="0.3">
      <c r="A1751" s="80"/>
      <c r="B1751" s="80"/>
      <c r="C1751" s="80"/>
      <c r="D1751" s="80"/>
      <c r="E1751" s="80"/>
      <c r="F1751" s="80"/>
    </row>
    <row r="1752" spans="1:14" ht="12.6" customHeight="1" x14ac:dyDescent="0.3">
      <c r="A1752" s="80"/>
      <c r="B1752" s="80"/>
      <c r="C1752" s="80"/>
      <c r="D1752" s="80"/>
      <c r="E1752" s="80"/>
      <c r="F1752" s="80"/>
    </row>
    <row r="1753" spans="1:14" ht="12.6" customHeight="1" x14ac:dyDescent="0.3">
      <c r="A1753" s="80"/>
      <c r="B1753" s="80"/>
      <c r="C1753" s="80"/>
      <c r="D1753" s="80"/>
      <c r="E1753" s="80"/>
      <c r="F1753" s="80"/>
    </row>
    <row r="1754" spans="1:14" ht="12.6" customHeight="1" x14ac:dyDescent="0.3">
      <c r="A1754" s="80"/>
      <c r="B1754" s="80"/>
      <c r="C1754" s="80"/>
      <c r="D1754" s="80"/>
      <c r="E1754" s="80"/>
      <c r="F1754" s="80"/>
    </row>
    <row r="1755" spans="1:14" ht="12.6" customHeight="1" x14ac:dyDescent="0.3">
      <c r="A1755" s="80"/>
      <c r="B1755" s="80"/>
      <c r="C1755" s="80"/>
      <c r="D1755" s="80"/>
      <c r="E1755" s="80"/>
      <c r="F1755" s="80"/>
    </row>
    <row r="1756" spans="1:14" ht="12.6" customHeight="1" x14ac:dyDescent="0.3">
      <c r="A1756" s="80"/>
      <c r="B1756" s="80"/>
      <c r="C1756" s="80"/>
      <c r="D1756" s="80"/>
      <c r="E1756" s="80"/>
      <c r="F1756" s="80"/>
    </row>
    <row r="1757" spans="1:14" ht="12.6" customHeight="1" x14ac:dyDescent="0.3">
      <c r="A1757" s="80"/>
      <c r="B1757" s="80"/>
      <c r="C1757" s="80"/>
      <c r="D1757" s="80"/>
      <c r="E1757" s="80"/>
      <c r="F1757" s="80"/>
    </row>
    <row r="1758" spans="1:14" ht="12.6" customHeight="1" x14ac:dyDescent="0.3">
      <c r="A1758" s="80"/>
      <c r="B1758" s="80"/>
      <c r="C1758" s="80"/>
      <c r="D1758" s="80"/>
      <c r="E1758" s="80"/>
      <c r="F1758" s="80"/>
    </row>
    <row r="1759" spans="1:14" ht="12.6" customHeight="1" x14ac:dyDescent="0.3">
      <c r="A1759" s="80"/>
      <c r="B1759" s="80"/>
      <c r="C1759" s="80"/>
      <c r="D1759" s="80"/>
      <c r="E1759" s="80"/>
      <c r="F1759" s="80"/>
    </row>
    <row r="1760" spans="1:14" ht="12.6" customHeight="1" x14ac:dyDescent="0.3">
      <c r="A1760" s="80"/>
      <c r="B1760" s="80"/>
      <c r="C1760" s="80"/>
      <c r="D1760" s="80"/>
      <c r="E1760" s="80"/>
      <c r="F1760" s="80"/>
    </row>
    <row r="1761" spans="1:14" ht="12.6" customHeight="1" x14ac:dyDescent="0.3">
      <c r="A1761" s="80"/>
      <c r="B1761" s="80"/>
      <c r="C1761" s="80"/>
      <c r="D1761" s="80"/>
      <c r="E1761" s="80"/>
      <c r="F1761" s="80"/>
    </row>
    <row r="1762" spans="1:14" ht="12.6" customHeight="1" x14ac:dyDescent="0.3">
      <c r="A1762" s="80"/>
      <c r="B1762" s="80"/>
      <c r="C1762" s="80"/>
      <c r="D1762" s="80"/>
      <c r="E1762" s="80"/>
      <c r="F1762" s="80"/>
    </row>
    <row r="1763" spans="1:14" ht="12.6" customHeight="1" x14ac:dyDescent="0.3">
      <c r="A1763" s="80"/>
      <c r="B1763" s="80"/>
      <c r="C1763" s="80"/>
      <c r="D1763" s="80"/>
      <c r="E1763" s="80"/>
      <c r="F1763" s="80"/>
    </row>
    <row r="1764" spans="1:14" ht="12.6" customHeight="1" x14ac:dyDescent="0.3">
      <c r="A1764" s="80"/>
      <c r="B1764" s="80"/>
      <c r="C1764" s="80"/>
      <c r="D1764" s="80"/>
      <c r="E1764" s="80"/>
      <c r="F1764" s="80"/>
    </row>
    <row r="1765" spans="1:14" ht="12.6" customHeight="1" x14ac:dyDescent="0.3">
      <c r="A1765" s="80"/>
      <c r="B1765" s="80"/>
      <c r="C1765" s="80"/>
      <c r="D1765" s="80"/>
      <c r="E1765" s="80"/>
      <c r="F1765" s="80"/>
    </row>
    <row r="1766" spans="1:14" ht="12.6" customHeight="1" x14ac:dyDescent="0.3">
      <c r="A1766" s="80"/>
      <c r="B1766" s="80"/>
      <c r="C1766" s="80"/>
      <c r="D1766" s="80"/>
      <c r="E1766" s="80"/>
      <c r="F1766" s="80"/>
    </row>
    <row r="1767" spans="1:14" ht="12.6" customHeight="1" x14ac:dyDescent="0.3">
      <c r="A1767" s="80"/>
      <c r="B1767" s="80"/>
      <c r="C1767" s="80"/>
      <c r="D1767" s="80"/>
      <c r="E1767" s="80"/>
      <c r="F1767" s="80"/>
    </row>
    <row r="1768" spans="1:14" ht="12.6" customHeight="1" x14ac:dyDescent="0.3">
      <c r="A1768" s="80"/>
      <c r="B1768" s="80"/>
      <c r="C1768" s="80"/>
      <c r="D1768" s="80"/>
      <c r="E1768" s="80"/>
      <c r="F1768" s="80"/>
    </row>
    <row r="1769" spans="1:14" ht="12.6" customHeight="1" x14ac:dyDescent="0.3">
      <c r="A1769" s="80"/>
      <c r="B1769" s="80"/>
      <c r="C1769" s="80"/>
      <c r="D1769" s="80"/>
      <c r="E1769" s="80"/>
      <c r="F1769" s="80"/>
    </row>
    <row r="1770" spans="1:14" ht="12.6" customHeight="1" x14ac:dyDescent="0.3">
      <c r="A1770" s="80"/>
      <c r="B1770" s="80"/>
      <c r="C1770" s="80"/>
      <c r="D1770" s="80"/>
      <c r="E1770" s="80"/>
      <c r="F1770" s="80"/>
    </row>
    <row r="1771" spans="1:14" ht="12.6" customHeight="1" x14ac:dyDescent="0.3">
      <c r="A1771" s="80"/>
      <c r="B1771" s="80"/>
      <c r="C1771" s="80"/>
      <c r="D1771" s="80"/>
      <c r="E1771" s="80"/>
      <c r="F1771" s="80"/>
    </row>
    <row r="1772" spans="1:14" ht="12.6" customHeight="1" x14ac:dyDescent="0.3">
      <c r="A1772" s="80"/>
      <c r="B1772" s="80"/>
      <c r="C1772" s="80"/>
      <c r="D1772" s="80"/>
      <c r="E1772" s="80"/>
      <c r="F1772" s="80"/>
    </row>
    <row r="1773" spans="1:14" ht="12.6" customHeight="1" x14ac:dyDescent="0.3">
      <c r="A1773" s="58"/>
      <c r="B1773" s="58"/>
      <c r="C1773" s="58"/>
      <c r="D1773" s="58"/>
      <c r="E1773" s="58"/>
      <c r="F1773" s="58"/>
    </row>
    <row r="1774" spans="1:14" ht="12.6" customHeight="1" x14ac:dyDescent="0.3">
      <c r="A1774" s="141" t="s">
        <v>1171</v>
      </c>
      <c r="B1774" s="142"/>
      <c r="C1774" s="55">
        <f>E1774+D1774+F1774</f>
        <v>2275</v>
      </c>
      <c r="D1774" s="54">
        <f>ROUNDDOWN(SUMIF(N1709:N1745,M1774,D1709:D1745),0)</f>
        <v>1309</v>
      </c>
      <c r="E1774" s="63">
        <f>ROUNDDOWN(SUMIF(N1709:N1745,M1774,E1709:E1745),0)</f>
        <v>423</v>
      </c>
      <c r="F1774" s="55">
        <f>ROUNDDOWN(SUMIF(N1709:N1745,M1774,F1709:F1745),0)</f>
        <v>543</v>
      </c>
      <c r="M1774" s="20" t="s">
        <v>1129</v>
      </c>
      <c r="N1774" s="20" t="s">
        <v>1172</v>
      </c>
    </row>
    <row r="1775" spans="1:14" ht="12.6" customHeight="1" x14ac:dyDescent="0.3">
      <c r="A1775" s="141" t="s">
        <v>1173</v>
      </c>
      <c r="B1775" s="142"/>
      <c r="C1775" s="55">
        <f>E1775+D1775+F1775</f>
        <v>2012</v>
      </c>
      <c r="D1775" s="54">
        <f>ROUNDDOWN(D1774*H1775/100,0)</f>
        <v>1158</v>
      </c>
      <c r="E1775" s="63">
        <f>ROUNDDOWN(E1774*H1775/100,0)</f>
        <v>374</v>
      </c>
      <c r="F1775" s="55">
        <f>ROUNDDOWN(F1774*H1775/100,0)</f>
        <v>480</v>
      </c>
      <c r="H1775" s="67">
        <v>88.5</v>
      </c>
      <c r="M1775" s="20" t="s">
        <v>1172</v>
      </c>
    </row>
    <row r="1776" spans="1:14" ht="12.6" customHeight="1" x14ac:dyDescent="0.3">
      <c r="A1776" s="99" t="s">
        <v>140</v>
      </c>
      <c r="B1776" s="100" t="s">
        <v>140</v>
      </c>
      <c r="C1776" s="147">
        <f>C1809</f>
        <v>1140</v>
      </c>
      <c r="D1776" s="147">
        <f>D1809</f>
        <v>633</v>
      </c>
      <c r="E1776" s="147">
        <f>E1809</f>
        <v>204</v>
      </c>
      <c r="F1776" s="147">
        <f>F1809</f>
        <v>303</v>
      </c>
      <c r="G1776" s="36" t="str">
        <f>HYPERLINK("#G"&amp;ROW(G1797),"_x0005_`BDCOD|D02278_x0007_`POSS|"&amp;ROW(G1778)&amp;"_x0007_`POSE|"&amp;ROW(G1797)&amp;"_x0007_`")</f>
        <v>_x0005_`BDCOD|D02278_x0007_`POSS|1778_x0007_`POSE|1797_x0007_`</v>
      </c>
    </row>
    <row r="1777" spans="1:25" ht="12.6" customHeight="1" x14ac:dyDescent="0.3">
      <c r="A1777" s="85"/>
      <c r="B1777" s="100" t="s">
        <v>269</v>
      </c>
      <c r="C1777" s="137"/>
      <c r="D1777" s="137"/>
      <c r="E1777" s="137"/>
      <c r="F1777" s="137"/>
      <c r="M1777" s="20" t="s">
        <v>268</v>
      </c>
    </row>
    <row r="1778" spans="1:25" ht="12.6" customHeight="1" x14ac:dyDescent="0.3">
      <c r="A1778" s="80"/>
      <c r="B1778" s="80"/>
      <c r="C1778" s="102"/>
      <c r="D1778" s="102"/>
      <c r="E1778" s="102"/>
      <c r="F1778" s="102"/>
      <c r="G1778" s="16" t="s">
        <v>1324</v>
      </c>
    </row>
    <row r="1779" spans="1:25" ht="12.6" customHeight="1" x14ac:dyDescent="0.3">
      <c r="A1779" s="70"/>
      <c r="B1779" s="79" t="s">
        <v>2046</v>
      </c>
      <c r="C1779" s="80"/>
      <c r="D1779" s="80"/>
      <c r="E1779" s="80"/>
      <c r="F1779" s="80"/>
      <c r="G1779" s="16" t="s">
        <v>2045</v>
      </c>
    </row>
    <row r="1780" spans="1:25" ht="12.6" customHeight="1" x14ac:dyDescent="0.3">
      <c r="A1780" s="80"/>
      <c r="B1780" s="80"/>
      <c r="C1780" s="80"/>
      <c r="D1780" s="80"/>
      <c r="E1780" s="80"/>
      <c r="F1780" s="80"/>
      <c r="G1780" s="16" t="s">
        <v>1324</v>
      </c>
    </row>
    <row r="1781" spans="1:25" ht="12.6" customHeight="1" x14ac:dyDescent="0.3">
      <c r="A1781" s="70"/>
      <c r="B1781" s="79" t="s">
        <v>2048</v>
      </c>
      <c r="C1781" s="80"/>
      <c r="D1781" s="80"/>
      <c r="E1781" s="80"/>
      <c r="F1781" s="80"/>
      <c r="G1781" s="16" t="s">
        <v>2047</v>
      </c>
    </row>
    <row r="1782" spans="1:25" ht="12.6" customHeight="1" x14ac:dyDescent="0.3">
      <c r="A1782" s="80"/>
      <c r="B1782" s="80"/>
      <c r="C1782" s="80"/>
      <c r="D1782" s="80"/>
      <c r="E1782" s="80"/>
      <c r="F1782" s="80"/>
      <c r="G1782" s="16" t="s">
        <v>1324</v>
      </c>
    </row>
    <row r="1783" spans="1:25" ht="12.6" customHeight="1" x14ac:dyDescent="0.3">
      <c r="A1783" s="80"/>
      <c r="B1783" s="80"/>
      <c r="C1783" s="80"/>
      <c r="D1783" s="80"/>
      <c r="E1783" s="80"/>
      <c r="F1783" s="80"/>
      <c r="G1783" s="16" t="s">
        <v>1324</v>
      </c>
    </row>
    <row r="1784" spans="1:25" ht="12.6" customHeight="1" x14ac:dyDescent="0.3">
      <c r="A1784" s="70"/>
      <c r="B1784" s="79" t="s">
        <v>2050</v>
      </c>
      <c r="C1784" s="80"/>
      <c r="D1784" s="80"/>
      <c r="E1784" s="80"/>
      <c r="F1784" s="80"/>
      <c r="G1784" s="16" t="s">
        <v>2049</v>
      </c>
    </row>
    <row r="1785" spans="1:25" ht="12.6" customHeight="1" x14ac:dyDescent="0.3">
      <c r="A1785" s="80"/>
      <c r="B1785" s="80"/>
      <c r="C1785" s="80"/>
      <c r="D1785" s="80"/>
      <c r="E1785" s="80"/>
      <c r="F1785" s="80"/>
      <c r="G1785" s="16" t="s">
        <v>1324</v>
      </c>
    </row>
    <row r="1786" spans="1:25" ht="12.6" customHeight="1" x14ac:dyDescent="0.3">
      <c r="A1786" s="80"/>
      <c r="B1786" s="80"/>
      <c r="C1786" s="80"/>
      <c r="D1786" s="80"/>
      <c r="E1786" s="80"/>
      <c r="F1786" s="80"/>
      <c r="G1786" s="16" t="s">
        <v>1324</v>
      </c>
    </row>
    <row r="1787" spans="1:25" ht="12.6" customHeight="1" x14ac:dyDescent="0.3">
      <c r="A1787" s="70"/>
      <c r="B1787" s="79" t="s">
        <v>2052</v>
      </c>
      <c r="C1787" s="80"/>
      <c r="D1787" s="80"/>
      <c r="E1787" s="80"/>
      <c r="F1787" s="80"/>
      <c r="G1787" s="16" t="s">
        <v>2051</v>
      </c>
    </row>
    <row r="1788" spans="1:25" ht="12.6" customHeight="1" x14ac:dyDescent="0.3">
      <c r="A1788" s="80"/>
      <c r="B1788" s="80"/>
      <c r="C1788" s="80"/>
      <c r="D1788" s="80"/>
      <c r="E1788" s="80"/>
      <c r="F1788" s="80"/>
      <c r="G1788" s="16" t="s">
        <v>1324</v>
      </c>
    </row>
    <row r="1789" spans="1:25" ht="12.6" customHeight="1" x14ac:dyDescent="0.3">
      <c r="A1789" s="80"/>
      <c r="B1789" s="80"/>
      <c r="C1789" s="80"/>
      <c r="D1789" s="80"/>
      <c r="E1789" s="80"/>
      <c r="F1789" s="80"/>
      <c r="G1789" s="16" t="s">
        <v>1324</v>
      </c>
    </row>
    <row r="1790" spans="1:25" ht="12.6" customHeight="1" x14ac:dyDescent="0.3">
      <c r="A1790" s="70" t="s">
        <v>2054</v>
      </c>
      <c r="B1790" s="101" t="str">
        <f>" 노 무 비  : "&amp;TEXT(I1790,"#,##0"&amp;IF(I1790&lt;&gt;INT(I1790),".###",""))&amp;" / Q  = "&amp;TEXT(C1790,"#,##0.0")&amp;""</f>
        <v xml:space="preserve"> 노 무 비  : 55,700 / Q  = 716.8</v>
      </c>
      <c r="C1790" s="103">
        <f>E1790+D1790+F1790</f>
        <v>716.8</v>
      </c>
      <c r="D1790" s="103">
        <f>IF(H1790=0,0,ROUNDDOWN(J1790*H1790,1))</f>
        <v>716.8</v>
      </c>
      <c r="E1790" s="103">
        <f>IF(H1790=0,0,ROUNDDOWN(K1790*H1790,1))</f>
        <v>0</v>
      </c>
      <c r="F1790" s="103">
        <f>IF(H1790=0,0,ROUNDDOWN(L1790*H1790,1))</f>
        <v>0</v>
      </c>
      <c r="G1790" s="16" t="s">
        <v>2053</v>
      </c>
      <c r="H1790" s="108">
        <v>1.28700128801E-2</v>
      </c>
      <c r="I1790" s="109">
        <f>K1790+J1790+L1790</f>
        <v>55700</v>
      </c>
      <c r="J1790" s="39">
        <f>중기목록표!F25</f>
        <v>55700</v>
      </c>
      <c r="M1790" s="20" t="s">
        <v>2055</v>
      </c>
      <c r="N1790" s="20" t="s">
        <v>1345</v>
      </c>
      <c r="X1790" s="110" t="str">
        <f>중기목록표!B25&amp;" / "&amp;중기목록표!C25</f>
        <v>굴삭기+진동콤팩터 / 0.7m3</v>
      </c>
      <c r="Y1790" s="19" t="str">
        <f ca="1">HYPERLINK("#"&amp;중기목록표!J2&amp;"!A"&amp;ROW(중기목록표!A25),"중기   22 →")</f>
        <v>중기   22 →</v>
      </c>
    </row>
    <row r="1791" spans="1:25" ht="12.6" customHeight="1" x14ac:dyDescent="0.3">
      <c r="A1791" s="80"/>
      <c r="B1791" s="80"/>
      <c r="C1791" s="80"/>
      <c r="D1791" s="80"/>
      <c r="E1791" s="80"/>
      <c r="F1791" s="80"/>
      <c r="G1791" s="16" t="s">
        <v>1324</v>
      </c>
    </row>
    <row r="1792" spans="1:25" ht="12.6" customHeight="1" x14ac:dyDescent="0.3">
      <c r="A1792" s="70" t="s">
        <v>2057</v>
      </c>
      <c r="B1792" s="101" t="str">
        <f>" 재 료 비  : "&amp;TEXT(I1792,"#,##0"&amp;IF(I1792&lt;&gt;INT(I1792),".###",""))&amp;" / Q  = "&amp;TEXT(C1792,"#,##0.0")&amp;""</f>
        <v xml:space="preserve"> 재 료 비  : 18,001 / Q  = 231.6</v>
      </c>
      <c r="C1792" s="103">
        <f>E1792+D1792+F1792</f>
        <v>231.6</v>
      </c>
      <c r="D1792" s="103">
        <f>IF(H1792=0,0,ROUNDDOWN(J1792*H1792,1))</f>
        <v>0</v>
      </c>
      <c r="E1792" s="103">
        <f>IF(H1792=0,0,ROUNDDOWN(K1792*H1792,1))</f>
        <v>231.6</v>
      </c>
      <c r="F1792" s="103">
        <f>IF(H1792=0,0,ROUNDDOWN(L1792*H1792,1))</f>
        <v>0</v>
      </c>
      <c r="G1792" s="16" t="s">
        <v>2056</v>
      </c>
      <c r="H1792" s="108">
        <v>1.28700128801E-2</v>
      </c>
      <c r="I1792" s="109">
        <f>K1792+J1792+L1792</f>
        <v>18001</v>
      </c>
      <c r="K1792" s="39">
        <f>중기목록표!G25</f>
        <v>18001</v>
      </c>
      <c r="M1792" s="20" t="s">
        <v>2055</v>
      </c>
      <c r="N1792" s="20" t="s">
        <v>1345</v>
      </c>
      <c r="X1792" s="110" t="str">
        <f>중기목록표!B25&amp;" / "&amp;중기목록표!C25</f>
        <v>굴삭기+진동콤팩터 / 0.7m3</v>
      </c>
      <c r="Y1792" s="19" t="str">
        <f ca="1">HYPERLINK("#"&amp;중기목록표!J2&amp;"!A"&amp;ROW(중기목록표!A25),"중기   22 →")</f>
        <v>중기   22 →</v>
      </c>
    </row>
    <row r="1793" spans="1:25" ht="12.6" customHeight="1" x14ac:dyDescent="0.3">
      <c r="A1793" s="80"/>
      <c r="B1793" s="80"/>
      <c r="C1793" s="80"/>
      <c r="D1793" s="80"/>
      <c r="E1793" s="80"/>
      <c r="F1793" s="80"/>
      <c r="G1793" s="16" t="s">
        <v>1324</v>
      </c>
    </row>
    <row r="1794" spans="1:25" ht="12.6" customHeight="1" x14ac:dyDescent="0.3">
      <c r="A1794" s="70" t="s">
        <v>2059</v>
      </c>
      <c r="B1794" s="101" t="str">
        <f>" 경    비  : "&amp;TEXT(I1794,"#,##0"&amp;IF(I1794&lt;&gt;INT(I1794),".###",""))&amp;" / Q  = "&amp;TEXT(C1794,"#,##0.0")&amp;""</f>
        <v xml:space="preserve"> 경    비  : 26,654 / Q  = 343.0</v>
      </c>
      <c r="C1794" s="103">
        <f>E1794+D1794+F1794</f>
        <v>343</v>
      </c>
      <c r="D1794" s="103">
        <f>IF(H1794=0,0,ROUNDDOWN(J1794*H1794,1))</f>
        <v>0</v>
      </c>
      <c r="E1794" s="103">
        <f>IF(H1794=0,0,ROUNDDOWN(K1794*H1794,1))</f>
        <v>0</v>
      </c>
      <c r="F1794" s="103">
        <f>IF(H1794=0,0,ROUNDDOWN(L1794*H1794,1))</f>
        <v>343</v>
      </c>
      <c r="G1794" s="16" t="s">
        <v>2058</v>
      </c>
      <c r="H1794" s="108">
        <v>1.28700128801E-2</v>
      </c>
      <c r="I1794" s="109">
        <f>K1794+J1794+L1794</f>
        <v>26654</v>
      </c>
      <c r="L1794" s="39">
        <f>중기목록표!H25</f>
        <v>26654</v>
      </c>
      <c r="M1794" s="20" t="s">
        <v>2055</v>
      </c>
      <c r="N1794" s="20" t="s">
        <v>1345</v>
      </c>
      <c r="X1794" s="110" t="str">
        <f>중기목록표!B25&amp;" / "&amp;중기목록표!C25</f>
        <v>굴삭기+진동콤팩터 / 0.7m3</v>
      </c>
      <c r="Y1794" s="19" t="str">
        <f ca="1">HYPERLINK("#"&amp;중기목록표!J2&amp;"!A"&amp;ROW(중기목록표!A25),"중기   22 →")</f>
        <v>중기   22 →</v>
      </c>
    </row>
    <row r="1795" spans="1:25" ht="12.6" customHeight="1" x14ac:dyDescent="0.3">
      <c r="A1795" s="80"/>
      <c r="B1795" s="80"/>
      <c r="C1795" s="80"/>
      <c r="D1795" s="80"/>
      <c r="E1795" s="80"/>
      <c r="F1795" s="80"/>
      <c r="G1795" s="16" t="s">
        <v>1324</v>
      </c>
    </row>
    <row r="1796" spans="1:25" ht="12.6" customHeight="1" x14ac:dyDescent="0.3">
      <c r="A1796" s="80"/>
      <c r="B1796" s="80"/>
      <c r="C1796" s="80"/>
      <c r="D1796" s="80"/>
      <c r="E1796" s="80"/>
      <c r="F1796" s="80"/>
      <c r="G1796" s="16" t="s">
        <v>1324</v>
      </c>
    </row>
    <row r="1797" spans="1:25" ht="12.6" customHeight="1" x14ac:dyDescent="0.3">
      <c r="A1797" s="70"/>
      <c r="B1797" s="79" t="s">
        <v>1344</v>
      </c>
      <c r="C1797" s="104">
        <f>E1797+D1797+F1797</f>
        <v>1291.4000000000001</v>
      </c>
      <c r="D1797" s="104">
        <f>SUMIF(N1778:N1796,M1797,D1778:D1796)</f>
        <v>716.8</v>
      </c>
      <c r="E1797" s="104">
        <f>SUMIF(N1778:N1796,M1797,E1778:E1796)</f>
        <v>231.6</v>
      </c>
      <c r="F1797" s="104">
        <f>SUMIF(N1778:N1796,M1797,F1778:F1796)</f>
        <v>343</v>
      </c>
      <c r="G1797" s="16" t="s">
        <v>1343</v>
      </c>
      <c r="M1797" s="20" t="s">
        <v>1345</v>
      </c>
      <c r="N1797" s="20" t="s">
        <v>1129</v>
      </c>
    </row>
    <row r="1798" spans="1:25" ht="12.6" customHeight="1" x14ac:dyDescent="0.3">
      <c r="A1798" s="80"/>
      <c r="B1798" s="80"/>
      <c r="C1798" s="102"/>
      <c r="D1798" s="102"/>
      <c r="E1798" s="102"/>
      <c r="F1798" s="102"/>
    </row>
    <row r="1799" spans="1:25" ht="12.6" customHeight="1" x14ac:dyDescent="0.3">
      <c r="A1799" s="80"/>
      <c r="B1799" s="80"/>
      <c r="C1799" s="80"/>
      <c r="D1799" s="80"/>
      <c r="E1799" s="80"/>
      <c r="F1799" s="80"/>
    </row>
    <row r="1800" spans="1:25" ht="12.6" customHeight="1" x14ac:dyDescent="0.3">
      <c r="A1800" s="80"/>
      <c r="B1800" s="80"/>
      <c r="C1800" s="80"/>
      <c r="D1800" s="80"/>
      <c r="E1800" s="80"/>
      <c r="F1800" s="80"/>
    </row>
    <row r="1801" spans="1:25" ht="12.6" customHeight="1" x14ac:dyDescent="0.3">
      <c r="A1801" s="80"/>
      <c r="B1801" s="80"/>
      <c r="C1801" s="80"/>
      <c r="D1801" s="80"/>
      <c r="E1801" s="80"/>
      <c r="F1801" s="80"/>
    </row>
    <row r="1802" spans="1:25" ht="12.6" customHeight="1" x14ac:dyDescent="0.3">
      <c r="A1802" s="80"/>
      <c r="B1802" s="80"/>
      <c r="C1802" s="80"/>
      <c r="D1802" s="80"/>
      <c r="E1802" s="80"/>
      <c r="F1802" s="80"/>
    </row>
    <row r="1803" spans="1:25" ht="12.6" customHeight="1" x14ac:dyDescent="0.3">
      <c r="A1803" s="80"/>
      <c r="B1803" s="80"/>
      <c r="C1803" s="80"/>
      <c r="D1803" s="80"/>
      <c r="E1803" s="80"/>
      <c r="F1803" s="80"/>
    </row>
    <row r="1804" spans="1:25" ht="12.6" customHeight="1" x14ac:dyDescent="0.3">
      <c r="A1804" s="80"/>
      <c r="B1804" s="80"/>
      <c r="C1804" s="80"/>
      <c r="D1804" s="80"/>
      <c r="E1804" s="80"/>
      <c r="F1804" s="80"/>
    </row>
    <row r="1805" spans="1:25" ht="12.6" customHeight="1" x14ac:dyDescent="0.3">
      <c r="A1805" s="80"/>
      <c r="B1805" s="80"/>
      <c r="C1805" s="80"/>
      <c r="D1805" s="80"/>
      <c r="E1805" s="80"/>
      <c r="F1805" s="80"/>
    </row>
    <row r="1806" spans="1:25" ht="12.6" customHeight="1" x14ac:dyDescent="0.3">
      <c r="A1806" s="80"/>
      <c r="B1806" s="80"/>
      <c r="C1806" s="80"/>
      <c r="D1806" s="80"/>
      <c r="E1806" s="80"/>
      <c r="F1806" s="80"/>
    </row>
    <row r="1807" spans="1:25" ht="12.6" customHeight="1" x14ac:dyDescent="0.3">
      <c r="A1807" s="58"/>
      <c r="B1807" s="58"/>
      <c r="C1807" s="58"/>
      <c r="D1807" s="58"/>
      <c r="E1807" s="58"/>
      <c r="F1807" s="58"/>
    </row>
    <row r="1808" spans="1:25" ht="12.6" customHeight="1" x14ac:dyDescent="0.3">
      <c r="A1808" s="141" t="s">
        <v>1171</v>
      </c>
      <c r="B1808" s="142"/>
      <c r="C1808" s="55">
        <f>E1808+D1808+F1808</f>
        <v>1290</v>
      </c>
      <c r="D1808" s="54">
        <f>ROUNDDOWN(SUMIF(N1778:N1797,M1808,D1778:D1797),0)</f>
        <v>716</v>
      </c>
      <c r="E1808" s="63">
        <f>ROUNDDOWN(SUMIF(N1778:N1797,M1808,E1778:E1797),0)</f>
        <v>231</v>
      </c>
      <c r="F1808" s="55">
        <f>ROUNDDOWN(SUMIF(N1778:N1797,M1808,F1778:F1797),0)</f>
        <v>343</v>
      </c>
      <c r="M1808" s="20" t="s">
        <v>1129</v>
      </c>
      <c r="N1808" s="20" t="s">
        <v>1172</v>
      </c>
    </row>
    <row r="1809" spans="1:13" ht="12.6" customHeight="1" x14ac:dyDescent="0.3">
      <c r="A1809" s="141" t="s">
        <v>1173</v>
      </c>
      <c r="B1809" s="142"/>
      <c r="C1809" s="55">
        <f>E1809+D1809+F1809</f>
        <v>1140</v>
      </c>
      <c r="D1809" s="54">
        <f>ROUNDDOWN(D1808*H1809/100,0)</f>
        <v>633</v>
      </c>
      <c r="E1809" s="63">
        <f>ROUNDDOWN(E1808*H1809/100,0)</f>
        <v>204</v>
      </c>
      <c r="F1809" s="55">
        <f>ROUNDDOWN(F1808*H1809/100,0)</f>
        <v>303</v>
      </c>
      <c r="H1809" s="67">
        <v>88.5</v>
      </c>
      <c r="M1809" s="20" t="s">
        <v>1172</v>
      </c>
    </row>
    <row r="1810" spans="1:13" ht="12.6" customHeight="1" x14ac:dyDescent="0.3">
      <c r="A1810" s="99" t="s">
        <v>145</v>
      </c>
      <c r="B1810" s="100" t="s">
        <v>145</v>
      </c>
      <c r="C1810" s="147">
        <f>C1843</f>
        <v>369</v>
      </c>
      <c r="D1810" s="147">
        <f>D1843</f>
        <v>213</v>
      </c>
      <c r="E1810" s="147">
        <f>E1843</f>
        <v>68</v>
      </c>
      <c r="F1810" s="147">
        <f>F1843</f>
        <v>88</v>
      </c>
      <c r="G1810" s="36" t="str">
        <f>HYPERLINK("#G"&amp;ROW(G1839),"_x0005_`BDCOD|D02279_x0007_`POSS|"&amp;ROW(G1812)&amp;"_x0007_`POSE|"&amp;ROW(G1839)&amp;"_x0007_`")</f>
        <v>_x0005_`BDCOD|D02279_x0007_`POSS|1812_x0007_`POSE|1839_x0007_`</v>
      </c>
    </row>
    <row r="1811" spans="1:13" ht="12.6" customHeight="1" x14ac:dyDescent="0.3">
      <c r="A1811" s="85"/>
      <c r="B1811" s="100" t="s">
        <v>272</v>
      </c>
      <c r="C1811" s="137"/>
      <c r="D1811" s="137"/>
      <c r="E1811" s="137"/>
      <c r="F1811" s="137"/>
      <c r="M1811" s="20" t="s">
        <v>271</v>
      </c>
    </row>
    <row r="1812" spans="1:13" ht="12.6" customHeight="1" x14ac:dyDescent="0.3">
      <c r="A1812" s="80"/>
      <c r="B1812" s="80"/>
      <c r="C1812" s="102"/>
      <c r="D1812" s="102"/>
      <c r="E1812" s="102"/>
      <c r="F1812" s="102"/>
      <c r="G1812" s="16" t="s">
        <v>1324</v>
      </c>
    </row>
    <row r="1813" spans="1:13" ht="12.6" customHeight="1" x14ac:dyDescent="0.3">
      <c r="A1813" s="70"/>
      <c r="B1813" s="79" t="s">
        <v>2061</v>
      </c>
      <c r="C1813" s="80"/>
      <c r="D1813" s="80"/>
      <c r="E1813" s="80"/>
      <c r="F1813" s="80"/>
      <c r="G1813" s="16" t="s">
        <v>2060</v>
      </c>
    </row>
    <row r="1814" spans="1:13" ht="12.6" customHeight="1" x14ac:dyDescent="0.3">
      <c r="A1814" s="80"/>
      <c r="B1814" s="80"/>
      <c r="C1814" s="80"/>
      <c r="D1814" s="80"/>
      <c r="E1814" s="80"/>
      <c r="F1814" s="80"/>
      <c r="G1814" s="16" t="s">
        <v>1324</v>
      </c>
    </row>
    <row r="1815" spans="1:13" ht="12.6" customHeight="1" x14ac:dyDescent="0.3">
      <c r="A1815" s="70"/>
      <c r="B1815" s="79" t="s">
        <v>2063</v>
      </c>
      <c r="C1815" s="80"/>
      <c r="D1815" s="80"/>
      <c r="E1815" s="80"/>
      <c r="F1815" s="80"/>
      <c r="G1815" s="16" t="s">
        <v>2062</v>
      </c>
    </row>
    <row r="1816" spans="1:13" ht="12.6" customHeight="1" x14ac:dyDescent="0.3">
      <c r="A1816" s="80"/>
      <c r="B1816" s="80"/>
      <c r="C1816" s="80"/>
      <c r="D1816" s="80"/>
      <c r="E1816" s="80"/>
      <c r="F1816" s="80"/>
      <c r="G1816" s="16" t="s">
        <v>1324</v>
      </c>
    </row>
    <row r="1817" spans="1:13" ht="12.6" customHeight="1" x14ac:dyDescent="0.3">
      <c r="A1817" s="80"/>
      <c r="B1817" s="80"/>
      <c r="C1817" s="80"/>
      <c r="D1817" s="80"/>
      <c r="E1817" s="80"/>
      <c r="F1817" s="80"/>
      <c r="G1817" s="16" t="s">
        <v>1324</v>
      </c>
    </row>
    <row r="1818" spans="1:13" ht="12.6" customHeight="1" x14ac:dyDescent="0.3">
      <c r="A1818" s="70"/>
      <c r="B1818" s="79" t="s">
        <v>2065</v>
      </c>
      <c r="C1818" s="80"/>
      <c r="D1818" s="80"/>
      <c r="E1818" s="80"/>
      <c r="F1818" s="80"/>
      <c r="G1818" s="16" t="s">
        <v>2064</v>
      </c>
    </row>
    <row r="1819" spans="1:13" ht="12.6" customHeight="1" x14ac:dyDescent="0.3">
      <c r="A1819" s="80"/>
      <c r="B1819" s="80"/>
      <c r="C1819" s="80"/>
      <c r="D1819" s="80"/>
      <c r="E1819" s="80"/>
      <c r="F1819" s="80"/>
      <c r="G1819" s="16" t="s">
        <v>1324</v>
      </c>
    </row>
    <row r="1820" spans="1:13" ht="12.6" customHeight="1" x14ac:dyDescent="0.3">
      <c r="A1820" s="70"/>
      <c r="B1820" s="79" t="s">
        <v>2067</v>
      </c>
      <c r="C1820" s="80"/>
      <c r="D1820" s="80"/>
      <c r="E1820" s="80"/>
      <c r="F1820" s="80"/>
      <c r="G1820" s="16" t="s">
        <v>2066</v>
      </c>
    </row>
    <row r="1821" spans="1:13" ht="12.6" customHeight="1" x14ac:dyDescent="0.3">
      <c r="A1821" s="80"/>
      <c r="B1821" s="80"/>
      <c r="C1821" s="80"/>
      <c r="D1821" s="80"/>
      <c r="E1821" s="80"/>
      <c r="F1821" s="80"/>
      <c r="G1821" s="16" t="s">
        <v>1324</v>
      </c>
    </row>
    <row r="1822" spans="1:13" ht="12.6" customHeight="1" x14ac:dyDescent="0.3">
      <c r="A1822" s="70"/>
      <c r="B1822" s="79" t="s">
        <v>2069</v>
      </c>
      <c r="C1822" s="80"/>
      <c r="D1822" s="80"/>
      <c r="E1822" s="80"/>
      <c r="F1822" s="80"/>
      <c r="G1822" s="16" t="s">
        <v>2068</v>
      </c>
    </row>
    <row r="1823" spans="1:13" ht="12.6" customHeight="1" x14ac:dyDescent="0.3">
      <c r="A1823" s="80"/>
      <c r="B1823" s="80"/>
      <c r="C1823" s="80"/>
      <c r="D1823" s="80"/>
      <c r="E1823" s="80"/>
      <c r="F1823" s="80"/>
      <c r="G1823" s="16" t="s">
        <v>1324</v>
      </c>
    </row>
    <row r="1824" spans="1:13" ht="12.6" customHeight="1" x14ac:dyDescent="0.3">
      <c r="A1824" s="70"/>
      <c r="B1824" s="79" t="s">
        <v>2071</v>
      </c>
      <c r="C1824" s="80"/>
      <c r="D1824" s="80"/>
      <c r="E1824" s="80"/>
      <c r="F1824" s="80"/>
      <c r="G1824" s="16" t="s">
        <v>2070</v>
      </c>
    </row>
    <row r="1825" spans="1:25" ht="12.6" customHeight="1" x14ac:dyDescent="0.3">
      <c r="A1825" s="80"/>
      <c r="B1825" s="80"/>
      <c r="C1825" s="80"/>
      <c r="D1825" s="80"/>
      <c r="E1825" s="80"/>
      <c r="F1825" s="80"/>
      <c r="G1825" s="16" t="s">
        <v>1324</v>
      </c>
    </row>
    <row r="1826" spans="1:25" ht="12.6" customHeight="1" x14ac:dyDescent="0.3">
      <c r="A1826" s="70"/>
      <c r="B1826" s="79" t="s">
        <v>2073</v>
      </c>
      <c r="C1826" s="80"/>
      <c r="D1826" s="80"/>
      <c r="E1826" s="80"/>
      <c r="F1826" s="80"/>
      <c r="G1826" s="16" t="s">
        <v>2072</v>
      </c>
    </row>
    <row r="1827" spans="1:25" ht="12.6" customHeight="1" x14ac:dyDescent="0.3">
      <c r="A1827" s="80"/>
      <c r="B1827" s="80"/>
      <c r="C1827" s="80"/>
      <c r="D1827" s="80"/>
      <c r="E1827" s="80"/>
      <c r="F1827" s="80"/>
      <c r="G1827" s="16" t="s">
        <v>1324</v>
      </c>
    </row>
    <row r="1828" spans="1:25" ht="12.6" customHeight="1" x14ac:dyDescent="0.3">
      <c r="A1828" s="80"/>
      <c r="B1828" s="80"/>
      <c r="C1828" s="80"/>
      <c r="D1828" s="80"/>
      <c r="E1828" s="80"/>
      <c r="F1828" s="80"/>
      <c r="G1828" s="16" t="s">
        <v>1324</v>
      </c>
    </row>
    <row r="1829" spans="1:25" ht="12.6" customHeight="1" x14ac:dyDescent="0.3">
      <c r="A1829" s="80"/>
      <c r="B1829" s="80"/>
      <c r="C1829" s="80"/>
      <c r="D1829" s="80"/>
      <c r="E1829" s="80"/>
      <c r="F1829" s="80"/>
      <c r="G1829" s="16" t="s">
        <v>1324</v>
      </c>
    </row>
    <row r="1830" spans="1:25" ht="12.6" customHeight="1" x14ac:dyDescent="0.3">
      <c r="A1830" s="70" t="s">
        <v>1524</v>
      </c>
      <c r="B1830" s="101" t="str">
        <f>" 노 무 비  : "&amp;TEXT(I1830,"#,##0"&amp;IF(I1830&lt;&gt;INT(I1830),".###",""))&amp;" / Q * 0.1 * 3 = "&amp;TEXT(C1830,"#,##0.0")&amp;""</f>
        <v xml:space="preserve"> 노 무 비  : 55,700 / Q * 0.1 * 3 = 241.1</v>
      </c>
      <c r="C1830" s="103">
        <f>E1830+D1830+F1830</f>
        <v>241.1</v>
      </c>
      <c r="D1830" s="103">
        <f>IF(H1830=0,0,ROUNDDOWN(J1830*H1830,1))</f>
        <v>241.1</v>
      </c>
      <c r="E1830" s="103">
        <f>IF(H1830=0,0,ROUNDDOWN(K1830*H1830,1))</f>
        <v>0</v>
      </c>
      <c r="F1830" s="103">
        <f>IF(H1830=0,0,ROUNDDOWN(L1830*H1830,1))</f>
        <v>0</v>
      </c>
      <c r="G1830" s="16" t="s">
        <v>2074</v>
      </c>
      <c r="H1830" s="108">
        <v>4.3290043390999998E-3</v>
      </c>
      <c r="I1830" s="109">
        <f>K1830+J1830+L1830</f>
        <v>55700</v>
      </c>
      <c r="J1830" s="39">
        <f>중기목록표!F7</f>
        <v>55700</v>
      </c>
      <c r="M1830" s="20" t="s">
        <v>1179</v>
      </c>
      <c r="N1830" s="20" t="s">
        <v>1345</v>
      </c>
      <c r="X1830" s="110" t="str">
        <f>중기목록표!B7&amp;" / "&amp;중기목록표!C7</f>
        <v xml:space="preserve">굴삭기(0.7m3) / </v>
      </c>
      <c r="Y1830" s="19" t="str">
        <f ca="1">HYPERLINK("#"&amp;중기목록표!J2&amp;"!A"&amp;ROW(중기목록표!A7),"중기    4 →")</f>
        <v>중기    4 →</v>
      </c>
    </row>
    <row r="1831" spans="1:25" ht="12.6" customHeight="1" x14ac:dyDescent="0.3">
      <c r="A1831" s="80"/>
      <c r="B1831" s="80"/>
      <c r="C1831" s="80"/>
      <c r="D1831" s="80"/>
      <c r="E1831" s="80"/>
      <c r="F1831" s="80"/>
      <c r="G1831" s="16" t="s">
        <v>1324</v>
      </c>
    </row>
    <row r="1832" spans="1:25" ht="12.6" customHeight="1" x14ac:dyDescent="0.3">
      <c r="A1832" s="70" t="s">
        <v>1526</v>
      </c>
      <c r="B1832" s="101" t="str">
        <f>" 재 료 비  : "&amp;TEXT(I1832,"#,##0"&amp;IF(I1832&lt;&gt;INT(I1832),".###",""))&amp;" / Q * 0.1 * 3 = "&amp;TEXT(C1832,"#,##0.0")&amp;""</f>
        <v xml:space="preserve"> 재 료 비  : 18,001 / Q * 0.1 * 3 = 77.9</v>
      </c>
      <c r="C1832" s="103">
        <f>E1832+D1832+F1832</f>
        <v>77.900000000000006</v>
      </c>
      <c r="D1832" s="103">
        <f>IF(H1832=0,0,ROUNDDOWN(J1832*H1832,1))</f>
        <v>0</v>
      </c>
      <c r="E1832" s="103">
        <f>IF(H1832=0,0,ROUNDDOWN(K1832*H1832,1))</f>
        <v>77.900000000000006</v>
      </c>
      <c r="F1832" s="103">
        <f>IF(H1832=0,0,ROUNDDOWN(L1832*H1832,1))</f>
        <v>0</v>
      </c>
      <c r="G1832" s="16" t="s">
        <v>2075</v>
      </c>
      <c r="H1832" s="108">
        <v>4.3290043390999998E-3</v>
      </c>
      <c r="I1832" s="109">
        <f>K1832+J1832+L1832</f>
        <v>18001</v>
      </c>
      <c r="K1832" s="39">
        <f>중기목록표!G7</f>
        <v>18001</v>
      </c>
      <c r="M1832" s="20" t="s">
        <v>1179</v>
      </c>
      <c r="N1832" s="20" t="s">
        <v>1345</v>
      </c>
      <c r="X1832" s="110" t="str">
        <f>중기목록표!B7&amp;" / "&amp;중기목록표!C7</f>
        <v xml:space="preserve">굴삭기(0.7m3) / </v>
      </c>
      <c r="Y1832" s="19" t="str">
        <f ca="1">HYPERLINK("#"&amp;중기목록표!J2&amp;"!A"&amp;ROW(중기목록표!A7),"중기    4 →")</f>
        <v>중기    4 →</v>
      </c>
    </row>
    <row r="1833" spans="1:25" ht="12.6" customHeight="1" x14ac:dyDescent="0.3">
      <c r="A1833" s="80"/>
      <c r="B1833" s="80"/>
      <c r="C1833" s="80"/>
      <c r="D1833" s="80"/>
      <c r="E1833" s="80"/>
      <c r="F1833" s="80"/>
      <c r="G1833" s="16" t="s">
        <v>1324</v>
      </c>
    </row>
    <row r="1834" spans="1:25" ht="12.6" customHeight="1" x14ac:dyDescent="0.3">
      <c r="A1834" s="70" t="s">
        <v>1528</v>
      </c>
      <c r="B1834" s="101" t="str">
        <f>" 경    비  : "&amp;TEXT(I1834,"#,##0"&amp;IF(I1834&lt;&gt;INT(I1834),".###",""))&amp;" / Q * 0.1 * 3 = "&amp;TEXT(C1834,"#,##0.0")&amp;""</f>
        <v xml:space="preserve"> 경    비  : 23,128 / Q * 0.1 * 3 = 100.1</v>
      </c>
      <c r="C1834" s="103">
        <f>E1834+D1834+F1834</f>
        <v>100.1</v>
      </c>
      <c r="D1834" s="103">
        <f>IF(H1834=0,0,ROUNDDOWN(J1834*H1834,1))</f>
        <v>0</v>
      </c>
      <c r="E1834" s="103">
        <f>IF(H1834=0,0,ROUNDDOWN(K1834*H1834,1))</f>
        <v>0</v>
      </c>
      <c r="F1834" s="103">
        <f>IF(H1834=0,0,ROUNDDOWN(L1834*H1834,1))</f>
        <v>100.1</v>
      </c>
      <c r="G1834" s="16" t="s">
        <v>2076</v>
      </c>
      <c r="H1834" s="108">
        <v>4.3290043390999998E-3</v>
      </c>
      <c r="I1834" s="109">
        <f>K1834+J1834+L1834</f>
        <v>23128</v>
      </c>
      <c r="L1834" s="39">
        <f>중기목록표!H7</f>
        <v>23128</v>
      </c>
      <c r="M1834" s="20" t="s">
        <v>1179</v>
      </c>
      <c r="N1834" s="20" t="s">
        <v>1345</v>
      </c>
      <c r="X1834" s="110" t="str">
        <f>중기목록표!B7&amp;" / "&amp;중기목록표!C7</f>
        <v xml:space="preserve">굴삭기(0.7m3) / </v>
      </c>
      <c r="Y1834" s="19" t="str">
        <f ca="1">HYPERLINK("#"&amp;중기목록표!J2&amp;"!A"&amp;ROW(중기목록표!A7),"중기    4 →")</f>
        <v>중기    4 →</v>
      </c>
    </row>
    <row r="1835" spans="1:25" ht="12.6" customHeight="1" x14ac:dyDescent="0.3">
      <c r="A1835" s="80"/>
      <c r="B1835" s="80"/>
      <c r="C1835" s="80"/>
      <c r="D1835" s="80"/>
      <c r="E1835" s="80"/>
      <c r="F1835" s="80"/>
      <c r="G1835" s="16" t="s">
        <v>1324</v>
      </c>
    </row>
    <row r="1836" spans="1:25" ht="12.6" customHeight="1" x14ac:dyDescent="0.3">
      <c r="A1836" s="80"/>
      <c r="B1836" s="80"/>
      <c r="C1836" s="80"/>
      <c r="D1836" s="80"/>
      <c r="E1836" s="80"/>
      <c r="F1836" s="80"/>
      <c r="G1836" s="16" t="s">
        <v>1324</v>
      </c>
    </row>
    <row r="1837" spans="1:25" ht="12.6" customHeight="1" x14ac:dyDescent="0.3">
      <c r="A1837" s="70"/>
      <c r="B1837" s="79" t="s">
        <v>1344</v>
      </c>
      <c r="C1837" s="104">
        <f>E1837+D1837+F1837</f>
        <v>419.1</v>
      </c>
      <c r="D1837" s="104">
        <f>SUMIF(N1812:N1836,M1837,D1812:D1836)</f>
        <v>241.1</v>
      </c>
      <c r="E1837" s="104">
        <f>SUMIF(N1812:N1836,M1837,E1812:E1836)</f>
        <v>77.900000000000006</v>
      </c>
      <c r="F1837" s="104">
        <f>SUMIF(N1812:N1836,M1837,F1812:F1836)</f>
        <v>100.1</v>
      </c>
      <c r="G1837" s="16" t="s">
        <v>1343</v>
      </c>
      <c r="M1837" s="20" t="s">
        <v>1345</v>
      </c>
      <c r="N1837" s="20" t="s">
        <v>1368</v>
      </c>
    </row>
    <row r="1838" spans="1:25" ht="12.6" customHeight="1" x14ac:dyDescent="0.3">
      <c r="A1838" s="80"/>
      <c r="B1838" s="80"/>
      <c r="C1838" s="102"/>
      <c r="D1838" s="102"/>
      <c r="E1838" s="102"/>
      <c r="F1838" s="102"/>
      <c r="G1838" s="16" t="s">
        <v>1324</v>
      </c>
    </row>
    <row r="1839" spans="1:25" ht="12.6" customHeight="1" x14ac:dyDescent="0.3">
      <c r="A1839" s="70"/>
      <c r="B1839" s="79" t="s">
        <v>1171</v>
      </c>
      <c r="C1839" s="104">
        <f>E1839+D1839+F1839</f>
        <v>419.1</v>
      </c>
      <c r="D1839" s="104">
        <f>SUMIF(N1812:N1838,M1839,D1812:D1838)</f>
        <v>241.1</v>
      </c>
      <c r="E1839" s="104">
        <f>SUMIF(N1812:N1838,M1839,E1812:E1838)</f>
        <v>77.900000000000006</v>
      </c>
      <c r="F1839" s="104">
        <f>SUMIF(N1812:N1838,M1839,F1812:F1838)</f>
        <v>100.1</v>
      </c>
      <c r="G1839" s="16" t="s">
        <v>1367</v>
      </c>
      <c r="M1839" s="20" t="s">
        <v>1368</v>
      </c>
      <c r="N1839" s="20" t="s">
        <v>1129</v>
      </c>
    </row>
    <row r="1840" spans="1:25" ht="12.6" customHeight="1" x14ac:dyDescent="0.3">
      <c r="A1840" s="80"/>
      <c r="B1840" s="80"/>
      <c r="C1840" s="102"/>
      <c r="D1840" s="102"/>
      <c r="E1840" s="102"/>
      <c r="F1840" s="102"/>
    </row>
    <row r="1841" spans="1:14" ht="12.6" customHeight="1" x14ac:dyDescent="0.3">
      <c r="A1841" s="58"/>
      <c r="B1841" s="58"/>
      <c r="C1841" s="58"/>
      <c r="D1841" s="58"/>
      <c r="E1841" s="58"/>
      <c r="F1841" s="58"/>
    </row>
    <row r="1842" spans="1:14" ht="12.6" customHeight="1" x14ac:dyDescent="0.3">
      <c r="A1842" s="141" t="s">
        <v>1171</v>
      </c>
      <c r="B1842" s="142"/>
      <c r="C1842" s="55">
        <f>E1842+D1842+F1842</f>
        <v>418</v>
      </c>
      <c r="D1842" s="54">
        <f>ROUNDDOWN(SUMIF(N1812:N1839,M1842,D1812:D1839),0)</f>
        <v>241</v>
      </c>
      <c r="E1842" s="63">
        <f>ROUNDDOWN(SUMIF(N1812:N1839,M1842,E1812:E1839),0)</f>
        <v>77</v>
      </c>
      <c r="F1842" s="55">
        <f>ROUNDDOWN(SUMIF(N1812:N1839,M1842,F1812:F1839),0)</f>
        <v>100</v>
      </c>
      <c r="M1842" s="20" t="s">
        <v>1129</v>
      </c>
      <c r="N1842" s="20" t="s">
        <v>1172</v>
      </c>
    </row>
    <row r="1843" spans="1:14" ht="12.6" customHeight="1" x14ac:dyDescent="0.3">
      <c r="A1843" s="141" t="s">
        <v>1173</v>
      </c>
      <c r="B1843" s="142"/>
      <c r="C1843" s="55">
        <f>E1843+D1843+F1843</f>
        <v>369</v>
      </c>
      <c r="D1843" s="54">
        <f>ROUNDDOWN(D1842*H1843/100,0)</f>
        <v>213</v>
      </c>
      <c r="E1843" s="63">
        <f>ROUNDDOWN(E1842*H1843/100,0)</f>
        <v>68</v>
      </c>
      <c r="F1843" s="55">
        <f>ROUNDDOWN(F1842*H1843/100,0)</f>
        <v>88</v>
      </c>
      <c r="H1843" s="67">
        <v>88.5</v>
      </c>
      <c r="M1843" s="20" t="s">
        <v>1172</v>
      </c>
    </row>
    <row r="1844" spans="1:14" ht="12.6" customHeight="1" x14ac:dyDescent="0.3">
      <c r="A1844" s="99" t="s">
        <v>149</v>
      </c>
      <c r="B1844" s="100" t="s">
        <v>149</v>
      </c>
      <c r="C1844" s="147">
        <f>C1912</f>
        <v>473554</v>
      </c>
      <c r="D1844" s="147">
        <f>D1912</f>
        <v>0</v>
      </c>
      <c r="E1844" s="147">
        <f>E1912</f>
        <v>0</v>
      </c>
      <c r="F1844" s="147">
        <f>F1912</f>
        <v>473554</v>
      </c>
      <c r="G1844" s="36" t="str">
        <f>HYPERLINK("#G"&amp;ROW(G1886),"_x0005_`BDCOD|D02280_x0007_`POSS|"&amp;ROW(G1846)&amp;"_x0007_`POSE|"&amp;ROW(G1886)&amp;"_x0007_`")</f>
        <v>_x0005_`BDCOD|D02280_x0007_`POSS|1846_x0007_`POSE|1886_x0007_`</v>
      </c>
    </row>
    <row r="1845" spans="1:14" ht="12.6" customHeight="1" x14ac:dyDescent="0.3">
      <c r="A1845" s="85"/>
      <c r="B1845" s="100" t="s">
        <v>276</v>
      </c>
      <c r="C1845" s="137"/>
      <c r="D1845" s="137"/>
      <c r="E1845" s="137"/>
      <c r="F1845" s="137"/>
      <c r="M1845" s="20" t="s">
        <v>275</v>
      </c>
    </row>
    <row r="1846" spans="1:14" ht="12.6" customHeight="1" x14ac:dyDescent="0.3">
      <c r="A1846" s="70"/>
      <c r="B1846" s="79" t="s">
        <v>2078</v>
      </c>
      <c r="C1846" s="102"/>
      <c r="D1846" s="102"/>
      <c r="E1846" s="102"/>
      <c r="F1846" s="102"/>
      <c r="G1846" s="16" t="s">
        <v>2077</v>
      </c>
    </row>
    <row r="1847" spans="1:14" ht="12.6" customHeight="1" x14ac:dyDescent="0.3">
      <c r="A1847" s="80"/>
      <c r="B1847" s="80"/>
      <c r="C1847" s="80"/>
      <c r="D1847" s="80"/>
      <c r="E1847" s="80"/>
      <c r="F1847" s="80"/>
      <c r="G1847" s="16" t="s">
        <v>1324</v>
      </c>
    </row>
    <row r="1848" spans="1:14" ht="12.6" customHeight="1" x14ac:dyDescent="0.3">
      <c r="A1848" s="70"/>
      <c r="B1848" s="79" t="s">
        <v>2080</v>
      </c>
      <c r="C1848" s="80"/>
      <c r="D1848" s="80"/>
      <c r="E1848" s="80"/>
      <c r="F1848" s="80"/>
      <c r="G1848" s="16" t="s">
        <v>2079</v>
      </c>
    </row>
    <row r="1849" spans="1:14" ht="12.6" customHeight="1" x14ac:dyDescent="0.3">
      <c r="A1849" s="80"/>
      <c r="B1849" s="80"/>
      <c r="C1849" s="80"/>
      <c r="D1849" s="80"/>
      <c r="E1849" s="80"/>
      <c r="F1849" s="80"/>
      <c r="G1849" s="16" t="s">
        <v>1324</v>
      </c>
    </row>
    <row r="1850" spans="1:14" ht="12.6" customHeight="1" x14ac:dyDescent="0.3">
      <c r="A1850" s="70"/>
      <c r="B1850" s="79" t="s">
        <v>2082</v>
      </c>
      <c r="C1850" s="80"/>
      <c r="D1850" s="80"/>
      <c r="E1850" s="80"/>
      <c r="F1850" s="80"/>
      <c r="G1850" s="16" t="s">
        <v>2081</v>
      </c>
    </row>
    <row r="1851" spans="1:14" ht="12.6" customHeight="1" x14ac:dyDescent="0.3">
      <c r="A1851" s="80"/>
      <c r="B1851" s="80"/>
      <c r="C1851" s="80"/>
      <c r="D1851" s="80"/>
      <c r="E1851" s="80"/>
      <c r="F1851" s="80"/>
      <c r="G1851" s="16" t="s">
        <v>1324</v>
      </c>
    </row>
    <row r="1852" spans="1:14" ht="12.6" customHeight="1" x14ac:dyDescent="0.3">
      <c r="A1852" s="70"/>
      <c r="B1852" s="79" t="s">
        <v>2084</v>
      </c>
      <c r="C1852" s="80"/>
      <c r="D1852" s="80"/>
      <c r="E1852" s="80"/>
      <c r="F1852" s="80"/>
      <c r="G1852" s="16" t="s">
        <v>2083</v>
      </c>
    </row>
    <row r="1853" spans="1:14" ht="12.6" customHeight="1" x14ac:dyDescent="0.3">
      <c r="A1853" s="80"/>
      <c r="B1853" s="80"/>
      <c r="C1853" s="80"/>
      <c r="D1853" s="80"/>
      <c r="E1853" s="80"/>
      <c r="F1853" s="80"/>
      <c r="G1853" s="16" t="s">
        <v>1324</v>
      </c>
    </row>
    <row r="1854" spans="1:14" ht="12.6" customHeight="1" x14ac:dyDescent="0.3">
      <c r="A1854" s="70"/>
      <c r="B1854" s="79" t="s">
        <v>2086</v>
      </c>
      <c r="C1854" s="80"/>
      <c r="D1854" s="80"/>
      <c r="E1854" s="80"/>
      <c r="F1854" s="80"/>
      <c r="G1854" s="16" t="s">
        <v>2085</v>
      </c>
    </row>
    <row r="1855" spans="1:14" ht="12.6" customHeight="1" x14ac:dyDescent="0.3">
      <c r="A1855" s="80"/>
      <c r="B1855" s="80"/>
      <c r="C1855" s="80"/>
      <c r="D1855" s="80"/>
      <c r="E1855" s="80"/>
      <c r="F1855" s="80"/>
      <c r="G1855" s="16" t="s">
        <v>1324</v>
      </c>
    </row>
    <row r="1856" spans="1:14" ht="12.6" customHeight="1" x14ac:dyDescent="0.3">
      <c r="A1856" s="70"/>
      <c r="B1856" s="79" t="s">
        <v>2088</v>
      </c>
      <c r="C1856" s="80"/>
      <c r="D1856" s="80"/>
      <c r="E1856" s="80"/>
      <c r="F1856" s="80"/>
      <c r="G1856" s="16" t="s">
        <v>2087</v>
      </c>
    </row>
    <row r="1857" spans="1:7" ht="12.6" customHeight="1" x14ac:dyDescent="0.3">
      <c r="A1857" s="80"/>
      <c r="B1857" s="80"/>
      <c r="C1857" s="80"/>
      <c r="D1857" s="80"/>
      <c r="E1857" s="80"/>
      <c r="F1857" s="80"/>
      <c r="G1857" s="16" t="s">
        <v>1324</v>
      </c>
    </row>
    <row r="1858" spans="1:7" ht="12.6" customHeight="1" x14ac:dyDescent="0.3">
      <c r="A1858" s="70"/>
      <c r="B1858" s="79" t="s">
        <v>2090</v>
      </c>
      <c r="C1858" s="80"/>
      <c r="D1858" s="80"/>
      <c r="E1858" s="80"/>
      <c r="F1858" s="80"/>
      <c r="G1858" s="16" t="s">
        <v>2089</v>
      </c>
    </row>
    <row r="1859" spans="1:7" ht="12.6" customHeight="1" x14ac:dyDescent="0.3">
      <c r="A1859" s="80"/>
      <c r="B1859" s="80"/>
      <c r="C1859" s="80"/>
      <c r="D1859" s="80"/>
      <c r="E1859" s="80"/>
      <c r="F1859" s="80"/>
      <c r="G1859" s="16" t="s">
        <v>1327</v>
      </c>
    </row>
    <row r="1860" spans="1:7" ht="12.6" customHeight="1" x14ac:dyDescent="0.3">
      <c r="A1860" s="70"/>
      <c r="B1860" s="79" t="s">
        <v>2092</v>
      </c>
      <c r="C1860" s="80"/>
      <c r="D1860" s="80"/>
      <c r="E1860" s="80"/>
      <c r="F1860" s="80"/>
      <c r="G1860" s="16" t="s">
        <v>2091</v>
      </c>
    </row>
    <row r="1861" spans="1:7" ht="12.6" customHeight="1" x14ac:dyDescent="0.3">
      <c r="A1861" s="80"/>
      <c r="B1861" s="80"/>
      <c r="C1861" s="80"/>
      <c r="D1861" s="80"/>
      <c r="E1861" s="80"/>
      <c r="F1861" s="80"/>
      <c r="G1861" s="16" t="s">
        <v>1327</v>
      </c>
    </row>
    <row r="1862" spans="1:7" ht="12.6" customHeight="1" x14ac:dyDescent="0.3">
      <c r="A1862" s="70"/>
      <c r="B1862" s="79" t="s">
        <v>2094</v>
      </c>
      <c r="C1862" s="80"/>
      <c r="D1862" s="80"/>
      <c r="E1862" s="80"/>
      <c r="F1862" s="80"/>
      <c r="G1862" s="16" t="s">
        <v>2093</v>
      </c>
    </row>
    <row r="1863" spans="1:7" ht="12.6" customHeight="1" x14ac:dyDescent="0.3">
      <c r="A1863" s="80"/>
      <c r="B1863" s="80"/>
      <c r="C1863" s="80"/>
      <c r="D1863" s="80"/>
      <c r="E1863" s="80"/>
      <c r="F1863" s="80"/>
      <c r="G1863" s="16" t="s">
        <v>1327</v>
      </c>
    </row>
    <row r="1864" spans="1:7" ht="12.6" customHeight="1" x14ac:dyDescent="0.3">
      <c r="A1864" s="70"/>
      <c r="B1864" s="79" t="s">
        <v>2096</v>
      </c>
      <c r="C1864" s="80"/>
      <c r="D1864" s="80"/>
      <c r="E1864" s="80"/>
      <c r="F1864" s="80"/>
      <c r="G1864" s="16" t="s">
        <v>2095</v>
      </c>
    </row>
    <row r="1865" spans="1:7" ht="12.6" customHeight="1" x14ac:dyDescent="0.3">
      <c r="A1865" s="80"/>
      <c r="B1865" s="80"/>
      <c r="C1865" s="80"/>
      <c r="D1865" s="80"/>
      <c r="E1865" s="80"/>
      <c r="F1865" s="80"/>
      <c r="G1865" s="16" t="s">
        <v>1324</v>
      </c>
    </row>
    <row r="1866" spans="1:7" ht="12.6" customHeight="1" x14ac:dyDescent="0.3">
      <c r="A1866" s="70"/>
      <c r="B1866" s="79" t="s">
        <v>2098</v>
      </c>
      <c r="C1866" s="80"/>
      <c r="D1866" s="80"/>
      <c r="E1866" s="80"/>
      <c r="F1866" s="80"/>
      <c r="G1866" s="16" t="s">
        <v>2097</v>
      </c>
    </row>
    <row r="1867" spans="1:7" ht="12.6" customHeight="1" x14ac:dyDescent="0.3">
      <c r="A1867" s="80"/>
      <c r="B1867" s="80"/>
      <c r="C1867" s="80"/>
      <c r="D1867" s="80"/>
      <c r="E1867" s="80"/>
      <c r="F1867" s="80"/>
      <c r="G1867" s="16" t="s">
        <v>1324</v>
      </c>
    </row>
    <row r="1868" spans="1:7" ht="12.6" customHeight="1" x14ac:dyDescent="0.3">
      <c r="A1868" s="70"/>
      <c r="B1868" s="79" t="s">
        <v>2100</v>
      </c>
      <c r="C1868" s="80"/>
      <c r="D1868" s="80"/>
      <c r="E1868" s="80"/>
      <c r="F1868" s="80"/>
      <c r="G1868" s="16" t="s">
        <v>2099</v>
      </c>
    </row>
    <row r="1869" spans="1:7" ht="12.6" customHeight="1" x14ac:dyDescent="0.3">
      <c r="A1869" s="80"/>
      <c r="B1869" s="80"/>
      <c r="C1869" s="80"/>
      <c r="D1869" s="80"/>
      <c r="E1869" s="80"/>
      <c r="F1869" s="80"/>
      <c r="G1869" s="16" t="s">
        <v>1324</v>
      </c>
    </row>
    <row r="1870" spans="1:7" ht="12.6" customHeight="1" x14ac:dyDescent="0.3">
      <c r="A1870" s="70"/>
      <c r="B1870" s="79" t="s">
        <v>2102</v>
      </c>
      <c r="C1870" s="80"/>
      <c r="D1870" s="80"/>
      <c r="E1870" s="80"/>
      <c r="F1870" s="80"/>
      <c r="G1870" s="16" t="s">
        <v>2101</v>
      </c>
    </row>
    <row r="1871" spans="1:7" ht="12.6" customHeight="1" x14ac:dyDescent="0.3">
      <c r="A1871" s="80"/>
      <c r="B1871" s="80"/>
      <c r="C1871" s="80"/>
      <c r="D1871" s="80"/>
      <c r="E1871" s="80"/>
      <c r="F1871" s="80"/>
      <c r="G1871" s="16" t="s">
        <v>1324</v>
      </c>
    </row>
    <row r="1872" spans="1:7" ht="12.6" customHeight="1" x14ac:dyDescent="0.3">
      <c r="A1872" s="70"/>
      <c r="B1872" s="79" t="s">
        <v>2104</v>
      </c>
      <c r="C1872" s="80"/>
      <c r="D1872" s="80"/>
      <c r="E1872" s="80"/>
      <c r="F1872" s="80"/>
      <c r="G1872" s="16" t="s">
        <v>2103</v>
      </c>
    </row>
    <row r="1873" spans="1:25" ht="12.6" customHeight="1" x14ac:dyDescent="0.3">
      <c r="A1873" s="80"/>
      <c r="B1873" s="80"/>
      <c r="C1873" s="80"/>
      <c r="D1873" s="80"/>
      <c r="E1873" s="80"/>
      <c r="F1873" s="80"/>
      <c r="G1873" s="16" t="s">
        <v>1324</v>
      </c>
    </row>
    <row r="1874" spans="1:25" ht="12.6" customHeight="1" x14ac:dyDescent="0.3">
      <c r="A1874" s="70"/>
      <c r="B1874" s="79" t="s">
        <v>2106</v>
      </c>
      <c r="C1874" s="80"/>
      <c r="D1874" s="80"/>
      <c r="E1874" s="80"/>
      <c r="F1874" s="80"/>
      <c r="G1874" s="16" t="s">
        <v>2105</v>
      </c>
    </row>
    <row r="1875" spans="1:25" ht="12.6" customHeight="1" x14ac:dyDescent="0.3">
      <c r="A1875" s="80"/>
      <c r="B1875" s="80"/>
      <c r="C1875" s="80"/>
      <c r="D1875" s="80"/>
      <c r="E1875" s="80"/>
      <c r="F1875" s="80"/>
      <c r="G1875" s="16" t="s">
        <v>1324</v>
      </c>
    </row>
    <row r="1876" spans="1:25" ht="12.6" customHeight="1" x14ac:dyDescent="0.3">
      <c r="A1876" s="70"/>
      <c r="B1876" s="79" t="s">
        <v>2108</v>
      </c>
      <c r="C1876" s="80"/>
      <c r="D1876" s="80"/>
      <c r="E1876" s="80"/>
      <c r="F1876" s="80"/>
      <c r="G1876" s="16" t="s">
        <v>2107</v>
      </c>
    </row>
    <row r="1877" spans="1:25" ht="12.6" customHeight="1" x14ac:dyDescent="0.3">
      <c r="A1877" s="80"/>
      <c r="B1877" s="80"/>
      <c r="C1877" s="80"/>
      <c r="D1877" s="80"/>
      <c r="E1877" s="80"/>
      <c r="F1877" s="80"/>
      <c r="G1877" s="16" t="s">
        <v>1324</v>
      </c>
    </row>
    <row r="1878" spans="1:25" ht="12.6" customHeight="1" x14ac:dyDescent="0.3">
      <c r="A1878" s="70"/>
      <c r="B1878" s="79" t="s">
        <v>2110</v>
      </c>
      <c r="C1878" s="80"/>
      <c r="D1878" s="80"/>
      <c r="E1878" s="80"/>
      <c r="F1878" s="80"/>
      <c r="G1878" s="16" t="s">
        <v>2109</v>
      </c>
    </row>
    <row r="1879" spans="1:25" ht="12.6" customHeight="1" x14ac:dyDescent="0.3">
      <c r="A1879" s="80"/>
      <c r="B1879" s="80"/>
      <c r="C1879" s="80"/>
      <c r="D1879" s="80"/>
      <c r="E1879" s="80"/>
      <c r="F1879" s="80"/>
      <c r="G1879" s="16" t="s">
        <v>1324</v>
      </c>
    </row>
    <row r="1880" spans="1:25" ht="12.6" customHeight="1" x14ac:dyDescent="0.3">
      <c r="A1880" s="70" t="s">
        <v>2112</v>
      </c>
      <c r="B1880" s="101" t="str">
        <f>"  노무비 : "&amp;TEXT(I1880,"#,##0"&amp;IF(I1880&lt;&gt;INT(I1880),".###",""))&amp;"/N*2 = "&amp;TEXT(C1880,"#,##0.0")&amp;""</f>
        <v xml:space="preserve">  노무비 : 55,700/N*2 = 318,285.7</v>
      </c>
      <c r="C1880" s="103">
        <f>E1880+D1880+F1880</f>
        <v>318285.7</v>
      </c>
      <c r="D1880" s="103">
        <f>IF(H1880=0,0,ROUNDDOWN(J1880*H1880,1))</f>
        <v>318285.7</v>
      </c>
      <c r="E1880" s="103">
        <f>IF(H1880=0,0,ROUNDDOWN(K1880*H1880,1))</f>
        <v>0</v>
      </c>
      <c r="F1880" s="103">
        <f>IF(H1880=0,0,ROUNDDOWN(L1880*H1880,1))</f>
        <v>0</v>
      </c>
      <c r="G1880" s="16" t="s">
        <v>2111</v>
      </c>
      <c r="H1880" s="108">
        <v>5.7142857142957997</v>
      </c>
      <c r="I1880" s="109">
        <f>K1880+J1880+L1880</f>
        <v>55700</v>
      </c>
      <c r="J1880" s="39">
        <f>중기목록표!F16</f>
        <v>55700</v>
      </c>
      <c r="M1880" s="20" t="s">
        <v>2113</v>
      </c>
      <c r="N1880" s="20" t="s">
        <v>1345</v>
      </c>
      <c r="X1880" s="110" t="str">
        <f>중기목록표!B16&amp;" / "&amp;중기목록표!C16</f>
        <v>트럭 트랙터 및 평판트레일러 / 20Ton</v>
      </c>
      <c r="Y1880" s="19" t="str">
        <f ca="1">HYPERLINK("#"&amp;중기목록표!J2&amp;"!A"&amp;ROW(중기목록표!A16),"중기   13 →")</f>
        <v>중기   13 →</v>
      </c>
    </row>
    <row r="1881" spans="1:25" ht="12.6" customHeight="1" x14ac:dyDescent="0.3">
      <c r="A1881" s="80"/>
      <c r="B1881" s="80"/>
      <c r="C1881" s="80"/>
      <c r="D1881" s="80"/>
      <c r="E1881" s="80"/>
      <c r="F1881" s="80"/>
      <c r="G1881" s="16" t="s">
        <v>1324</v>
      </c>
    </row>
    <row r="1882" spans="1:25" ht="12.6" customHeight="1" x14ac:dyDescent="0.3">
      <c r="A1882" s="70" t="s">
        <v>2115</v>
      </c>
      <c r="B1882" s="101" t="str">
        <f>"  재료비 : "&amp;TEXT(I1882,"#,##0"&amp;IF(I1882&lt;&gt;INT(I1882),".###",""))&amp;"/N*OH*2 = "&amp;TEXT(C1882,"#,##0.0")&amp;""</f>
        <v xml:space="preserve">  재료비 : 29,173/N*OH*2 = 123,360.1</v>
      </c>
      <c r="C1882" s="103">
        <f>E1882+D1882+F1882</f>
        <v>123360.1</v>
      </c>
      <c r="D1882" s="103">
        <f>IF(H1882=0,0,ROUNDDOWN(J1882*H1882,1))</f>
        <v>0</v>
      </c>
      <c r="E1882" s="103">
        <f>IF(H1882=0,0,ROUNDDOWN(K1882*H1882,1))</f>
        <v>123360.1</v>
      </c>
      <c r="F1882" s="103">
        <f>IF(H1882=0,0,ROUNDDOWN(L1882*H1882,1))</f>
        <v>0</v>
      </c>
      <c r="G1882" s="16" t="s">
        <v>2114</v>
      </c>
      <c r="H1882" s="108">
        <v>4.2285714285814997</v>
      </c>
      <c r="I1882" s="109">
        <f>K1882+J1882+L1882</f>
        <v>29173</v>
      </c>
      <c r="K1882" s="39">
        <f>중기목록표!G16</f>
        <v>29173</v>
      </c>
      <c r="M1882" s="20" t="s">
        <v>2113</v>
      </c>
      <c r="N1882" s="20" t="s">
        <v>1345</v>
      </c>
      <c r="X1882" s="110" t="str">
        <f>중기목록표!B16&amp;" / "&amp;중기목록표!C16</f>
        <v>트럭 트랙터 및 평판트레일러 / 20Ton</v>
      </c>
      <c r="Y1882" s="19" t="str">
        <f ca="1">HYPERLINK("#"&amp;중기목록표!J2&amp;"!A"&amp;ROW(중기목록표!A16),"중기   13 →")</f>
        <v>중기   13 →</v>
      </c>
    </row>
    <row r="1883" spans="1:25" ht="12.6" customHeight="1" x14ac:dyDescent="0.3">
      <c r="A1883" s="80"/>
      <c r="B1883" s="80"/>
      <c r="C1883" s="80"/>
      <c r="D1883" s="80"/>
      <c r="E1883" s="80"/>
      <c r="F1883" s="80"/>
      <c r="G1883" s="16" t="s">
        <v>1324</v>
      </c>
    </row>
    <row r="1884" spans="1:25" ht="12.6" customHeight="1" x14ac:dyDescent="0.3">
      <c r="A1884" s="70" t="s">
        <v>2117</v>
      </c>
      <c r="B1884" s="101" t="str">
        <f>"  경   비 : "&amp;TEXT(I1884,"#,##0"&amp;IF(I1884&lt;&gt;INT(I1884),".###",""))&amp;"/N*2 = "&amp;TEXT(C1884,"#,##0.0")&amp;""</f>
        <v xml:space="preserve">  경   비 : 16,353/N*2 = 93,445.7</v>
      </c>
      <c r="C1884" s="103">
        <f>E1884+D1884+F1884</f>
        <v>93445.7</v>
      </c>
      <c r="D1884" s="103">
        <f>IF(H1884=0,0,ROUNDDOWN(J1884*H1884,1))</f>
        <v>0</v>
      </c>
      <c r="E1884" s="103">
        <f>IF(H1884=0,0,ROUNDDOWN(K1884*H1884,1))</f>
        <v>0</v>
      </c>
      <c r="F1884" s="103">
        <f>IF(H1884=0,0,ROUNDDOWN(L1884*H1884,1))</f>
        <v>93445.7</v>
      </c>
      <c r="G1884" s="16" t="s">
        <v>2116</v>
      </c>
      <c r="H1884" s="108">
        <v>5.7142857142957997</v>
      </c>
      <c r="I1884" s="109">
        <f>K1884+J1884+L1884</f>
        <v>16353</v>
      </c>
      <c r="L1884" s="39">
        <f>중기목록표!H16</f>
        <v>16353</v>
      </c>
      <c r="M1884" s="20" t="s">
        <v>2113</v>
      </c>
      <c r="N1884" s="20" t="s">
        <v>1345</v>
      </c>
      <c r="X1884" s="110" t="str">
        <f>중기목록표!B16&amp;" / "&amp;중기목록표!C16</f>
        <v>트럭 트랙터 및 평판트레일러 / 20Ton</v>
      </c>
      <c r="Y1884" s="19" t="str">
        <f ca="1">HYPERLINK("#"&amp;중기목록표!J2&amp;"!A"&amp;ROW(중기목록표!A16),"중기   13 →")</f>
        <v>중기   13 →</v>
      </c>
    </row>
    <row r="1885" spans="1:25" ht="12.6" customHeight="1" x14ac:dyDescent="0.3">
      <c r="A1885" s="80"/>
      <c r="B1885" s="80"/>
      <c r="C1885" s="80"/>
      <c r="D1885" s="80"/>
      <c r="E1885" s="80"/>
      <c r="F1885" s="80"/>
      <c r="G1885" s="16" t="s">
        <v>1324</v>
      </c>
    </row>
    <row r="1886" spans="1:25" ht="12.6" customHeight="1" x14ac:dyDescent="0.3">
      <c r="A1886" s="70"/>
      <c r="B1886" s="79" t="s">
        <v>1344</v>
      </c>
      <c r="C1886" s="104">
        <f>E1886+D1886+F1886</f>
        <v>535091.5</v>
      </c>
      <c r="D1886" s="104">
        <f>SUMIF(N1846:N1885,M1886,D1846:D1885)</f>
        <v>318285.7</v>
      </c>
      <c r="E1886" s="104">
        <f>SUMIF(N1846:N1885,M1886,E1846:E1885)</f>
        <v>123360.1</v>
      </c>
      <c r="F1886" s="104">
        <f>SUMIF(N1846:N1885,M1886,F1846:F1885)</f>
        <v>93445.7</v>
      </c>
      <c r="G1886" s="16" t="s">
        <v>1343</v>
      </c>
      <c r="M1886" s="20" t="s">
        <v>1345</v>
      </c>
      <c r="N1886" s="20" t="s">
        <v>1129</v>
      </c>
    </row>
    <row r="1887" spans="1:25" ht="12.6" customHeight="1" x14ac:dyDescent="0.3">
      <c r="A1887" s="80"/>
      <c r="B1887" s="80"/>
      <c r="C1887" s="102"/>
      <c r="D1887" s="102"/>
      <c r="E1887" s="102"/>
      <c r="F1887" s="102"/>
    </row>
    <row r="1888" spans="1:25" ht="12.6" customHeight="1" x14ac:dyDescent="0.3">
      <c r="A1888" s="80"/>
      <c r="B1888" s="80"/>
      <c r="C1888" s="80"/>
      <c r="D1888" s="80"/>
      <c r="E1888" s="80"/>
      <c r="F1888" s="80"/>
    </row>
    <row r="1889" spans="1:6" ht="12.6" customHeight="1" x14ac:dyDescent="0.3">
      <c r="A1889" s="80"/>
      <c r="B1889" s="80"/>
      <c r="C1889" s="80"/>
      <c r="D1889" s="80"/>
      <c r="E1889" s="80"/>
      <c r="F1889" s="80"/>
    </row>
    <row r="1890" spans="1:6" ht="12.6" customHeight="1" x14ac:dyDescent="0.3">
      <c r="A1890" s="80"/>
      <c r="B1890" s="80"/>
      <c r="C1890" s="80"/>
      <c r="D1890" s="80"/>
      <c r="E1890" s="80"/>
      <c r="F1890" s="80"/>
    </row>
    <row r="1891" spans="1:6" ht="12.6" customHeight="1" x14ac:dyDescent="0.3">
      <c r="A1891" s="80"/>
      <c r="B1891" s="80"/>
      <c r="C1891" s="80"/>
      <c r="D1891" s="80"/>
      <c r="E1891" s="80"/>
      <c r="F1891" s="80"/>
    </row>
    <row r="1892" spans="1:6" ht="12.6" customHeight="1" x14ac:dyDescent="0.3">
      <c r="A1892" s="80"/>
      <c r="B1892" s="80"/>
      <c r="C1892" s="80"/>
      <c r="D1892" s="80"/>
      <c r="E1892" s="80"/>
      <c r="F1892" s="80"/>
    </row>
    <row r="1893" spans="1:6" ht="12.6" customHeight="1" x14ac:dyDescent="0.3">
      <c r="A1893" s="80"/>
      <c r="B1893" s="80"/>
      <c r="C1893" s="80"/>
      <c r="D1893" s="80"/>
      <c r="E1893" s="80"/>
      <c r="F1893" s="80"/>
    </row>
    <row r="1894" spans="1:6" ht="12.6" customHeight="1" x14ac:dyDescent="0.3">
      <c r="A1894" s="80"/>
      <c r="B1894" s="80"/>
      <c r="C1894" s="80"/>
      <c r="D1894" s="80"/>
      <c r="E1894" s="80"/>
      <c r="F1894" s="80"/>
    </row>
    <row r="1895" spans="1:6" ht="12.6" customHeight="1" x14ac:dyDescent="0.3">
      <c r="A1895" s="80"/>
      <c r="B1895" s="80"/>
      <c r="C1895" s="80"/>
      <c r="D1895" s="80"/>
      <c r="E1895" s="80"/>
      <c r="F1895" s="80"/>
    </row>
    <row r="1896" spans="1:6" ht="12.6" customHeight="1" x14ac:dyDescent="0.3">
      <c r="A1896" s="80"/>
      <c r="B1896" s="80"/>
      <c r="C1896" s="80"/>
      <c r="D1896" s="80"/>
      <c r="E1896" s="80"/>
      <c r="F1896" s="80"/>
    </row>
    <row r="1897" spans="1:6" ht="12.6" customHeight="1" x14ac:dyDescent="0.3">
      <c r="A1897" s="80"/>
      <c r="B1897" s="80"/>
      <c r="C1897" s="80"/>
      <c r="D1897" s="80"/>
      <c r="E1897" s="80"/>
      <c r="F1897" s="80"/>
    </row>
    <row r="1898" spans="1:6" ht="12.6" customHeight="1" x14ac:dyDescent="0.3">
      <c r="A1898" s="80"/>
      <c r="B1898" s="80"/>
      <c r="C1898" s="80"/>
      <c r="D1898" s="80"/>
      <c r="E1898" s="80"/>
      <c r="F1898" s="80"/>
    </row>
    <row r="1899" spans="1:6" ht="12.6" customHeight="1" x14ac:dyDescent="0.3">
      <c r="A1899" s="80"/>
      <c r="B1899" s="80"/>
      <c r="C1899" s="80"/>
      <c r="D1899" s="80"/>
      <c r="E1899" s="80"/>
      <c r="F1899" s="80"/>
    </row>
    <row r="1900" spans="1:6" ht="12.6" customHeight="1" x14ac:dyDescent="0.3">
      <c r="A1900" s="80"/>
      <c r="B1900" s="80"/>
      <c r="C1900" s="80"/>
      <c r="D1900" s="80"/>
      <c r="E1900" s="80"/>
      <c r="F1900" s="80"/>
    </row>
    <row r="1901" spans="1:6" ht="12.6" customHeight="1" x14ac:dyDescent="0.3">
      <c r="A1901" s="80"/>
      <c r="B1901" s="80"/>
      <c r="C1901" s="80"/>
      <c r="D1901" s="80"/>
      <c r="E1901" s="80"/>
      <c r="F1901" s="80"/>
    </row>
    <row r="1902" spans="1:6" ht="12.6" customHeight="1" x14ac:dyDescent="0.3">
      <c r="A1902" s="80"/>
      <c r="B1902" s="80"/>
      <c r="C1902" s="80"/>
      <c r="D1902" s="80"/>
      <c r="E1902" s="80"/>
      <c r="F1902" s="80"/>
    </row>
    <row r="1903" spans="1:6" ht="12.6" customHeight="1" x14ac:dyDescent="0.3">
      <c r="A1903" s="80"/>
      <c r="B1903" s="80"/>
      <c r="C1903" s="80"/>
      <c r="D1903" s="80"/>
      <c r="E1903" s="80"/>
      <c r="F1903" s="80"/>
    </row>
    <row r="1904" spans="1:6" ht="12.6" customHeight="1" x14ac:dyDescent="0.3">
      <c r="A1904" s="80"/>
      <c r="B1904" s="80"/>
      <c r="C1904" s="80"/>
      <c r="D1904" s="80"/>
      <c r="E1904" s="80"/>
      <c r="F1904" s="80"/>
    </row>
    <row r="1905" spans="1:14" ht="12.6" customHeight="1" x14ac:dyDescent="0.3">
      <c r="A1905" s="80"/>
      <c r="B1905" s="80"/>
      <c r="C1905" s="80"/>
      <c r="D1905" s="80"/>
      <c r="E1905" s="80"/>
      <c r="F1905" s="80"/>
    </row>
    <row r="1906" spans="1:14" ht="12.6" customHeight="1" x14ac:dyDescent="0.3">
      <c r="A1906" s="80"/>
      <c r="B1906" s="80"/>
      <c r="C1906" s="80"/>
      <c r="D1906" s="80"/>
      <c r="E1906" s="80"/>
      <c r="F1906" s="80"/>
    </row>
    <row r="1907" spans="1:14" ht="12.6" customHeight="1" x14ac:dyDescent="0.3">
      <c r="A1907" s="80"/>
      <c r="B1907" s="80"/>
      <c r="C1907" s="80"/>
      <c r="D1907" s="80"/>
      <c r="E1907" s="80"/>
      <c r="F1907" s="80"/>
    </row>
    <row r="1908" spans="1:14" ht="12.6" customHeight="1" x14ac:dyDescent="0.3">
      <c r="A1908" s="80"/>
      <c r="B1908" s="80"/>
      <c r="C1908" s="80"/>
      <c r="D1908" s="80"/>
      <c r="E1908" s="80"/>
      <c r="F1908" s="80"/>
    </row>
    <row r="1909" spans="1:14" ht="12.6" customHeight="1" x14ac:dyDescent="0.3">
      <c r="A1909" s="80"/>
      <c r="B1909" s="80"/>
      <c r="C1909" s="80"/>
      <c r="D1909" s="80"/>
      <c r="E1909" s="80"/>
      <c r="F1909" s="80"/>
    </row>
    <row r="1910" spans="1:14" ht="12.6" customHeight="1" x14ac:dyDescent="0.3">
      <c r="A1910" s="58"/>
      <c r="B1910" s="58"/>
      <c r="C1910" s="58"/>
      <c r="D1910" s="58"/>
      <c r="E1910" s="58"/>
      <c r="F1910" s="58"/>
    </row>
    <row r="1911" spans="1:14" ht="12.6" customHeight="1" x14ac:dyDescent="0.3">
      <c r="A1911" s="141" t="s">
        <v>2118</v>
      </c>
      <c r="B1911" s="142"/>
      <c r="C1911" s="55">
        <f>E1911+D1911+F1911</f>
        <v>535090</v>
      </c>
      <c r="D1911" s="11">
        <v>0</v>
      </c>
      <c r="E1911" s="12">
        <v>0</v>
      </c>
      <c r="F1911" s="55">
        <f>ROUNDDOWN(SUMIF(N1846:N1886,M1911,E1846:E1886),0)+ROUNDDOWN(SUMIF(N1846:N1886,M1911,D1846:D1886),0)+ROUNDDOWN(SUMIF(N1846:N1886,M1911,F1846:F1886),0)</f>
        <v>535090</v>
      </c>
      <c r="M1911" s="20" t="s">
        <v>1129</v>
      </c>
      <c r="N1911" s="20" t="s">
        <v>1172</v>
      </c>
    </row>
    <row r="1912" spans="1:14" ht="12.6" customHeight="1" x14ac:dyDescent="0.3">
      <c r="A1912" s="141" t="s">
        <v>1173</v>
      </c>
      <c r="B1912" s="142"/>
      <c r="C1912" s="55">
        <f>E1912+D1912+F1912</f>
        <v>473554</v>
      </c>
      <c r="D1912" s="54">
        <f>ROUNDDOWN(D1911*H1912/100,0)</f>
        <v>0</v>
      </c>
      <c r="E1912" s="63">
        <f>ROUNDDOWN(E1911*H1912/100,0)</f>
        <v>0</v>
      </c>
      <c r="F1912" s="55">
        <f>ROUNDDOWN(F1911*H1912/100,0)</f>
        <v>473554</v>
      </c>
      <c r="H1912" s="67">
        <v>88.5</v>
      </c>
      <c r="M1912" s="20" t="s">
        <v>1172</v>
      </c>
    </row>
    <row r="1913" spans="1:14" ht="12.6" customHeight="1" x14ac:dyDescent="0.3">
      <c r="A1913" s="99" t="s">
        <v>152</v>
      </c>
      <c r="B1913" s="100" t="s">
        <v>152</v>
      </c>
      <c r="C1913" s="147">
        <f>C1946</f>
        <v>49479</v>
      </c>
      <c r="D1913" s="147">
        <f>D1946</f>
        <v>0</v>
      </c>
      <c r="E1913" s="147">
        <f>E1946</f>
        <v>0</v>
      </c>
      <c r="F1913" s="147">
        <f>F1946</f>
        <v>49479</v>
      </c>
      <c r="G1913" s="36" t="str">
        <f>HYPERLINK("#G"&amp;ROW(G1932),"_x0005_`BDCOD|D02281_x0007_`POSS|"&amp;ROW(G1915)&amp;"_x0007_`POSE|"&amp;ROW(G1932)&amp;"_x0007_`")</f>
        <v>_x0005_`BDCOD|D02281_x0007_`POSS|1915_x0007_`POSE|1932_x0007_`</v>
      </c>
    </row>
    <row r="1914" spans="1:14" ht="12.6" customHeight="1" x14ac:dyDescent="0.3">
      <c r="A1914" s="85"/>
      <c r="B1914" s="100" t="s">
        <v>281</v>
      </c>
      <c r="C1914" s="137"/>
      <c r="D1914" s="137"/>
      <c r="E1914" s="137"/>
      <c r="F1914" s="137"/>
      <c r="M1914" s="20" t="s">
        <v>280</v>
      </c>
    </row>
    <row r="1915" spans="1:14" ht="12.6" customHeight="1" x14ac:dyDescent="0.3">
      <c r="A1915" s="80"/>
      <c r="B1915" s="80"/>
      <c r="C1915" s="102"/>
      <c r="D1915" s="102"/>
      <c r="E1915" s="102"/>
      <c r="F1915" s="102"/>
      <c r="G1915" s="16" t="s">
        <v>1324</v>
      </c>
    </row>
    <row r="1916" spans="1:14" ht="12.6" customHeight="1" x14ac:dyDescent="0.3">
      <c r="A1916" s="80"/>
      <c r="B1916" s="80"/>
      <c r="C1916" s="80"/>
      <c r="D1916" s="80"/>
      <c r="E1916" s="80"/>
      <c r="F1916" s="80"/>
      <c r="G1916" s="16" t="s">
        <v>1324</v>
      </c>
    </row>
    <row r="1917" spans="1:14" ht="12.6" customHeight="1" x14ac:dyDescent="0.3">
      <c r="A1917" s="80"/>
      <c r="B1917" s="80"/>
      <c r="C1917" s="80"/>
      <c r="D1917" s="80"/>
      <c r="E1917" s="80"/>
      <c r="F1917" s="80"/>
      <c r="G1917" s="16" t="s">
        <v>1324</v>
      </c>
    </row>
    <row r="1918" spans="1:14" ht="12.6" customHeight="1" x14ac:dyDescent="0.3">
      <c r="A1918" s="70"/>
      <c r="B1918" s="79" t="s">
        <v>2120</v>
      </c>
      <c r="C1918" s="80"/>
      <c r="D1918" s="80"/>
      <c r="E1918" s="80"/>
      <c r="F1918" s="80"/>
      <c r="G1918" s="16" t="s">
        <v>2119</v>
      </c>
    </row>
    <row r="1919" spans="1:14" ht="12.6" customHeight="1" x14ac:dyDescent="0.3">
      <c r="A1919" s="80"/>
      <c r="B1919" s="80"/>
      <c r="C1919" s="80"/>
      <c r="D1919" s="80"/>
      <c r="E1919" s="80"/>
      <c r="F1919" s="80"/>
      <c r="G1919" s="16" t="s">
        <v>1324</v>
      </c>
    </row>
    <row r="1920" spans="1:14" ht="12.6" customHeight="1" x14ac:dyDescent="0.3">
      <c r="A1920" s="80"/>
      <c r="B1920" s="80"/>
      <c r="C1920" s="80"/>
      <c r="D1920" s="80"/>
      <c r="E1920" s="80"/>
      <c r="F1920" s="80"/>
      <c r="G1920" s="16" t="s">
        <v>1324</v>
      </c>
    </row>
    <row r="1921" spans="1:25" ht="12.6" customHeight="1" x14ac:dyDescent="0.3">
      <c r="A1921" s="70"/>
      <c r="B1921" s="79" t="s">
        <v>2122</v>
      </c>
      <c r="C1921" s="80"/>
      <c r="D1921" s="80"/>
      <c r="E1921" s="80"/>
      <c r="F1921" s="80"/>
      <c r="G1921" s="16" t="s">
        <v>2121</v>
      </c>
    </row>
    <row r="1922" spans="1:25" ht="12.6" customHeight="1" x14ac:dyDescent="0.3">
      <c r="A1922" s="80"/>
      <c r="B1922" s="80"/>
      <c r="C1922" s="80"/>
      <c r="D1922" s="80"/>
      <c r="E1922" s="80"/>
      <c r="F1922" s="80"/>
      <c r="G1922" s="16" t="s">
        <v>1324</v>
      </c>
    </row>
    <row r="1923" spans="1:25" ht="12.6" customHeight="1" x14ac:dyDescent="0.3">
      <c r="A1923" s="70"/>
      <c r="B1923" s="79" t="s">
        <v>2124</v>
      </c>
      <c r="C1923" s="80"/>
      <c r="D1923" s="80"/>
      <c r="E1923" s="80"/>
      <c r="F1923" s="80"/>
      <c r="G1923" s="16" t="s">
        <v>2123</v>
      </c>
    </row>
    <row r="1924" spans="1:25" ht="12.6" customHeight="1" x14ac:dyDescent="0.3">
      <c r="A1924" s="80"/>
      <c r="B1924" s="80"/>
      <c r="C1924" s="80"/>
      <c r="D1924" s="80"/>
      <c r="E1924" s="80"/>
      <c r="F1924" s="80"/>
      <c r="G1924" s="16" t="s">
        <v>1324</v>
      </c>
    </row>
    <row r="1925" spans="1:25" ht="12.6" customHeight="1" x14ac:dyDescent="0.3">
      <c r="A1925" s="80"/>
      <c r="B1925" s="80"/>
      <c r="C1925" s="80"/>
      <c r="D1925" s="80"/>
      <c r="E1925" s="80"/>
      <c r="F1925" s="80"/>
      <c r="G1925" s="16" t="s">
        <v>1324</v>
      </c>
    </row>
    <row r="1926" spans="1:25" ht="12.6" customHeight="1" x14ac:dyDescent="0.3">
      <c r="A1926" s="80"/>
      <c r="B1926" s="80"/>
      <c r="C1926" s="80"/>
      <c r="D1926" s="80"/>
      <c r="E1926" s="80"/>
      <c r="F1926" s="80"/>
      <c r="G1926" s="16" t="s">
        <v>1324</v>
      </c>
    </row>
    <row r="1927" spans="1:25" ht="12.6" customHeight="1" x14ac:dyDescent="0.3">
      <c r="A1927" s="70"/>
      <c r="B1927" s="79" t="s">
        <v>2126</v>
      </c>
      <c r="C1927" s="80"/>
      <c r="D1927" s="80"/>
      <c r="E1927" s="80"/>
      <c r="F1927" s="80"/>
      <c r="G1927" s="16" t="s">
        <v>2125</v>
      </c>
    </row>
    <row r="1928" spans="1:25" ht="12.6" customHeight="1" x14ac:dyDescent="0.3">
      <c r="A1928" s="80"/>
      <c r="B1928" s="80"/>
      <c r="C1928" s="80"/>
      <c r="D1928" s="80"/>
      <c r="E1928" s="80"/>
      <c r="F1928" s="80"/>
      <c r="G1928" s="16" t="s">
        <v>1324</v>
      </c>
    </row>
    <row r="1929" spans="1:25" ht="12.6" customHeight="1" x14ac:dyDescent="0.3">
      <c r="A1929" s="70" t="s">
        <v>731</v>
      </c>
      <c r="B1929" s="101" t="str">
        <f>"    "&amp;TEXT(I1929,"#,##0"&amp;IF(I1929&lt;&gt;INT(I1929),".###",""))&amp;" / 1.1  = "&amp;TEXT(C1929,"#,##0.0")&amp;""</f>
        <v xml:space="preserve">    61,500 / 1.1  = 55,909.0</v>
      </c>
      <c r="C1929" s="103">
        <f>E1929+D1929+F1929</f>
        <v>55909</v>
      </c>
      <c r="D1929" s="103">
        <f>IF(H1929=0,0,ROUNDDOWN(J1929*H1929,1))</f>
        <v>0</v>
      </c>
      <c r="E1929" s="103">
        <f>IF(H1929=0,0,ROUNDDOWN(K1929*H1929,1))</f>
        <v>0</v>
      </c>
      <c r="F1929" s="103">
        <f>IF(H1929=0,0,ROUNDDOWN(L1929*H1929,1))</f>
        <v>55909</v>
      </c>
      <c r="G1929" s="16" t="s">
        <v>2127</v>
      </c>
      <c r="H1929" s="108">
        <v>0.90909090910099999</v>
      </c>
      <c r="I1929" s="109">
        <f>K1929+J1929+L1929</f>
        <v>61500</v>
      </c>
      <c r="L1929" s="39">
        <f>경비목록표!E19</f>
        <v>61500</v>
      </c>
      <c r="M1929" s="20" t="s">
        <v>2128</v>
      </c>
      <c r="N1929" s="20" t="s">
        <v>1345</v>
      </c>
      <c r="X1929" s="110" t="str">
        <f>경비목록표!B19&amp;" / "&amp;경비목록표!C19</f>
        <v>구역화물자동차 / 5톤(20km 이내)</v>
      </c>
      <c r="Y1929" s="19" t="str">
        <f ca="1">HYPERLINK("#"&amp;경비목록표!G2&amp;"!A"&amp;ROW(경비목록표!A19),"경비   16 →")</f>
        <v>경비   16 →</v>
      </c>
    </row>
    <row r="1930" spans="1:25" ht="12.6" customHeight="1" x14ac:dyDescent="0.3">
      <c r="A1930" s="80"/>
      <c r="B1930" s="80"/>
      <c r="C1930" s="80"/>
      <c r="D1930" s="80"/>
      <c r="E1930" s="80"/>
      <c r="F1930" s="80"/>
      <c r="G1930" s="16" t="s">
        <v>1324</v>
      </c>
    </row>
    <row r="1931" spans="1:25" ht="12.6" customHeight="1" x14ac:dyDescent="0.3">
      <c r="A1931" s="80"/>
      <c r="B1931" s="80"/>
      <c r="C1931" s="80"/>
      <c r="D1931" s="80"/>
      <c r="E1931" s="80"/>
      <c r="F1931" s="80"/>
      <c r="G1931" s="16" t="s">
        <v>1324</v>
      </c>
    </row>
    <row r="1932" spans="1:25" ht="12.6" customHeight="1" x14ac:dyDescent="0.3">
      <c r="A1932" s="70"/>
      <c r="B1932" s="79" t="s">
        <v>1344</v>
      </c>
      <c r="C1932" s="104">
        <f>E1932+D1932+F1932</f>
        <v>55909</v>
      </c>
      <c r="D1932" s="104">
        <f>SUMIF(N1915:N1931,M1932,D1915:D1931)</f>
        <v>0</v>
      </c>
      <c r="E1932" s="104">
        <f>SUMIF(N1915:N1931,M1932,E1915:E1931)</f>
        <v>0</v>
      </c>
      <c r="F1932" s="104">
        <f>SUMIF(N1915:N1931,M1932,F1915:F1931)</f>
        <v>55909</v>
      </c>
      <c r="G1932" s="16" t="s">
        <v>1343</v>
      </c>
      <c r="M1932" s="20" t="s">
        <v>1345</v>
      </c>
      <c r="N1932" s="20" t="s">
        <v>1129</v>
      </c>
    </row>
    <row r="1933" spans="1:25" ht="12.6" customHeight="1" x14ac:dyDescent="0.3">
      <c r="A1933" s="80"/>
      <c r="B1933" s="80"/>
      <c r="C1933" s="102"/>
      <c r="D1933" s="102"/>
      <c r="E1933" s="102"/>
      <c r="F1933" s="102"/>
    </row>
    <row r="1934" spans="1:25" ht="12.6" customHeight="1" x14ac:dyDescent="0.3">
      <c r="A1934" s="80"/>
      <c r="B1934" s="80"/>
      <c r="C1934" s="80"/>
      <c r="D1934" s="80"/>
      <c r="E1934" s="80"/>
      <c r="F1934" s="80"/>
    </row>
    <row r="1935" spans="1:25" ht="12.6" customHeight="1" x14ac:dyDescent="0.3">
      <c r="A1935" s="80"/>
      <c r="B1935" s="80"/>
      <c r="C1935" s="80"/>
      <c r="D1935" s="80"/>
      <c r="E1935" s="80"/>
      <c r="F1935" s="80"/>
    </row>
    <row r="1936" spans="1:25" ht="12.6" customHeight="1" x14ac:dyDescent="0.3">
      <c r="A1936" s="80"/>
      <c r="B1936" s="80"/>
      <c r="C1936" s="80"/>
      <c r="D1936" s="80"/>
      <c r="E1936" s="80"/>
      <c r="F1936" s="80"/>
    </row>
    <row r="1937" spans="1:14" ht="12.6" customHeight="1" x14ac:dyDescent="0.3">
      <c r="A1937" s="80"/>
      <c r="B1937" s="80"/>
      <c r="C1937" s="80"/>
      <c r="D1937" s="80"/>
      <c r="E1937" s="80"/>
      <c r="F1937" s="80"/>
    </row>
    <row r="1938" spans="1:14" ht="12.6" customHeight="1" x14ac:dyDescent="0.3">
      <c r="A1938" s="80"/>
      <c r="B1938" s="80"/>
      <c r="C1938" s="80"/>
      <c r="D1938" s="80"/>
      <c r="E1938" s="80"/>
      <c r="F1938" s="80"/>
    </row>
    <row r="1939" spans="1:14" ht="12.6" customHeight="1" x14ac:dyDescent="0.3">
      <c r="A1939" s="80"/>
      <c r="B1939" s="80"/>
      <c r="C1939" s="80"/>
      <c r="D1939" s="80"/>
      <c r="E1939" s="80"/>
      <c r="F1939" s="80"/>
    </row>
    <row r="1940" spans="1:14" ht="12.6" customHeight="1" x14ac:dyDescent="0.3">
      <c r="A1940" s="80"/>
      <c r="B1940" s="80"/>
      <c r="C1940" s="80"/>
      <c r="D1940" s="80"/>
      <c r="E1940" s="80"/>
      <c r="F1940" s="80"/>
    </row>
    <row r="1941" spans="1:14" ht="12.6" customHeight="1" x14ac:dyDescent="0.3">
      <c r="A1941" s="80"/>
      <c r="B1941" s="80"/>
      <c r="C1941" s="80"/>
      <c r="D1941" s="80"/>
      <c r="E1941" s="80"/>
      <c r="F1941" s="80"/>
    </row>
    <row r="1942" spans="1:14" ht="12.6" customHeight="1" x14ac:dyDescent="0.3">
      <c r="A1942" s="80"/>
      <c r="B1942" s="80"/>
      <c r="C1942" s="80"/>
      <c r="D1942" s="80"/>
      <c r="E1942" s="80"/>
      <c r="F1942" s="80"/>
    </row>
    <row r="1943" spans="1:14" ht="12.6" customHeight="1" x14ac:dyDescent="0.3">
      <c r="A1943" s="80"/>
      <c r="B1943" s="80"/>
      <c r="C1943" s="80"/>
      <c r="D1943" s="80"/>
      <c r="E1943" s="80"/>
      <c r="F1943" s="80"/>
    </row>
    <row r="1944" spans="1:14" ht="12.6" customHeight="1" x14ac:dyDescent="0.3">
      <c r="A1944" s="58"/>
      <c r="B1944" s="58"/>
      <c r="C1944" s="58"/>
      <c r="D1944" s="58"/>
      <c r="E1944" s="58"/>
      <c r="F1944" s="58"/>
    </row>
    <row r="1945" spans="1:14" ht="12.6" customHeight="1" x14ac:dyDescent="0.3">
      <c r="A1945" s="141" t="s">
        <v>2118</v>
      </c>
      <c r="B1945" s="142"/>
      <c r="C1945" s="55">
        <f>E1945+D1945+F1945</f>
        <v>55909</v>
      </c>
      <c r="D1945" s="11">
        <v>0</v>
      </c>
      <c r="E1945" s="12">
        <v>0</v>
      </c>
      <c r="F1945" s="55">
        <f>ROUNDDOWN(SUMIF(N1915:N1932,M1945,E1915:E1932),0)+ROUNDDOWN(SUMIF(N1915:N1932,M1945,D1915:D1932),0)+ROUNDDOWN(SUMIF(N1915:N1932,M1945,F1915:F1932),0)</f>
        <v>55909</v>
      </c>
      <c r="M1945" s="20" t="s">
        <v>1129</v>
      </c>
      <c r="N1945" s="20" t="s">
        <v>1172</v>
      </c>
    </row>
    <row r="1946" spans="1:14" ht="12.6" customHeight="1" x14ac:dyDescent="0.3">
      <c r="A1946" s="141" t="s">
        <v>1173</v>
      </c>
      <c r="B1946" s="142"/>
      <c r="C1946" s="55">
        <f>E1946+D1946+F1946</f>
        <v>49479</v>
      </c>
      <c r="D1946" s="54">
        <f>ROUNDDOWN(D1945*H1946/100,0)</f>
        <v>0</v>
      </c>
      <c r="E1946" s="63">
        <f>ROUNDDOWN(E1945*H1946/100,0)</f>
        <v>0</v>
      </c>
      <c r="F1946" s="55">
        <f>ROUNDDOWN(F1945*H1946/100,0)</f>
        <v>49479</v>
      </c>
      <c r="H1946" s="67">
        <v>88.5</v>
      </c>
      <c r="M1946" s="20" t="s">
        <v>1172</v>
      </c>
    </row>
    <row r="1947" spans="1:14" ht="12.6" customHeight="1" x14ac:dyDescent="0.3">
      <c r="A1947" s="99" t="s">
        <v>157</v>
      </c>
      <c r="B1947" s="100" t="s">
        <v>157</v>
      </c>
      <c r="C1947" s="147">
        <f>C2050</f>
        <v>16268</v>
      </c>
      <c r="D1947" s="147">
        <f>D2050</f>
        <v>0</v>
      </c>
      <c r="E1947" s="147">
        <f>E2050</f>
        <v>0</v>
      </c>
      <c r="F1947" s="147">
        <f>F2050</f>
        <v>16268</v>
      </c>
      <c r="G1947" s="36" t="str">
        <f>HYPERLINK("#G"&amp;ROW(G2042),"_x0005_`BDCOD|D02282_x0007_`POSS|"&amp;ROW(G1949)&amp;"_x0007_`POSE|"&amp;ROW(G2042)&amp;"_x0007_`")</f>
        <v>_x0005_`BDCOD|D02282_x0007_`POSS|1949_x0007_`POSE|2042_x0007_`</v>
      </c>
    </row>
    <row r="1948" spans="1:14" ht="12.6" customHeight="1" x14ac:dyDescent="0.3">
      <c r="A1948" s="85"/>
      <c r="B1948" s="100" t="s">
        <v>284</v>
      </c>
      <c r="C1948" s="137"/>
      <c r="D1948" s="137"/>
      <c r="E1948" s="137"/>
      <c r="F1948" s="137"/>
      <c r="M1948" s="20" t="s">
        <v>283</v>
      </c>
    </row>
    <row r="1949" spans="1:14" ht="12.6" customHeight="1" x14ac:dyDescent="0.3">
      <c r="A1949" s="70"/>
      <c r="B1949" s="79" t="s">
        <v>2130</v>
      </c>
      <c r="C1949" s="102"/>
      <c r="D1949" s="102"/>
      <c r="E1949" s="102"/>
      <c r="F1949" s="102"/>
      <c r="G1949" s="16" t="s">
        <v>2129</v>
      </c>
    </row>
    <row r="1950" spans="1:14" ht="12.6" customHeight="1" x14ac:dyDescent="0.3">
      <c r="A1950" s="80"/>
      <c r="B1950" s="80"/>
      <c r="C1950" s="80"/>
      <c r="D1950" s="80"/>
      <c r="E1950" s="80"/>
      <c r="F1950" s="80"/>
      <c r="G1950" s="16" t="s">
        <v>1324</v>
      </c>
    </row>
    <row r="1951" spans="1:14" ht="12.6" customHeight="1" x14ac:dyDescent="0.3">
      <c r="A1951" s="70"/>
      <c r="B1951" s="79" t="s">
        <v>2132</v>
      </c>
      <c r="C1951" s="80"/>
      <c r="D1951" s="80"/>
      <c r="E1951" s="80"/>
      <c r="F1951" s="80"/>
      <c r="G1951" s="16" t="s">
        <v>2131</v>
      </c>
    </row>
    <row r="1952" spans="1:14" ht="12.6" customHeight="1" x14ac:dyDescent="0.3">
      <c r="A1952" s="70"/>
      <c r="B1952" s="79" t="s">
        <v>2134</v>
      </c>
      <c r="C1952" s="80"/>
      <c r="D1952" s="80"/>
      <c r="E1952" s="80"/>
      <c r="F1952" s="80"/>
      <c r="G1952" s="16" t="s">
        <v>2133</v>
      </c>
    </row>
    <row r="1953" spans="1:7" ht="12.6" customHeight="1" x14ac:dyDescent="0.3">
      <c r="A1953" s="70"/>
      <c r="B1953" s="79" t="s">
        <v>2136</v>
      </c>
      <c r="C1953" s="80"/>
      <c r="D1953" s="80"/>
      <c r="E1953" s="80"/>
      <c r="F1953" s="80"/>
      <c r="G1953" s="16" t="s">
        <v>2135</v>
      </c>
    </row>
    <row r="1954" spans="1:7" ht="12.6" customHeight="1" x14ac:dyDescent="0.3">
      <c r="A1954" s="80"/>
      <c r="B1954" s="80"/>
      <c r="C1954" s="80"/>
      <c r="D1954" s="80"/>
      <c r="E1954" s="80"/>
      <c r="F1954" s="80"/>
      <c r="G1954" s="16" t="s">
        <v>1324</v>
      </c>
    </row>
    <row r="1955" spans="1:7" ht="12.6" customHeight="1" x14ac:dyDescent="0.3">
      <c r="A1955" s="80"/>
      <c r="B1955" s="80"/>
      <c r="C1955" s="80"/>
      <c r="D1955" s="80"/>
      <c r="E1955" s="80"/>
      <c r="F1955" s="80"/>
      <c r="G1955" s="16" t="s">
        <v>1324</v>
      </c>
    </row>
    <row r="1956" spans="1:7" ht="12.6" customHeight="1" x14ac:dyDescent="0.3">
      <c r="A1956" s="70"/>
      <c r="B1956" s="79" t="s">
        <v>2138</v>
      </c>
      <c r="C1956" s="80"/>
      <c r="D1956" s="80"/>
      <c r="E1956" s="80"/>
      <c r="F1956" s="80"/>
      <c r="G1956" s="16" t="s">
        <v>2137</v>
      </c>
    </row>
    <row r="1957" spans="1:7" ht="12.6" customHeight="1" x14ac:dyDescent="0.3">
      <c r="A1957" s="80"/>
      <c r="B1957" s="80"/>
      <c r="C1957" s="80"/>
      <c r="D1957" s="80"/>
      <c r="E1957" s="80"/>
      <c r="F1957" s="80"/>
      <c r="G1957" s="16" t="s">
        <v>1324</v>
      </c>
    </row>
    <row r="1958" spans="1:7" ht="12.6" customHeight="1" x14ac:dyDescent="0.3">
      <c r="A1958" s="80"/>
      <c r="B1958" s="80"/>
      <c r="C1958" s="80"/>
      <c r="D1958" s="80"/>
      <c r="E1958" s="80"/>
      <c r="F1958" s="80"/>
      <c r="G1958" s="16" t="s">
        <v>1324</v>
      </c>
    </row>
    <row r="1959" spans="1:7" ht="12.6" customHeight="1" x14ac:dyDescent="0.3">
      <c r="A1959" s="70"/>
      <c r="B1959" s="79" t="s">
        <v>2140</v>
      </c>
      <c r="C1959" s="80"/>
      <c r="D1959" s="80"/>
      <c r="E1959" s="80"/>
      <c r="F1959" s="80"/>
      <c r="G1959" s="16" t="s">
        <v>2139</v>
      </c>
    </row>
    <row r="1960" spans="1:7" ht="12.6" customHeight="1" x14ac:dyDescent="0.3">
      <c r="A1960" s="80"/>
      <c r="B1960" s="80"/>
      <c r="C1960" s="80"/>
      <c r="D1960" s="80"/>
      <c r="E1960" s="80"/>
      <c r="F1960" s="80"/>
      <c r="G1960" s="16" t="s">
        <v>1324</v>
      </c>
    </row>
    <row r="1961" spans="1:7" ht="12.6" customHeight="1" x14ac:dyDescent="0.3">
      <c r="A1961" s="80"/>
      <c r="B1961" s="80"/>
      <c r="C1961" s="80"/>
      <c r="D1961" s="80"/>
      <c r="E1961" s="80"/>
      <c r="F1961" s="80"/>
      <c r="G1961" s="16" t="s">
        <v>1324</v>
      </c>
    </row>
    <row r="1962" spans="1:7" ht="12.6" customHeight="1" x14ac:dyDescent="0.3">
      <c r="A1962" s="70"/>
      <c r="B1962" s="79" t="s">
        <v>2142</v>
      </c>
      <c r="C1962" s="80"/>
      <c r="D1962" s="80"/>
      <c r="E1962" s="80"/>
      <c r="F1962" s="80"/>
      <c r="G1962" s="16" t="s">
        <v>2141</v>
      </c>
    </row>
    <row r="1963" spans="1:7" ht="12.6" customHeight="1" x14ac:dyDescent="0.3">
      <c r="A1963" s="80"/>
      <c r="B1963" s="80"/>
      <c r="C1963" s="80"/>
      <c r="D1963" s="80"/>
      <c r="E1963" s="80"/>
      <c r="F1963" s="80"/>
      <c r="G1963" s="16" t="s">
        <v>1324</v>
      </c>
    </row>
    <row r="1964" spans="1:7" ht="12.6" customHeight="1" x14ac:dyDescent="0.3">
      <c r="A1964" s="70"/>
      <c r="B1964" s="79" t="s">
        <v>2144</v>
      </c>
      <c r="C1964" s="80"/>
      <c r="D1964" s="80"/>
      <c r="E1964" s="80"/>
      <c r="F1964" s="80"/>
      <c r="G1964" s="16" t="s">
        <v>2143</v>
      </c>
    </row>
    <row r="1965" spans="1:7" ht="12.6" customHeight="1" x14ac:dyDescent="0.3">
      <c r="A1965" s="80"/>
      <c r="B1965" s="80"/>
      <c r="C1965" s="80"/>
      <c r="D1965" s="80"/>
      <c r="E1965" s="80"/>
      <c r="F1965" s="80"/>
      <c r="G1965" s="16" t="s">
        <v>1324</v>
      </c>
    </row>
    <row r="1966" spans="1:7" ht="12.6" customHeight="1" x14ac:dyDescent="0.3">
      <c r="A1966" s="70"/>
      <c r="B1966" s="79" t="s">
        <v>2146</v>
      </c>
      <c r="C1966" s="80"/>
      <c r="D1966" s="80"/>
      <c r="E1966" s="80"/>
      <c r="F1966" s="80"/>
      <c r="G1966" s="16" t="s">
        <v>2145</v>
      </c>
    </row>
    <row r="1967" spans="1:7" ht="12.6" customHeight="1" x14ac:dyDescent="0.3">
      <c r="A1967" s="80"/>
      <c r="B1967" s="80"/>
      <c r="C1967" s="80"/>
      <c r="D1967" s="80"/>
      <c r="E1967" s="80"/>
      <c r="F1967" s="80"/>
      <c r="G1967" s="16" t="s">
        <v>1324</v>
      </c>
    </row>
    <row r="1968" spans="1:7" ht="12.6" customHeight="1" x14ac:dyDescent="0.3">
      <c r="A1968" s="70"/>
      <c r="B1968" s="79" t="s">
        <v>2148</v>
      </c>
      <c r="C1968" s="80"/>
      <c r="D1968" s="80"/>
      <c r="E1968" s="80"/>
      <c r="F1968" s="80"/>
      <c r="G1968" s="16" t="s">
        <v>2147</v>
      </c>
    </row>
    <row r="1969" spans="1:7" ht="12.6" customHeight="1" x14ac:dyDescent="0.3">
      <c r="A1969" s="80"/>
      <c r="B1969" s="80"/>
      <c r="C1969" s="80"/>
      <c r="D1969" s="80"/>
      <c r="E1969" s="80"/>
      <c r="F1969" s="80"/>
      <c r="G1969" s="16" t="s">
        <v>1324</v>
      </c>
    </row>
    <row r="1970" spans="1:7" ht="12.6" customHeight="1" x14ac:dyDescent="0.3">
      <c r="A1970" s="70"/>
      <c r="B1970" s="79" t="s">
        <v>1409</v>
      </c>
      <c r="C1970" s="80"/>
      <c r="D1970" s="80"/>
      <c r="E1970" s="80"/>
      <c r="F1970" s="80"/>
      <c r="G1970" s="16" t="s">
        <v>1922</v>
      </c>
    </row>
    <row r="1971" spans="1:7" ht="12.6" customHeight="1" x14ac:dyDescent="0.3">
      <c r="A1971" s="80"/>
      <c r="B1971" s="80"/>
      <c r="C1971" s="80"/>
      <c r="D1971" s="80"/>
      <c r="E1971" s="80"/>
      <c r="F1971" s="80"/>
      <c r="G1971" s="16" t="s">
        <v>1324</v>
      </c>
    </row>
    <row r="1972" spans="1:7" ht="12.6" customHeight="1" x14ac:dyDescent="0.3">
      <c r="A1972" s="70"/>
      <c r="B1972" s="79" t="s">
        <v>2150</v>
      </c>
      <c r="C1972" s="80"/>
      <c r="D1972" s="80"/>
      <c r="E1972" s="80"/>
      <c r="F1972" s="80"/>
      <c r="G1972" s="16" t="s">
        <v>2149</v>
      </c>
    </row>
    <row r="1973" spans="1:7" ht="12.6" customHeight="1" x14ac:dyDescent="0.3">
      <c r="A1973" s="80"/>
      <c r="B1973" s="80"/>
      <c r="C1973" s="80"/>
      <c r="D1973" s="80"/>
      <c r="E1973" s="80"/>
      <c r="F1973" s="80"/>
      <c r="G1973" s="16" t="s">
        <v>1324</v>
      </c>
    </row>
    <row r="1974" spans="1:7" ht="12.6" customHeight="1" x14ac:dyDescent="0.3">
      <c r="A1974" s="70"/>
      <c r="B1974" s="79" t="s">
        <v>2152</v>
      </c>
      <c r="C1974" s="80"/>
      <c r="D1974" s="80"/>
      <c r="E1974" s="80"/>
      <c r="F1974" s="80"/>
      <c r="G1974" s="16" t="s">
        <v>2151</v>
      </c>
    </row>
    <row r="1975" spans="1:7" ht="12.6" customHeight="1" x14ac:dyDescent="0.3">
      <c r="A1975" s="80"/>
      <c r="B1975" s="80"/>
      <c r="C1975" s="80"/>
      <c r="D1975" s="80"/>
      <c r="E1975" s="80"/>
      <c r="F1975" s="80"/>
      <c r="G1975" s="16" t="s">
        <v>1324</v>
      </c>
    </row>
    <row r="1976" spans="1:7" ht="12.6" customHeight="1" x14ac:dyDescent="0.3">
      <c r="A1976" s="70"/>
      <c r="B1976" s="79" t="s">
        <v>2154</v>
      </c>
      <c r="C1976" s="80"/>
      <c r="D1976" s="80"/>
      <c r="E1976" s="80"/>
      <c r="F1976" s="80"/>
      <c r="G1976" s="16" t="s">
        <v>2153</v>
      </c>
    </row>
    <row r="1977" spans="1:7" ht="12.6" customHeight="1" x14ac:dyDescent="0.3">
      <c r="A1977" s="80"/>
      <c r="B1977" s="80"/>
      <c r="C1977" s="80"/>
      <c r="D1977" s="80"/>
      <c r="E1977" s="80"/>
      <c r="F1977" s="80"/>
      <c r="G1977" s="16" t="s">
        <v>1324</v>
      </c>
    </row>
    <row r="1978" spans="1:7" ht="12.6" customHeight="1" x14ac:dyDescent="0.3">
      <c r="A1978" s="70"/>
      <c r="B1978" s="79" t="s">
        <v>2156</v>
      </c>
      <c r="C1978" s="80"/>
      <c r="D1978" s="80"/>
      <c r="E1978" s="80"/>
      <c r="F1978" s="80"/>
      <c r="G1978" s="16" t="s">
        <v>2155</v>
      </c>
    </row>
    <row r="1979" spans="1:7" ht="12.6" customHeight="1" x14ac:dyDescent="0.3">
      <c r="A1979" s="80"/>
      <c r="B1979" s="80"/>
      <c r="C1979" s="80"/>
      <c r="D1979" s="80"/>
      <c r="E1979" s="80"/>
      <c r="F1979" s="80"/>
      <c r="G1979" s="16" t="s">
        <v>1324</v>
      </c>
    </row>
    <row r="1980" spans="1:7" ht="12.6" customHeight="1" x14ac:dyDescent="0.3">
      <c r="A1980" s="70"/>
      <c r="B1980" s="79" t="s">
        <v>2158</v>
      </c>
      <c r="C1980" s="80"/>
      <c r="D1980" s="80"/>
      <c r="E1980" s="80"/>
      <c r="F1980" s="80"/>
      <c r="G1980" s="16" t="s">
        <v>2157</v>
      </c>
    </row>
    <row r="1981" spans="1:7" ht="12.6" customHeight="1" x14ac:dyDescent="0.3">
      <c r="A1981" s="80"/>
      <c r="B1981" s="80"/>
      <c r="C1981" s="80"/>
      <c r="D1981" s="80"/>
      <c r="E1981" s="80"/>
      <c r="F1981" s="80"/>
      <c r="G1981" s="16" t="s">
        <v>1324</v>
      </c>
    </row>
    <row r="1982" spans="1:7" ht="12.6" customHeight="1" x14ac:dyDescent="0.3">
      <c r="A1982" s="70"/>
      <c r="B1982" s="79" t="s">
        <v>2160</v>
      </c>
      <c r="C1982" s="80"/>
      <c r="D1982" s="80"/>
      <c r="E1982" s="80"/>
      <c r="F1982" s="80"/>
      <c r="G1982" s="16" t="s">
        <v>2159</v>
      </c>
    </row>
    <row r="1983" spans="1:7" ht="12.6" customHeight="1" x14ac:dyDescent="0.3">
      <c r="A1983" s="80"/>
      <c r="B1983" s="80"/>
      <c r="C1983" s="80"/>
      <c r="D1983" s="80"/>
      <c r="E1983" s="80"/>
      <c r="F1983" s="80"/>
      <c r="G1983" s="16" t="s">
        <v>1324</v>
      </c>
    </row>
    <row r="1984" spans="1:7" ht="12.6" customHeight="1" x14ac:dyDescent="0.3">
      <c r="A1984" s="70"/>
      <c r="B1984" s="79" t="s">
        <v>2162</v>
      </c>
      <c r="C1984" s="80"/>
      <c r="D1984" s="80"/>
      <c r="E1984" s="80"/>
      <c r="F1984" s="80"/>
      <c r="G1984" s="16" t="s">
        <v>2161</v>
      </c>
    </row>
    <row r="1985" spans="1:25" ht="12.6" customHeight="1" x14ac:dyDescent="0.3">
      <c r="A1985" s="80"/>
      <c r="B1985" s="80"/>
      <c r="C1985" s="80"/>
      <c r="D1985" s="80"/>
      <c r="E1985" s="80"/>
      <c r="F1985" s="80"/>
      <c r="G1985" s="16" t="s">
        <v>1327</v>
      </c>
    </row>
    <row r="1986" spans="1:25" ht="12.6" customHeight="1" x14ac:dyDescent="0.3">
      <c r="A1986" s="70"/>
      <c r="B1986" s="79" t="s">
        <v>2164</v>
      </c>
      <c r="C1986" s="80"/>
      <c r="D1986" s="80"/>
      <c r="E1986" s="80"/>
      <c r="F1986" s="80"/>
      <c r="G1986" s="16" t="s">
        <v>2163</v>
      </c>
    </row>
    <row r="1987" spans="1:25" ht="12.6" customHeight="1" x14ac:dyDescent="0.3">
      <c r="A1987" s="80"/>
      <c r="B1987" s="80"/>
      <c r="C1987" s="80"/>
      <c r="D1987" s="80"/>
      <c r="E1987" s="80"/>
      <c r="F1987" s="80"/>
      <c r="G1987" s="16" t="s">
        <v>1324</v>
      </c>
    </row>
    <row r="1988" spans="1:25" ht="12.6" customHeight="1" x14ac:dyDescent="0.3">
      <c r="A1988" s="70"/>
      <c r="B1988" s="79" t="s">
        <v>2166</v>
      </c>
      <c r="C1988" s="80"/>
      <c r="D1988" s="80"/>
      <c r="E1988" s="80"/>
      <c r="F1988" s="80"/>
      <c r="G1988" s="16" t="s">
        <v>2165</v>
      </c>
    </row>
    <row r="1989" spans="1:25" ht="12.6" customHeight="1" x14ac:dyDescent="0.3">
      <c r="A1989" s="80"/>
      <c r="B1989" s="80"/>
      <c r="C1989" s="80"/>
      <c r="D1989" s="80"/>
      <c r="E1989" s="80"/>
      <c r="F1989" s="80"/>
      <c r="G1989" s="16" t="s">
        <v>1324</v>
      </c>
    </row>
    <row r="1990" spans="1:25" ht="12.6" customHeight="1" x14ac:dyDescent="0.3">
      <c r="A1990" s="70"/>
      <c r="B1990" s="79" t="s">
        <v>2168</v>
      </c>
      <c r="C1990" s="80"/>
      <c r="D1990" s="80"/>
      <c r="E1990" s="80"/>
      <c r="F1990" s="80"/>
      <c r="G1990" s="16" t="s">
        <v>2167</v>
      </c>
    </row>
    <row r="1991" spans="1:25" ht="12.6" customHeight="1" x14ac:dyDescent="0.3">
      <c r="A1991" s="80"/>
      <c r="B1991" s="80"/>
      <c r="C1991" s="80"/>
      <c r="D1991" s="80"/>
      <c r="E1991" s="80"/>
      <c r="F1991" s="80"/>
      <c r="G1991" s="16" t="s">
        <v>1324</v>
      </c>
    </row>
    <row r="1992" spans="1:25" ht="12.6" customHeight="1" x14ac:dyDescent="0.3">
      <c r="A1992" s="70" t="s">
        <v>1940</v>
      </c>
      <c r="B1992" s="101" t="str">
        <f>"  노 무 비  :   "&amp;TEXT(I1992,"#,##0"&amp;IF(I1992&lt;&gt;INT(I1992),".###",""))&amp;" / Q = "&amp;TEXT(C1992,"#,##0.0")&amp;""</f>
        <v xml:space="preserve">  노 무 비  :   55,700 / Q = 12,460.8</v>
      </c>
      <c r="C1992" s="103">
        <f>E1992+D1992+F1992</f>
        <v>12460.8</v>
      </c>
      <c r="D1992" s="103">
        <f>IF(H1992=0,0,ROUNDDOWN(J1992*H1992,1))</f>
        <v>12460.8</v>
      </c>
      <c r="E1992" s="103">
        <f>IF(H1992=0,0,ROUNDDOWN(K1992*H1992,1))</f>
        <v>0</v>
      </c>
      <c r="F1992" s="103">
        <f>IF(H1992=0,0,ROUNDDOWN(L1992*H1992,1))</f>
        <v>0</v>
      </c>
      <c r="G1992" s="16" t="s">
        <v>2169</v>
      </c>
      <c r="H1992" s="108">
        <v>0.22371364654250001</v>
      </c>
      <c r="I1992" s="109">
        <f>K1992+J1992+L1992</f>
        <v>55700</v>
      </c>
      <c r="J1992" s="39">
        <f>중기목록표!F11</f>
        <v>55700</v>
      </c>
      <c r="M1992" s="20" t="s">
        <v>1941</v>
      </c>
      <c r="N1992" s="20" t="s">
        <v>1999</v>
      </c>
      <c r="X1992" s="110" t="str">
        <f>중기목록표!B11&amp;" / "&amp;중기목록표!C11</f>
        <v xml:space="preserve">덤프트럭15ton(토사) / </v>
      </c>
      <c r="Y1992" s="19" t="str">
        <f ca="1">HYPERLINK("#"&amp;중기목록표!J2&amp;"!A"&amp;ROW(중기목록표!A11),"중기    8 →")</f>
        <v>중기    8 →</v>
      </c>
    </row>
    <row r="1993" spans="1:25" ht="12.6" customHeight="1" x14ac:dyDescent="0.3">
      <c r="A1993" s="80"/>
      <c r="B1993" s="80"/>
      <c r="C1993" s="80"/>
      <c r="D1993" s="80"/>
      <c r="E1993" s="80"/>
      <c r="F1993" s="80"/>
      <c r="G1993" s="16" t="s">
        <v>1324</v>
      </c>
    </row>
    <row r="1994" spans="1:25" ht="12.6" customHeight="1" x14ac:dyDescent="0.3">
      <c r="A1994" s="70" t="s">
        <v>1943</v>
      </c>
      <c r="B1994" s="101" t="str">
        <f>"  재 료 비  :   "&amp;TEXT(I1994,"#,##0"&amp;IF(I1994&lt;&gt;INT(I1994),".###",""))&amp;" / Q = "&amp;TEXT(C1994,"#,##0.0")&amp;""</f>
        <v xml:space="preserve">  재 료 비  :   27,910 / Q = 6,243.8</v>
      </c>
      <c r="C1994" s="103">
        <f>E1994+D1994+F1994</f>
        <v>6243.8</v>
      </c>
      <c r="D1994" s="103">
        <f>IF(H1994=0,0,ROUNDDOWN(J1994*H1994,1))</f>
        <v>0</v>
      </c>
      <c r="E1994" s="103">
        <f>IF(H1994=0,0,ROUNDDOWN(K1994*H1994,1))</f>
        <v>6243.8</v>
      </c>
      <c r="F1994" s="103">
        <f>IF(H1994=0,0,ROUNDDOWN(L1994*H1994,1))</f>
        <v>0</v>
      </c>
      <c r="G1994" s="16" t="s">
        <v>2170</v>
      </c>
      <c r="H1994" s="108">
        <v>0.22371364654250001</v>
      </c>
      <c r="I1994" s="109">
        <f>K1994+J1994+L1994</f>
        <v>27910</v>
      </c>
      <c r="K1994" s="39">
        <f>중기목록표!G11</f>
        <v>27910</v>
      </c>
      <c r="M1994" s="20" t="s">
        <v>1941</v>
      </c>
      <c r="N1994" s="20" t="s">
        <v>1999</v>
      </c>
      <c r="X1994" s="110" t="str">
        <f>중기목록표!B11&amp;" / "&amp;중기목록표!C11</f>
        <v xml:space="preserve">덤프트럭15ton(토사) / </v>
      </c>
      <c r="Y1994" s="19" t="str">
        <f ca="1">HYPERLINK("#"&amp;중기목록표!J2&amp;"!A"&amp;ROW(중기목록표!A11),"중기    8 →")</f>
        <v>중기    8 →</v>
      </c>
    </row>
    <row r="1995" spans="1:25" ht="12.6" customHeight="1" x14ac:dyDescent="0.3">
      <c r="A1995" s="80"/>
      <c r="B1995" s="80"/>
      <c r="C1995" s="80"/>
      <c r="D1995" s="80"/>
      <c r="E1995" s="80"/>
      <c r="F1995" s="80"/>
      <c r="G1995" s="16" t="s">
        <v>1324</v>
      </c>
    </row>
    <row r="1996" spans="1:25" ht="12.6" customHeight="1" x14ac:dyDescent="0.3">
      <c r="A1996" s="70" t="s">
        <v>1945</v>
      </c>
      <c r="B1996" s="101" t="str">
        <f>"  경    비  :   "&amp;TEXT(I1996,"#,##0"&amp;IF(I1996&lt;&gt;INT(I1996),".###",""))&amp;" / Q = "&amp;TEXT(C1996,"#,##0.0")&amp;""</f>
        <v xml:space="preserve">  경    비  :   19,631 / Q = 4,391.7</v>
      </c>
      <c r="C1996" s="103">
        <f>E1996+D1996+F1996</f>
        <v>4391.7</v>
      </c>
      <c r="D1996" s="103">
        <f>IF(H1996=0,0,ROUNDDOWN(J1996*H1996,1))</f>
        <v>0</v>
      </c>
      <c r="E1996" s="103">
        <f>IF(H1996=0,0,ROUNDDOWN(K1996*H1996,1))</f>
        <v>0</v>
      </c>
      <c r="F1996" s="103">
        <f>IF(H1996=0,0,ROUNDDOWN(L1996*H1996,1))</f>
        <v>4391.7</v>
      </c>
      <c r="G1996" s="16" t="s">
        <v>2171</v>
      </c>
      <c r="H1996" s="108">
        <v>0.22371364654250001</v>
      </c>
      <c r="I1996" s="109">
        <f>K1996+J1996+L1996</f>
        <v>19631</v>
      </c>
      <c r="L1996" s="39">
        <f>중기목록표!H11</f>
        <v>19631</v>
      </c>
      <c r="M1996" s="20" t="s">
        <v>1941</v>
      </c>
      <c r="N1996" s="20" t="s">
        <v>1999</v>
      </c>
      <c r="X1996" s="110" t="str">
        <f>중기목록표!B11&amp;" / "&amp;중기목록표!C11</f>
        <v xml:space="preserve">덤프트럭15ton(토사) / </v>
      </c>
      <c r="Y1996" s="19" t="str">
        <f ca="1">HYPERLINK("#"&amp;중기목록표!J2&amp;"!A"&amp;ROW(중기목록표!A11),"중기    8 →")</f>
        <v>중기    8 →</v>
      </c>
    </row>
    <row r="1997" spans="1:25" ht="12.6" customHeight="1" x14ac:dyDescent="0.3">
      <c r="A1997" s="80"/>
      <c r="B1997" s="80"/>
      <c r="C1997" s="80"/>
      <c r="D1997" s="80"/>
      <c r="E1997" s="80"/>
      <c r="F1997" s="80"/>
      <c r="G1997" s="16" t="s">
        <v>1324</v>
      </c>
    </row>
    <row r="1998" spans="1:25" ht="12.6" customHeight="1" x14ac:dyDescent="0.3">
      <c r="A1998" s="70" t="s">
        <v>2173</v>
      </c>
      <c r="B1998" s="101" t="str">
        <f>"                "&amp;TEXT(I1998,"#,##0"&amp;IF(I1998&lt;&gt;INT(I1998),".###",""))&amp;" / Q = "&amp;TEXT(C1998,"#,##0.0")&amp;""</f>
        <v xml:space="preserve">                414 / Q = 92.6</v>
      </c>
      <c r="C1998" s="103">
        <f>E1998+D1998+F1998</f>
        <v>92.6</v>
      </c>
      <c r="D1998" s="103">
        <f>IF(H1998=0,0,ROUNDDOWN(J1998*H1998,1))</f>
        <v>0</v>
      </c>
      <c r="E1998" s="103">
        <f>IF(H1998=0,0,ROUNDDOWN(K1998*H1998,1))</f>
        <v>0</v>
      </c>
      <c r="F1998" s="103">
        <f>IF(H1998=0,0,ROUNDDOWN(L1998*H1998,1))</f>
        <v>92.6</v>
      </c>
      <c r="G1998" s="16" t="s">
        <v>2172</v>
      </c>
      <c r="H1998" s="108">
        <v>0.22371364654250001</v>
      </c>
      <c r="I1998" s="109">
        <f>K1998+J1998+L1998</f>
        <v>414</v>
      </c>
      <c r="L1998" s="39">
        <f>중기목록표!H14</f>
        <v>414</v>
      </c>
      <c r="M1998" s="20" t="s">
        <v>2174</v>
      </c>
      <c r="N1998" s="20" t="s">
        <v>1999</v>
      </c>
      <c r="X1998" s="110" t="str">
        <f>중기목록표!B14&amp;" / "&amp;중기목록표!C14</f>
        <v>덤프자동덮개 / 15톤</v>
      </c>
      <c r="Y1998" s="19" t="str">
        <f ca="1">HYPERLINK("#"&amp;중기목록표!J2&amp;"!A"&amp;ROW(중기목록표!A14),"중기   11 →")</f>
        <v>중기   11 →</v>
      </c>
    </row>
    <row r="1999" spans="1:25" ht="12.6" customHeight="1" x14ac:dyDescent="0.3">
      <c r="A1999" s="80"/>
      <c r="B1999" s="80"/>
      <c r="C1999" s="80"/>
      <c r="D1999" s="80"/>
      <c r="E1999" s="80"/>
      <c r="F1999" s="80"/>
      <c r="G1999" s="16" t="s">
        <v>1324</v>
      </c>
    </row>
    <row r="2000" spans="1:25" ht="12.6" customHeight="1" x14ac:dyDescent="0.3">
      <c r="A2000" s="70"/>
      <c r="B2000" s="79" t="s">
        <v>1998</v>
      </c>
      <c r="C2000" s="106">
        <f>E2000+D2000+F2000</f>
        <v>23188.899999999998</v>
      </c>
      <c r="D2000" s="106">
        <f>SUMIF(N1949:N1999,M2000,D1949:D1999)</f>
        <v>12460.8</v>
      </c>
      <c r="E2000" s="106">
        <f>SUMIF(N1949:N1999,M2000,E1949:E1999)</f>
        <v>6243.8</v>
      </c>
      <c r="F2000" s="106">
        <f>SUMIF(N1949:N1999,M2000,F1949:F1999)</f>
        <v>4484.3</v>
      </c>
      <c r="G2000" s="16" t="s">
        <v>2175</v>
      </c>
      <c r="M2000" s="20" t="s">
        <v>1999</v>
      </c>
    </row>
    <row r="2001" spans="1:7" ht="12.6" customHeight="1" x14ac:dyDescent="0.3">
      <c r="A2001" s="80"/>
      <c r="B2001" s="80"/>
      <c r="C2001" s="107"/>
      <c r="D2001" s="107"/>
      <c r="E2001" s="107"/>
      <c r="F2001" s="107"/>
      <c r="G2001" s="16" t="s">
        <v>1324</v>
      </c>
    </row>
    <row r="2002" spans="1:7" ht="12.6" customHeight="1" x14ac:dyDescent="0.3">
      <c r="A2002" s="70"/>
      <c r="B2002" s="79" t="s">
        <v>2177</v>
      </c>
      <c r="C2002" s="80"/>
      <c r="D2002" s="80"/>
      <c r="E2002" s="80"/>
      <c r="F2002" s="80"/>
      <c r="G2002" s="16" t="s">
        <v>2176</v>
      </c>
    </row>
    <row r="2003" spans="1:7" ht="12.6" customHeight="1" x14ac:dyDescent="0.3">
      <c r="A2003" s="80"/>
      <c r="B2003" s="80"/>
      <c r="C2003" s="80"/>
      <c r="D2003" s="80"/>
      <c r="E2003" s="80"/>
      <c r="F2003" s="80"/>
      <c r="G2003" s="16" t="s">
        <v>1324</v>
      </c>
    </row>
    <row r="2004" spans="1:7" ht="12.6" customHeight="1" x14ac:dyDescent="0.3">
      <c r="A2004" s="70"/>
      <c r="B2004" s="79" t="s">
        <v>2144</v>
      </c>
      <c r="C2004" s="80"/>
      <c r="D2004" s="80"/>
      <c r="E2004" s="80"/>
      <c r="F2004" s="80"/>
      <c r="G2004" s="16" t="s">
        <v>2143</v>
      </c>
    </row>
    <row r="2005" spans="1:7" ht="12.6" customHeight="1" x14ac:dyDescent="0.3">
      <c r="A2005" s="80"/>
      <c r="B2005" s="80"/>
      <c r="C2005" s="80"/>
      <c r="D2005" s="80"/>
      <c r="E2005" s="80"/>
      <c r="F2005" s="80"/>
      <c r="G2005" s="16" t="s">
        <v>1324</v>
      </c>
    </row>
    <row r="2006" spans="1:7" ht="12.6" customHeight="1" x14ac:dyDescent="0.3">
      <c r="A2006" s="70"/>
      <c r="B2006" s="79" t="s">
        <v>2146</v>
      </c>
      <c r="C2006" s="80"/>
      <c r="D2006" s="80"/>
      <c r="E2006" s="80"/>
      <c r="F2006" s="80"/>
      <c r="G2006" s="16" t="s">
        <v>2145</v>
      </c>
    </row>
    <row r="2007" spans="1:7" ht="12.6" customHeight="1" x14ac:dyDescent="0.3">
      <c r="A2007" s="80"/>
      <c r="B2007" s="80"/>
      <c r="C2007" s="80"/>
      <c r="D2007" s="80"/>
      <c r="E2007" s="80"/>
      <c r="F2007" s="80"/>
      <c r="G2007" s="16" t="s">
        <v>1324</v>
      </c>
    </row>
    <row r="2008" spans="1:7" ht="12.6" customHeight="1" x14ac:dyDescent="0.3">
      <c r="A2008" s="70"/>
      <c r="B2008" s="79" t="s">
        <v>2179</v>
      </c>
      <c r="C2008" s="80"/>
      <c r="D2008" s="80"/>
      <c r="E2008" s="80"/>
      <c r="F2008" s="80"/>
      <c r="G2008" s="16" t="s">
        <v>2178</v>
      </c>
    </row>
    <row r="2009" spans="1:7" ht="12.6" customHeight="1" x14ac:dyDescent="0.3">
      <c r="A2009" s="80"/>
      <c r="B2009" s="80"/>
      <c r="C2009" s="80"/>
      <c r="D2009" s="80"/>
      <c r="E2009" s="80"/>
      <c r="F2009" s="80"/>
      <c r="G2009" s="16" t="s">
        <v>1324</v>
      </c>
    </row>
    <row r="2010" spans="1:7" ht="12.6" customHeight="1" x14ac:dyDescent="0.3">
      <c r="A2010" s="70"/>
      <c r="B2010" s="79" t="s">
        <v>1409</v>
      </c>
      <c r="C2010" s="80"/>
      <c r="D2010" s="80"/>
      <c r="E2010" s="80"/>
      <c r="F2010" s="80"/>
      <c r="G2010" s="16" t="s">
        <v>1922</v>
      </c>
    </row>
    <row r="2011" spans="1:7" ht="12.6" customHeight="1" x14ac:dyDescent="0.3">
      <c r="A2011" s="80"/>
      <c r="B2011" s="80"/>
      <c r="C2011" s="80"/>
      <c r="D2011" s="80"/>
      <c r="E2011" s="80"/>
      <c r="F2011" s="80"/>
      <c r="G2011" s="16" t="s">
        <v>1324</v>
      </c>
    </row>
    <row r="2012" spans="1:7" ht="12.6" customHeight="1" x14ac:dyDescent="0.3">
      <c r="A2012" s="70"/>
      <c r="B2012" s="79" t="s">
        <v>2180</v>
      </c>
      <c r="C2012" s="80"/>
      <c r="D2012" s="80"/>
      <c r="E2012" s="80"/>
      <c r="F2012" s="80"/>
      <c r="G2012" s="16" t="s">
        <v>2149</v>
      </c>
    </row>
    <row r="2013" spans="1:7" ht="12.6" customHeight="1" x14ac:dyDescent="0.3">
      <c r="A2013" s="80"/>
      <c r="B2013" s="80"/>
      <c r="C2013" s="80"/>
      <c r="D2013" s="80"/>
      <c r="E2013" s="80"/>
      <c r="F2013" s="80"/>
      <c r="G2013" s="16" t="s">
        <v>1324</v>
      </c>
    </row>
    <row r="2014" spans="1:7" ht="12.6" customHeight="1" x14ac:dyDescent="0.3">
      <c r="A2014" s="70"/>
      <c r="B2014" s="79" t="s">
        <v>2152</v>
      </c>
      <c r="C2014" s="80"/>
      <c r="D2014" s="80"/>
      <c r="E2014" s="80"/>
      <c r="F2014" s="80"/>
      <c r="G2014" s="16" t="s">
        <v>2151</v>
      </c>
    </row>
    <row r="2015" spans="1:7" ht="12.6" customHeight="1" x14ac:dyDescent="0.3">
      <c r="A2015" s="80"/>
      <c r="B2015" s="80"/>
      <c r="C2015" s="80"/>
      <c r="D2015" s="80"/>
      <c r="E2015" s="80"/>
      <c r="F2015" s="80"/>
      <c r="G2015" s="16" t="s">
        <v>1324</v>
      </c>
    </row>
    <row r="2016" spans="1:7" ht="12.6" customHeight="1" x14ac:dyDescent="0.3">
      <c r="A2016" s="70"/>
      <c r="B2016" s="79" t="s">
        <v>2181</v>
      </c>
      <c r="C2016" s="80"/>
      <c r="D2016" s="80"/>
      <c r="E2016" s="80"/>
      <c r="F2016" s="80"/>
      <c r="G2016" s="16" t="s">
        <v>2153</v>
      </c>
    </row>
    <row r="2017" spans="1:25" ht="12.6" customHeight="1" x14ac:dyDescent="0.3">
      <c r="A2017" s="80"/>
      <c r="B2017" s="80"/>
      <c r="C2017" s="80"/>
      <c r="D2017" s="80"/>
      <c r="E2017" s="80"/>
      <c r="F2017" s="80"/>
      <c r="G2017" s="16" t="s">
        <v>1324</v>
      </c>
    </row>
    <row r="2018" spans="1:25" ht="12.6" customHeight="1" x14ac:dyDescent="0.3">
      <c r="A2018" s="70"/>
      <c r="B2018" s="79" t="s">
        <v>2156</v>
      </c>
      <c r="C2018" s="80"/>
      <c r="D2018" s="80"/>
      <c r="E2018" s="80"/>
      <c r="F2018" s="80"/>
      <c r="G2018" s="16" t="s">
        <v>2155</v>
      </c>
    </row>
    <row r="2019" spans="1:25" ht="12.6" customHeight="1" x14ac:dyDescent="0.3">
      <c r="A2019" s="80"/>
      <c r="B2019" s="80"/>
      <c r="C2019" s="80"/>
      <c r="D2019" s="80"/>
      <c r="E2019" s="80"/>
      <c r="F2019" s="80"/>
      <c r="G2019" s="16" t="s">
        <v>1324</v>
      </c>
    </row>
    <row r="2020" spans="1:25" ht="12.6" customHeight="1" x14ac:dyDescent="0.3">
      <c r="A2020" s="70"/>
      <c r="B2020" s="79" t="s">
        <v>2158</v>
      </c>
      <c r="C2020" s="80"/>
      <c r="D2020" s="80"/>
      <c r="E2020" s="80"/>
      <c r="F2020" s="80"/>
      <c r="G2020" s="16" t="s">
        <v>2157</v>
      </c>
    </row>
    <row r="2021" spans="1:25" ht="12.6" customHeight="1" x14ac:dyDescent="0.3">
      <c r="A2021" s="80"/>
      <c r="B2021" s="80"/>
      <c r="C2021" s="80"/>
      <c r="D2021" s="80"/>
      <c r="E2021" s="80"/>
      <c r="F2021" s="80"/>
      <c r="G2021" s="16" t="s">
        <v>1324</v>
      </c>
    </row>
    <row r="2022" spans="1:25" ht="12.6" customHeight="1" x14ac:dyDescent="0.3">
      <c r="A2022" s="70"/>
      <c r="B2022" s="79" t="s">
        <v>2160</v>
      </c>
      <c r="C2022" s="80"/>
      <c r="D2022" s="80"/>
      <c r="E2022" s="80"/>
      <c r="F2022" s="80"/>
      <c r="G2022" s="16" t="s">
        <v>2159</v>
      </c>
    </row>
    <row r="2023" spans="1:25" ht="12.6" customHeight="1" x14ac:dyDescent="0.3">
      <c r="A2023" s="80"/>
      <c r="B2023" s="80"/>
      <c r="C2023" s="80"/>
      <c r="D2023" s="80"/>
      <c r="E2023" s="80"/>
      <c r="F2023" s="80"/>
      <c r="G2023" s="16" t="s">
        <v>1324</v>
      </c>
    </row>
    <row r="2024" spans="1:25" ht="12.6" customHeight="1" x14ac:dyDescent="0.3">
      <c r="A2024" s="70"/>
      <c r="B2024" s="79" t="s">
        <v>2162</v>
      </c>
      <c r="C2024" s="80"/>
      <c r="D2024" s="80"/>
      <c r="E2024" s="80"/>
      <c r="F2024" s="80"/>
      <c r="G2024" s="16" t="s">
        <v>2161</v>
      </c>
    </row>
    <row r="2025" spans="1:25" ht="12.6" customHeight="1" x14ac:dyDescent="0.3">
      <c r="A2025" s="80"/>
      <c r="B2025" s="80"/>
      <c r="C2025" s="80"/>
      <c r="D2025" s="80"/>
      <c r="E2025" s="80"/>
      <c r="F2025" s="80"/>
      <c r="G2025" s="16" t="s">
        <v>1327</v>
      </c>
    </row>
    <row r="2026" spans="1:25" ht="12.6" customHeight="1" x14ac:dyDescent="0.3">
      <c r="A2026" s="70"/>
      <c r="B2026" s="79" t="s">
        <v>2164</v>
      </c>
      <c r="C2026" s="80"/>
      <c r="D2026" s="80"/>
      <c r="E2026" s="80"/>
      <c r="F2026" s="80"/>
      <c r="G2026" s="16" t="s">
        <v>2163</v>
      </c>
    </row>
    <row r="2027" spans="1:25" ht="12.6" customHeight="1" x14ac:dyDescent="0.3">
      <c r="A2027" s="80"/>
      <c r="B2027" s="80"/>
      <c r="C2027" s="80"/>
      <c r="D2027" s="80"/>
      <c r="E2027" s="80"/>
      <c r="F2027" s="80"/>
      <c r="G2027" s="16" t="s">
        <v>1324</v>
      </c>
    </row>
    <row r="2028" spans="1:25" ht="12.6" customHeight="1" x14ac:dyDescent="0.3">
      <c r="A2028" s="70"/>
      <c r="B2028" s="79" t="s">
        <v>2182</v>
      </c>
      <c r="C2028" s="80"/>
      <c r="D2028" s="80"/>
      <c r="E2028" s="80"/>
      <c r="F2028" s="80"/>
      <c r="G2028" s="16" t="s">
        <v>2165</v>
      </c>
    </row>
    <row r="2029" spans="1:25" ht="12.6" customHeight="1" x14ac:dyDescent="0.3">
      <c r="A2029" s="80"/>
      <c r="B2029" s="80"/>
      <c r="C2029" s="80"/>
      <c r="D2029" s="80"/>
      <c r="E2029" s="80"/>
      <c r="F2029" s="80"/>
      <c r="G2029" s="16" t="s">
        <v>1324</v>
      </c>
    </row>
    <row r="2030" spans="1:25" ht="12.6" customHeight="1" x14ac:dyDescent="0.3">
      <c r="A2030" s="70"/>
      <c r="B2030" s="79" t="s">
        <v>2183</v>
      </c>
      <c r="C2030" s="80"/>
      <c r="D2030" s="80"/>
      <c r="E2030" s="80"/>
      <c r="F2030" s="80"/>
      <c r="G2030" s="16" t="s">
        <v>2167</v>
      </c>
    </row>
    <row r="2031" spans="1:25" ht="12.6" customHeight="1" x14ac:dyDescent="0.3">
      <c r="A2031" s="80"/>
      <c r="B2031" s="80"/>
      <c r="C2031" s="80"/>
      <c r="D2031" s="80"/>
      <c r="E2031" s="80"/>
      <c r="F2031" s="80"/>
      <c r="G2031" s="16" t="s">
        <v>1324</v>
      </c>
    </row>
    <row r="2032" spans="1:25" ht="12.6" customHeight="1" x14ac:dyDescent="0.3">
      <c r="A2032" s="70" t="s">
        <v>2185</v>
      </c>
      <c r="B2032" s="101" t="str">
        <f>"  노 무 비  :   "&amp;TEXT(I2032,"#,##0"&amp;IF(I2032&lt;&gt;INT(I2032),".###",""))&amp;" / Q = "&amp;TEXT(C2032,"#,##0.0")&amp;""</f>
        <v xml:space="preserve">  노 무 비  :   55,700 / Q = 8,002.8</v>
      </c>
      <c r="C2032" s="103">
        <f>E2032+D2032+F2032</f>
        <v>8002.8</v>
      </c>
      <c r="D2032" s="103">
        <f>IF(H2032=0,0,ROUNDDOWN(J2032*H2032,1))</f>
        <v>8002.8</v>
      </c>
      <c r="E2032" s="103">
        <f>IF(H2032=0,0,ROUNDDOWN(K2032*H2032,1))</f>
        <v>0</v>
      </c>
      <c r="F2032" s="103">
        <f>IF(H2032=0,0,ROUNDDOWN(L2032*H2032,1))</f>
        <v>0</v>
      </c>
      <c r="G2032" s="16" t="s">
        <v>2184</v>
      </c>
      <c r="H2032" s="108">
        <v>0.14367816092960001</v>
      </c>
      <c r="I2032" s="109">
        <f>K2032+J2032+L2032</f>
        <v>55700</v>
      </c>
      <c r="J2032" s="39">
        <f>중기목록표!F22</f>
        <v>55700</v>
      </c>
      <c r="M2032" s="20" t="s">
        <v>2186</v>
      </c>
      <c r="N2032" s="20" t="s">
        <v>1345</v>
      </c>
      <c r="X2032" s="110" t="str">
        <f>중기목록표!B22&amp;" / "&amp;중기목록표!C22</f>
        <v xml:space="preserve">덤프트럭24ton(토사) / </v>
      </c>
      <c r="Y2032" s="19" t="str">
        <f ca="1">HYPERLINK("#"&amp;중기목록표!J2&amp;"!A"&amp;ROW(중기목록표!A22),"중기   19 →")</f>
        <v>중기   19 →</v>
      </c>
    </row>
    <row r="2033" spans="1:25" ht="12.6" customHeight="1" x14ac:dyDescent="0.3">
      <c r="A2033" s="80"/>
      <c r="B2033" s="80"/>
      <c r="C2033" s="80"/>
      <c r="D2033" s="80"/>
      <c r="E2033" s="80"/>
      <c r="F2033" s="80"/>
      <c r="G2033" s="16" t="s">
        <v>1324</v>
      </c>
    </row>
    <row r="2034" spans="1:25" ht="12.6" customHeight="1" x14ac:dyDescent="0.3">
      <c r="A2034" s="70" t="s">
        <v>2188</v>
      </c>
      <c r="B2034" s="101" t="str">
        <f>"  재 료 비  :   "&amp;TEXT(I2034,"#,##0"&amp;IF(I2034&lt;&gt;INT(I2034),".###",""))&amp;" / Q = "&amp;TEXT(C2034,"#,##0.0")&amp;""</f>
        <v xml:space="preserve">  재 료 비  :   40,373 / Q = 5,800.7</v>
      </c>
      <c r="C2034" s="103">
        <f>E2034+D2034+F2034</f>
        <v>5800.7</v>
      </c>
      <c r="D2034" s="103">
        <f>IF(H2034=0,0,ROUNDDOWN(J2034*H2034,1))</f>
        <v>0</v>
      </c>
      <c r="E2034" s="103">
        <f>IF(H2034=0,0,ROUNDDOWN(K2034*H2034,1))</f>
        <v>5800.7</v>
      </c>
      <c r="F2034" s="103">
        <f>IF(H2034=0,0,ROUNDDOWN(L2034*H2034,1))</f>
        <v>0</v>
      </c>
      <c r="G2034" s="16" t="s">
        <v>2187</v>
      </c>
      <c r="H2034" s="108">
        <v>0.14367816092960001</v>
      </c>
      <c r="I2034" s="109">
        <f>K2034+J2034+L2034</f>
        <v>40373</v>
      </c>
      <c r="K2034" s="39">
        <f>중기목록표!G22</f>
        <v>40373</v>
      </c>
      <c r="M2034" s="20" t="s">
        <v>2186</v>
      </c>
      <c r="N2034" s="20" t="s">
        <v>1345</v>
      </c>
      <c r="X2034" s="110" t="str">
        <f>중기목록표!B22&amp;" / "&amp;중기목록표!C22</f>
        <v xml:space="preserve">덤프트럭24ton(토사) / </v>
      </c>
      <c r="Y2034" s="19" t="str">
        <f ca="1">HYPERLINK("#"&amp;중기목록표!J2&amp;"!A"&amp;ROW(중기목록표!A22),"중기   19 →")</f>
        <v>중기   19 →</v>
      </c>
    </row>
    <row r="2035" spans="1:25" ht="12.6" customHeight="1" x14ac:dyDescent="0.3">
      <c r="A2035" s="80"/>
      <c r="B2035" s="80"/>
      <c r="C2035" s="80"/>
      <c r="D2035" s="80"/>
      <c r="E2035" s="80"/>
      <c r="F2035" s="80"/>
      <c r="G2035" s="16" t="s">
        <v>1324</v>
      </c>
    </row>
    <row r="2036" spans="1:25" ht="12.6" customHeight="1" x14ac:dyDescent="0.3">
      <c r="A2036" s="70" t="s">
        <v>2190</v>
      </c>
      <c r="B2036" s="101" t="str">
        <f>"  경    비  :   "&amp;TEXT(I2036,"#,##0"&amp;IF(I2036&lt;&gt;INT(I2036),".###",""))&amp;" / Q = "&amp;TEXT(C2036,"#,##0.0")&amp;""</f>
        <v xml:space="preserve">  경    비  :   31,406 / Q = 4,512.3</v>
      </c>
      <c r="C2036" s="103">
        <f>E2036+D2036+F2036</f>
        <v>4512.3</v>
      </c>
      <c r="D2036" s="103">
        <f>IF(H2036=0,0,ROUNDDOWN(J2036*H2036,1))</f>
        <v>0</v>
      </c>
      <c r="E2036" s="103">
        <f>IF(H2036=0,0,ROUNDDOWN(K2036*H2036,1))</f>
        <v>0</v>
      </c>
      <c r="F2036" s="103">
        <f>IF(H2036=0,0,ROUNDDOWN(L2036*H2036,1))</f>
        <v>4512.3</v>
      </c>
      <c r="G2036" s="16" t="s">
        <v>2189</v>
      </c>
      <c r="H2036" s="108">
        <v>0.14367816092960001</v>
      </c>
      <c r="I2036" s="109">
        <f>K2036+J2036+L2036</f>
        <v>31406</v>
      </c>
      <c r="L2036" s="39">
        <f>중기목록표!H22</f>
        <v>31406</v>
      </c>
      <c r="M2036" s="20" t="s">
        <v>2186</v>
      </c>
      <c r="N2036" s="20" t="s">
        <v>1345</v>
      </c>
      <c r="X2036" s="110" t="str">
        <f>중기목록표!B22&amp;" / "&amp;중기목록표!C22</f>
        <v xml:space="preserve">덤프트럭24ton(토사) / </v>
      </c>
      <c r="Y2036" s="19" t="str">
        <f ca="1">HYPERLINK("#"&amp;중기목록표!J2&amp;"!A"&amp;ROW(중기목록표!A22),"중기   19 →")</f>
        <v>중기   19 →</v>
      </c>
    </row>
    <row r="2037" spans="1:25" ht="12.6" customHeight="1" x14ac:dyDescent="0.3">
      <c r="A2037" s="80"/>
      <c r="B2037" s="80"/>
      <c r="C2037" s="80"/>
      <c r="D2037" s="80"/>
      <c r="E2037" s="80"/>
      <c r="F2037" s="80"/>
      <c r="G2037" s="16" t="s">
        <v>1324</v>
      </c>
    </row>
    <row r="2038" spans="1:25" ht="12.6" customHeight="1" x14ac:dyDescent="0.3">
      <c r="A2038" s="70" t="s">
        <v>2192</v>
      </c>
      <c r="B2038" s="101" t="str">
        <f>"                "&amp;TEXT(I2038,"#,##0"&amp;IF(I2038&lt;&gt;INT(I2038),".###",""))&amp;" / Q = "&amp;TEXT(C2038,"#,##0.0")&amp;""</f>
        <v xml:space="preserve">                481 / Q = 69.1</v>
      </c>
      <c r="C2038" s="103">
        <f>E2038+D2038+F2038</f>
        <v>69.099999999999994</v>
      </c>
      <c r="D2038" s="103">
        <f>IF(H2038=0,0,ROUNDDOWN(J2038*H2038,1))</f>
        <v>0</v>
      </c>
      <c r="E2038" s="103">
        <f>IF(H2038=0,0,ROUNDDOWN(K2038*H2038,1))</f>
        <v>0</v>
      </c>
      <c r="F2038" s="103">
        <f>IF(H2038=0,0,ROUNDDOWN(L2038*H2038,1))</f>
        <v>69.099999999999994</v>
      </c>
      <c r="G2038" s="16" t="s">
        <v>2191</v>
      </c>
      <c r="H2038" s="108">
        <v>0.14367816092960001</v>
      </c>
      <c r="I2038" s="109">
        <f>K2038+J2038+L2038</f>
        <v>481</v>
      </c>
      <c r="L2038" s="39">
        <f>중기목록표!H21</f>
        <v>481</v>
      </c>
      <c r="M2038" s="20" t="s">
        <v>2193</v>
      </c>
      <c r="N2038" s="20" t="s">
        <v>1345</v>
      </c>
      <c r="X2038" s="110" t="str">
        <f>중기목록표!B21&amp;" / "&amp;중기목록표!C21</f>
        <v>덤프자동덮개 / 24톤</v>
      </c>
      <c r="Y2038" s="19" t="str">
        <f ca="1">HYPERLINK("#"&amp;중기목록표!J2&amp;"!A"&amp;ROW(중기목록표!A21),"중기   18 →")</f>
        <v>중기   18 →</v>
      </c>
    </row>
    <row r="2039" spans="1:25" ht="12.6" customHeight="1" x14ac:dyDescent="0.3">
      <c r="A2039" s="80"/>
      <c r="B2039" s="80"/>
      <c r="C2039" s="80"/>
      <c r="D2039" s="80"/>
      <c r="E2039" s="80"/>
      <c r="F2039" s="80"/>
      <c r="G2039" s="16" t="s">
        <v>1324</v>
      </c>
    </row>
    <row r="2040" spans="1:25" ht="12.6" customHeight="1" x14ac:dyDescent="0.3">
      <c r="A2040" s="70"/>
      <c r="B2040" s="79" t="s">
        <v>1344</v>
      </c>
      <c r="C2040" s="104">
        <f>E2040+D2040+F2040</f>
        <v>18384.900000000001</v>
      </c>
      <c r="D2040" s="104">
        <f>SUMIF(N2001:N2039,M2040,D2001:D2039)</f>
        <v>8002.8</v>
      </c>
      <c r="E2040" s="104">
        <f>SUMIF(N2001:N2039,M2040,E2001:E2039)</f>
        <v>5800.7</v>
      </c>
      <c r="F2040" s="104">
        <f>SUMIF(N2001:N2039,M2040,F2001:F2039)</f>
        <v>4581.4000000000005</v>
      </c>
      <c r="G2040" s="16" t="s">
        <v>1343</v>
      </c>
      <c r="M2040" s="20" t="s">
        <v>1345</v>
      </c>
      <c r="N2040" s="20" t="s">
        <v>1368</v>
      </c>
    </row>
    <row r="2041" spans="1:25" ht="12.6" customHeight="1" x14ac:dyDescent="0.3">
      <c r="A2041" s="80"/>
      <c r="B2041" s="80"/>
      <c r="C2041" s="102"/>
      <c r="D2041" s="102"/>
      <c r="E2041" s="102"/>
      <c r="F2041" s="102"/>
      <c r="G2041" s="16" t="s">
        <v>1324</v>
      </c>
    </row>
    <row r="2042" spans="1:25" ht="12.6" customHeight="1" x14ac:dyDescent="0.3">
      <c r="A2042" s="70"/>
      <c r="B2042" s="79" t="s">
        <v>1171</v>
      </c>
      <c r="C2042" s="104">
        <f>E2042+D2042+F2042</f>
        <v>18384.900000000001</v>
      </c>
      <c r="D2042" s="104">
        <f>SUMIF(N1949:N2041,M2042,D1949:D2041)</f>
        <v>8002.8</v>
      </c>
      <c r="E2042" s="104">
        <f>SUMIF(N1949:N2041,M2042,E1949:E2041)</f>
        <v>5800.7</v>
      </c>
      <c r="F2042" s="104">
        <f>SUMIF(N1949:N2041,M2042,F1949:F2041)</f>
        <v>4581.4000000000005</v>
      </c>
      <c r="G2042" s="16" t="s">
        <v>1367</v>
      </c>
      <c r="M2042" s="20" t="s">
        <v>1368</v>
      </c>
      <c r="N2042" s="20" t="s">
        <v>1129</v>
      </c>
    </row>
    <row r="2043" spans="1:25" ht="12.6" customHeight="1" x14ac:dyDescent="0.3">
      <c r="A2043" s="80"/>
      <c r="B2043" s="80"/>
      <c r="C2043" s="102"/>
      <c r="D2043" s="102"/>
      <c r="E2043" s="102"/>
      <c r="F2043" s="102"/>
    </row>
    <row r="2044" spans="1:25" ht="12.6" customHeight="1" x14ac:dyDescent="0.3">
      <c r="A2044" s="80"/>
      <c r="B2044" s="80"/>
      <c r="C2044" s="80"/>
      <c r="D2044" s="80"/>
      <c r="E2044" s="80"/>
      <c r="F2044" s="80"/>
    </row>
    <row r="2045" spans="1:25" ht="12.6" customHeight="1" x14ac:dyDescent="0.3">
      <c r="A2045" s="80"/>
      <c r="B2045" s="80"/>
      <c r="C2045" s="80"/>
      <c r="D2045" s="80"/>
      <c r="E2045" s="80"/>
      <c r="F2045" s="80"/>
    </row>
    <row r="2046" spans="1:25" ht="12.6" customHeight="1" x14ac:dyDescent="0.3">
      <c r="A2046" s="80"/>
      <c r="B2046" s="80"/>
      <c r="C2046" s="80"/>
      <c r="D2046" s="80"/>
      <c r="E2046" s="80"/>
      <c r="F2046" s="80"/>
    </row>
    <row r="2047" spans="1:25" ht="12.6" customHeight="1" x14ac:dyDescent="0.3">
      <c r="A2047" s="80"/>
      <c r="B2047" s="80"/>
      <c r="C2047" s="80"/>
      <c r="D2047" s="80"/>
      <c r="E2047" s="80"/>
      <c r="F2047" s="80"/>
    </row>
    <row r="2048" spans="1:25" ht="12.6" customHeight="1" x14ac:dyDescent="0.3">
      <c r="A2048" s="58"/>
      <c r="B2048" s="58"/>
      <c r="C2048" s="58"/>
      <c r="D2048" s="58"/>
      <c r="E2048" s="58"/>
      <c r="F2048" s="58"/>
    </row>
    <row r="2049" spans="1:14" ht="12.6" customHeight="1" x14ac:dyDescent="0.3">
      <c r="A2049" s="141" t="s">
        <v>2118</v>
      </c>
      <c r="B2049" s="142"/>
      <c r="C2049" s="55">
        <f>E2049+D2049+F2049</f>
        <v>18383</v>
      </c>
      <c r="D2049" s="11">
        <v>0</v>
      </c>
      <c r="E2049" s="12">
        <v>0</v>
      </c>
      <c r="F2049" s="55">
        <f>ROUNDDOWN(SUMIF(N1949:N2042,M2049,E1949:E2042),0)+ROUNDDOWN(SUMIF(N1949:N2042,M2049,D1949:D2042),0)+ROUNDDOWN(SUMIF(N1949:N2042,M2049,F1949:F2042),0)</f>
        <v>18383</v>
      </c>
      <c r="M2049" s="20" t="s">
        <v>1129</v>
      </c>
      <c r="N2049" s="20" t="s">
        <v>1172</v>
      </c>
    </row>
    <row r="2050" spans="1:14" ht="12.6" customHeight="1" x14ac:dyDescent="0.3">
      <c r="A2050" s="141" t="s">
        <v>1173</v>
      </c>
      <c r="B2050" s="142"/>
      <c r="C2050" s="55">
        <f>E2050+D2050+F2050</f>
        <v>16268</v>
      </c>
      <c r="D2050" s="54">
        <f>ROUNDDOWN(D2049*H2050/100,0)</f>
        <v>0</v>
      </c>
      <c r="E2050" s="63">
        <f>ROUNDDOWN(E2049*H2050/100,0)</f>
        <v>0</v>
      </c>
      <c r="F2050" s="55">
        <f>ROUNDDOWN(F2049*H2050/100,0)</f>
        <v>16268</v>
      </c>
      <c r="H2050" s="67">
        <v>88.5</v>
      </c>
      <c r="M2050" s="20" t="s">
        <v>1172</v>
      </c>
    </row>
    <row r="2051" spans="1:14" ht="12.6" customHeight="1" x14ac:dyDescent="0.3">
      <c r="A2051" s="99" t="s">
        <v>162</v>
      </c>
      <c r="B2051" s="100" t="s">
        <v>162</v>
      </c>
      <c r="C2051" s="147">
        <f>C2154</f>
        <v>17215</v>
      </c>
      <c r="D2051" s="147">
        <f>D2154</f>
        <v>0</v>
      </c>
      <c r="E2051" s="147">
        <f>E2154</f>
        <v>0</v>
      </c>
      <c r="F2051" s="147">
        <f>F2154</f>
        <v>17215</v>
      </c>
      <c r="G2051" s="36" t="str">
        <f>HYPERLINK("#G"&amp;ROW(G2149),"_x0005_`BDCOD|D02283_x0007_`POSS|"&amp;ROW(G2053)&amp;"_x0007_`POSE|"&amp;ROW(G2149)&amp;"_x0007_`")</f>
        <v>_x0005_`BDCOD|D02283_x0007_`POSS|2053_x0007_`POSE|2149_x0007_`</v>
      </c>
    </row>
    <row r="2052" spans="1:14" ht="12.6" customHeight="1" x14ac:dyDescent="0.3">
      <c r="A2052" s="85"/>
      <c r="B2052" s="100" t="s">
        <v>288</v>
      </c>
      <c r="C2052" s="137"/>
      <c r="D2052" s="137"/>
      <c r="E2052" s="137"/>
      <c r="F2052" s="137"/>
      <c r="M2052" s="20" t="s">
        <v>287</v>
      </c>
    </row>
    <row r="2053" spans="1:14" ht="12.6" customHeight="1" x14ac:dyDescent="0.3">
      <c r="A2053" s="80"/>
      <c r="B2053" s="80"/>
      <c r="C2053" s="102"/>
      <c r="D2053" s="102"/>
      <c r="E2053" s="102"/>
      <c r="F2053" s="102"/>
      <c r="G2053" s="16" t="s">
        <v>1324</v>
      </c>
    </row>
    <row r="2054" spans="1:14" ht="12.6" customHeight="1" x14ac:dyDescent="0.3">
      <c r="A2054" s="70"/>
      <c r="B2054" s="79" t="s">
        <v>2195</v>
      </c>
      <c r="C2054" s="80"/>
      <c r="D2054" s="80"/>
      <c r="E2054" s="80"/>
      <c r="F2054" s="80"/>
      <c r="G2054" s="16" t="s">
        <v>2194</v>
      </c>
    </row>
    <row r="2055" spans="1:14" ht="12.6" customHeight="1" x14ac:dyDescent="0.3">
      <c r="A2055" s="80"/>
      <c r="B2055" s="80"/>
      <c r="C2055" s="80"/>
      <c r="D2055" s="80"/>
      <c r="E2055" s="80"/>
      <c r="F2055" s="80"/>
      <c r="G2055" s="16" t="s">
        <v>1324</v>
      </c>
    </row>
    <row r="2056" spans="1:14" ht="12.6" customHeight="1" x14ac:dyDescent="0.3">
      <c r="A2056" s="70"/>
      <c r="B2056" s="79" t="s">
        <v>2197</v>
      </c>
      <c r="C2056" s="80"/>
      <c r="D2056" s="80"/>
      <c r="E2056" s="80"/>
      <c r="F2056" s="80"/>
      <c r="G2056" s="16" t="s">
        <v>2196</v>
      </c>
    </row>
    <row r="2057" spans="1:14" ht="12.6" customHeight="1" x14ac:dyDescent="0.3">
      <c r="A2057" s="70"/>
      <c r="B2057" s="79" t="s">
        <v>2199</v>
      </c>
      <c r="C2057" s="80"/>
      <c r="D2057" s="80"/>
      <c r="E2057" s="80"/>
      <c r="F2057" s="80"/>
      <c r="G2057" s="16" t="s">
        <v>2198</v>
      </c>
    </row>
    <row r="2058" spans="1:14" ht="12.6" customHeight="1" x14ac:dyDescent="0.3">
      <c r="A2058" s="70"/>
      <c r="B2058" s="79" t="s">
        <v>2201</v>
      </c>
      <c r="C2058" s="80"/>
      <c r="D2058" s="80"/>
      <c r="E2058" s="80"/>
      <c r="F2058" s="80"/>
      <c r="G2058" s="16" t="s">
        <v>2200</v>
      </c>
    </row>
    <row r="2059" spans="1:14" ht="12.6" customHeight="1" x14ac:dyDescent="0.3">
      <c r="A2059" s="80"/>
      <c r="B2059" s="80"/>
      <c r="C2059" s="80"/>
      <c r="D2059" s="80"/>
      <c r="E2059" s="80"/>
      <c r="F2059" s="80"/>
      <c r="G2059" s="16" t="s">
        <v>1324</v>
      </c>
    </row>
    <row r="2060" spans="1:14" ht="12.6" customHeight="1" x14ac:dyDescent="0.3">
      <c r="A2060" s="80"/>
      <c r="B2060" s="80"/>
      <c r="C2060" s="80"/>
      <c r="D2060" s="80"/>
      <c r="E2060" s="80"/>
      <c r="F2060" s="80"/>
      <c r="G2060" s="16" t="s">
        <v>1324</v>
      </c>
    </row>
    <row r="2061" spans="1:14" ht="12.6" customHeight="1" x14ac:dyDescent="0.3">
      <c r="A2061" s="70"/>
      <c r="B2061" s="79" t="s">
        <v>2203</v>
      </c>
      <c r="C2061" s="80"/>
      <c r="D2061" s="80"/>
      <c r="E2061" s="80"/>
      <c r="F2061" s="80"/>
      <c r="G2061" s="16" t="s">
        <v>2202</v>
      </c>
    </row>
    <row r="2062" spans="1:14" ht="12.6" customHeight="1" x14ac:dyDescent="0.3">
      <c r="A2062" s="80"/>
      <c r="B2062" s="80"/>
      <c r="C2062" s="80"/>
      <c r="D2062" s="80"/>
      <c r="E2062" s="80"/>
      <c r="F2062" s="80"/>
      <c r="G2062" s="16" t="s">
        <v>1324</v>
      </c>
    </row>
    <row r="2063" spans="1:14" ht="12.6" customHeight="1" x14ac:dyDescent="0.3">
      <c r="A2063" s="80"/>
      <c r="B2063" s="80"/>
      <c r="C2063" s="80"/>
      <c r="D2063" s="80"/>
      <c r="E2063" s="80"/>
      <c r="F2063" s="80"/>
      <c r="G2063" s="16" t="s">
        <v>1324</v>
      </c>
    </row>
    <row r="2064" spans="1:14" ht="12.6" customHeight="1" x14ac:dyDescent="0.3">
      <c r="A2064" s="70"/>
      <c r="B2064" s="79" t="s">
        <v>2205</v>
      </c>
      <c r="C2064" s="80"/>
      <c r="D2064" s="80"/>
      <c r="E2064" s="80"/>
      <c r="F2064" s="80"/>
      <c r="G2064" s="16" t="s">
        <v>2204</v>
      </c>
    </row>
    <row r="2065" spans="1:7" ht="12.6" customHeight="1" x14ac:dyDescent="0.3">
      <c r="A2065" s="80"/>
      <c r="B2065" s="80"/>
      <c r="C2065" s="80"/>
      <c r="D2065" s="80"/>
      <c r="E2065" s="80"/>
      <c r="F2065" s="80"/>
      <c r="G2065" s="16" t="s">
        <v>1324</v>
      </c>
    </row>
    <row r="2066" spans="1:7" ht="12.6" customHeight="1" x14ac:dyDescent="0.3">
      <c r="A2066" s="80"/>
      <c r="B2066" s="80"/>
      <c r="C2066" s="80"/>
      <c r="D2066" s="80"/>
      <c r="E2066" s="80"/>
      <c r="F2066" s="80"/>
      <c r="G2066" s="16" t="s">
        <v>1324</v>
      </c>
    </row>
    <row r="2067" spans="1:7" ht="12.6" customHeight="1" x14ac:dyDescent="0.3">
      <c r="A2067" s="70"/>
      <c r="B2067" s="79" t="s">
        <v>2207</v>
      </c>
      <c r="C2067" s="80"/>
      <c r="D2067" s="80"/>
      <c r="E2067" s="80"/>
      <c r="F2067" s="80"/>
      <c r="G2067" s="16" t="s">
        <v>2206</v>
      </c>
    </row>
    <row r="2068" spans="1:7" ht="12.6" customHeight="1" x14ac:dyDescent="0.3">
      <c r="A2068" s="80"/>
      <c r="B2068" s="80"/>
      <c r="C2068" s="80"/>
      <c r="D2068" s="80"/>
      <c r="E2068" s="80"/>
      <c r="F2068" s="80"/>
      <c r="G2068" s="16" t="s">
        <v>1324</v>
      </c>
    </row>
    <row r="2069" spans="1:7" ht="12.6" customHeight="1" x14ac:dyDescent="0.3">
      <c r="A2069" s="70"/>
      <c r="B2069" s="79" t="s">
        <v>2209</v>
      </c>
      <c r="C2069" s="80"/>
      <c r="D2069" s="80"/>
      <c r="E2069" s="80"/>
      <c r="F2069" s="80"/>
      <c r="G2069" s="16" t="s">
        <v>2208</v>
      </c>
    </row>
    <row r="2070" spans="1:7" ht="12.6" customHeight="1" x14ac:dyDescent="0.3">
      <c r="A2070" s="80"/>
      <c r="B2070" s="80"/>
      <c r="C2070" s="80"/>
      <c r="D2070" s="80"/>
      <c r="E2070" s="80"/>
      <c r="F2070" s="80"/>
      <c r="G2070" s="16" t="s">
        <v>1324</v>
      </c>
    </row>
    <row r="2071" spans="1:7" ht="12.6" customHeight="1" x14ac:dyDescent="0.3">
      <c r="A2071" s="70"/>
      <c r="B2071" s="79" t="s">
        <v>2146</v>
      </c>
      <c r="C2071" s="80"/>
      <c r="D2071" s="80"/>
      <c r="E2071" s="80"/>
      <c r="F2071" s="80"/>
      <c r="G2071" s="16" t="s">
        <v>2145</v>
      </c>
    </row>
    <row r="2072" spans="1:7" ht="12.6" customHeight="1" x14ac:dyDescent="0.3">
      <c r="A2072" s="80"/>
      <c r="B2072" s="80"/>
      <c r="C2072" s="80"/>
      <c r="D2072" s="80"/>
      <c r="E2072" s="80"/>
      <c r="F2072" s="80"/>
      <c r="G2072" s="16" t="s">
        <v>1324</v>
      </c>
    </row>
    <row r="2073" spans="1:7" ht="12.6" customHeight="1" x14ac:dyDescent="0.3">
      <c r="A2073" s="70"/>
      <c r="B2073" s="79" t="s">
        <v>2211</v>
      </c>
      <c r="C2073" s="80"/>
      <c r="D2073" s="80"/>
      <c r="E2073" s="80"/>
      <c r="F2073" s="80"/>
      <c r="G2073" s="16" t="s">
        <v>2210</v>
      </c>
    </row>
    <row r="2074" spans="1:7" ht="12.6" customHeight="1" x14ac:dyDescent="0.3">
      <c r="A2074" s="80"/>
      <c r="B2074" s="80"/>
      <c r="C2074" s="80"/>
      <c r="D2074" s="80"/>
      <c r="E2074" s="80"/>
      <c r="F2074" s="80"/>
      <c r="G2074" s="16" t="s">
        <v>1324</v>
      </c>
    </row>
    <row r="2075" spans="1:7" ht="12.6" customHeight="1" x14ac:dyDescent="0.3">
      <c r="A2075" s="70"/>
      <c r="B2075" s="79" t="s">
        <v>1409</v>
      </c>
      <c r="C2075" s="80"/>
      <c r="D2075" s="80"/>
      <c r="E2075" s="80"/>
      <c r="F2075" s="80"/>
      <c r="G2075" s="16" t="s">
        <v>1922</v>
      </c>
    </row>
    <row r="2076" spans="1:7" ht="12.6" customHeight="1" x14ac:dyDescent="0.3">
      <c r="A2076" s="80"/>
      <c r="B2076" s="80"/>
      <c r="C2076" s="80"/>
      <c r="D2076" s="80"/>
      <c r="E2076" s="80"/>
      <c r="F2076" s="80"/>
      <c r="G2076" s="16" t="s">
        <v>1324</v>
      </c>
    </row>
    <row r="2077" spans="1:7" ht="12.6" customHeight="1" x14ac:dyDescent="0.3">
      <c r="A2077" s="70"/>
      <c r="B2077" s="79" t="s">
        <v>2212</v>
      </c>
      <c r="C2077" s="80"/>
      <c r="D2077" s="80"/>
      <c r="E2077" s="80"/>
      <c r="F2077" s="80"/>
      <c r="G2077" s="16" t="s">
        <v>2149</v>
      </c>
    </row>
    <row r="2078" spans="1:7" ht="12.6" customHeight="1" x14ac:dyDescent="0.3">
      <c r="A2078" s="80"/>
      <c r="B2078" s="80"/>
      <c r="C2078" s="80"/>
      <c r="D2078" s="80"/>
      <c r="E2078" s="80"/>
      <c r="F2078" s="80"/>
      <c r="G2078" s="16" t="s">
        <v>1324</v>
      </c>
    </row>
    <row r="2079" spans="1:7" ht="12.6" customHeight="1" x14ac:dyDescent="0.3">
      <c r="A2079" s="70"/>
      <c r="B2079" s="79" t="s">
        <v>2152</v>
      </c>
      <c r="C2079" s="80"/>
      <c r="D2079" s="80"/>
      <c r="E2079" s="80"/>
      <c r="F2079" s="80"/>
      <c r="G2079" s="16" t="s">
        <v>2151</v>
      </c>
    </row>
    <row r="2080" spans="1:7" ht="12.6" customHeight="1" x14ac:dyDescent="0.3">
      <c r="A2080" s="80"/>
      <c r="B2080" s="80"/>
      <c r="C2080" s="80"/>
      <c r="D2080" s="80"/>
      <c r="E2080" s="80"/>
      <c r="F2080" s="80"/>
      <c r="G2080" s="16" t="s">
        <v>1324</v>
      </c>
    </row>
    <row r="2081" spans="1:7" ht="12.6" customHeight="1" x14ac:dyDescent="0.3">
      <c r="A2081" s="70"/>
      <c r="B2081" s="79" t="s">
        <v>2214</v>
      </c>
      <c r="C2081" s="80"/>
      <c r="D2081" s="80"/>
      <c r="E2081" s="80"/>
      <c r="F2081" s="80"/>
      <c r="G2081" s="16" t="s">
        <v>2213</v>
      </c>
    </row>
    <row r="2082" spans="1:7" ht="12.6" customHeight="1" x14ac:dyDescent="0.3">
      <c r="A2082" s="80"/>
      <c r="B2082" s="80"/>
      <c r="C2082" s="80"/>
      <c r="D2082" s="80"/>
      <c r="E2082" s="80"/>
      <c r="F2082" s="80"/>
      <c r="G2082" s="16" t="s">
        <v>1324</v>
      </c>
    </row>
    <row r="2083" spans="1:7" ht="12.6" customHeight="1" x14ac:dyDescent="0.3">
      <c r="A2083" s="70"/>
      <c r="B2083" s="79" t="s">
        <v>2156</v>
      </c>
      <c r="C2083" s="80"/>
      <c r="D2083" s="80"/>
      <c r="E2083" s="80"/>
      <c r="F2083" s="80"/>
      <c r="G2083" s="16" t="s">
        <v>2155</v>
      </c>
    </row>
    <row r="2084" spans="1:7" ht="12.6" customHeight="1" x14ac:dyDescent="0.3">
      <c r="A2084" s="80"/>
      <c r="B2084" s="80"/>
      <c r="C2084" s="80"/>
      <c r="D2084" s="80"/>
      <c r="E2084" s="80"/>
      <c r="F2084" s="80"/>
      <c r="G2084" s="16" t="s">
        <v>1324</v>
      </c>
    </row>
    <row r="2085" spans="1:7" ht="12.6" customHeight="1" x14ac:dyDescent="0.3">
      <c r="A2085" s="70"/>
      <c r="B2085" s="79" t="s">
        <v>2158</v>
      </c>
      <c r="C2085" s="80"/>
      <c r="D2085" s="80"/>
      <c r="E2085" s="80"/>
      <c r="F2085" s="80"/>
      <c r="G2085" s="16" t="s">
        <v>2157</v>
      </c>
    </row>
    <row r="2086" spans="1:7" ht="12.6" customHeight="1" x14ac:dyDescent="0.3">
      <c r="A2086" s="80"/>
      <c r="B2086" s="80"/>
      <c r="C2086" s="80"/>
      <c r="D2086" s="80"/>
      <c r="E2086" s="80"/>
      <c r="F2086" s="80"/>
      <c r="G2086" s="16" t="s">
        <v>1324</v>
      </c>
    </row>
    <row r="2087" spans="1:7" ht="12.6" customHeight="1" x14ac:dyDescent="0.3">
      <c r="A2087" s="70"/>
      <c r="B2087" s="79" t="s">
        <v>2160</v>
      </c>
      <c r="C2087" s="80"/>
      <c r="D2087" s="80"/>
      <c r="E2087" s="80"/>
      <c r="F2087" s="80"/>
      <c r="G2087" s="16" t="s">
        <v>2159</v>
      </c>
    </row>
    <row r="2088" spans="1:7" ht="12.6" customHeight="1" x14ac:dyDescent="0.3">
      <c r="A2088" s="80"/>
      <c r="B2088" s="80"/>
      <c r="C2088" s="80"/>
      <c r="D2088" s="80"/>
      <c r="E2088" s="80"/>
      <c r="F2088" s="80"/>
      <c r="G2088" s="16" t="s">
        <v>1324</v>
      </c>
    </row>
    <row r="2089" spans="1:7" ht="12.6" customHeight="1" x14ac:dyDescent="0.3">
      <c r="A2089" s="70"/>
      <c r="B2089" s="79" t="s">
        <v>2216</v>
      </c>
      <c r="C2089" s="80"/>
      <c r="D2089" s="80"/>
      <c r="E2089" s="80"/>
      <c r="F2089" s="80"/>
      <c r="G2089" s="16" t="s">
        <v>2215</v>
      </c>
    </row>
    <row r="2090" spans="1:7" ht="12.6" customHeight="1" x14ac:dyDescent="0.3">
      <c r="A2090" s="80"/>
      <c r="B2090" s="80"/>
      <c r="C2090" s="80"/>
      <c r="D2090" s="80"/>
      <c r="E2090" s="80"/>
      <c r="F2090" s="80"/>
      <c r="G2090" s="16" t="s">
        <v>1327</v>
      </c>
    </row>
    <row r="2091" spans="1:7" ht="12.6" customHeight="1" x14ac:dyDescent="0.3">
      <c r="A2091" s="70"/>
      <c r="B2091" s="79" t="s">
        <v>2164</v>
      </c>
      <c r="C2091" s="80"/>
      <c r="D2091" s="80"/>
      <c r="E2091" s="80"/>
      <c r="F2091" s="80"/>
      <c r="G2091" s="16" t="s">
        <v>2163</v>
      </c>
    </row>
    <row r="2092" spans="1:7" ht="12.6" customHeight="1" x14ac:dyDescent="0.3">
      <c r="A2092" s="80"/>
      <c r="B2092" s="80"/>
      <c r="C2092" s="80"/>
      <c r="D2092" s="80"/>
      <c r="E2092" s="80"/>
      <c r="F2092" s="80"/>
      <c r="G2092" s="16" t="s">
        <v>1324</v>
      </c>
    </row>
    <row r="2093" spans="1:7" ht="12.6" customHeight="1" x14ac:dyDescent="0.3">
      <c r="A2093" s="70"/>
      <c r="B2093" s="79" t="s">
        <v>2217</v>
      </c>
      <c r="C2093" s="80"/>
      <c r="D2093" s="80"/>
      <c r="E2093" s="80"/>
      <c r="F2093" s="80"/>
      <c r="G2093" s="16" t="s">
        <v>2165</v>
      </c>
    </row>
    <row r="2094" spans="1:7" ht="12.6" customHeight="1" x14ac:dyDescent="0.3">
      <c r="A2094" s="80"/>
      <c r="B2094" s="80"/>
      <c r="C2094" s="80"/>
      <c r="D2094" s="80"/>
      <c r="E2094" s="80"/>
      <c r="F2094" s="80"/>
      <c r="G2094" s="16" t="s">
        <v>1324</v>
      </c>
    </row>
    <row r="2095" spans="1:7" ht="12.6" customHeight="1" x14ac:dyDescent="0.3">
      <c r="A2095" s="70"/>
      <c r="B2095" s="79" t="s">
        <v>2219</v>
      </c>
      <c r="C2095" s="80"/>
      <c r="D2095" s="80"/>
      <c r="E2095" s="80"/>
      <c r="F2095" s="80"/>
      <c r="G2095" s="16" t="s">
        <v>2218</v>
      </c>
    </row>
    <row r="2096" spans="1:7" ht="12.6" customHeight="1" x14ac:dyDescent="0.3">
      <c r="A2096" s="80"/>
      <c r="B2096" s="80"/>
      <c r="C2096" s="80"/>
      <c r="D2096" s="80"/>
      <c r="E2096" s="80"/>
      <c r="F2096" s="80"/>
      <c r="G2096" s="16" t="s">
        <v>1324</v>
      </c>
    </row>
    <row r="2097" spans="1:25" ht="12.6" customHeight="1" x14ac:dyDescent="0.3">
      <c r="A2097" s="70" t="s">
        <v>1991</v>
      </c>
      <c r="B2097" s="101" t="str">
        <f>"  노 무 비  :   "&amp;TEXT(I2097,"#,##0"&amp;IF(I2097&lt;&gt;INT(I2097),".###",""))&amp;" / Q = "&amp;TEXT(C2097,"#,##0.0")&amp;""</f>
        <v xml:space="preserve">  노 무 비  :   55,700 / Q = 13,486.6</v>
      </c>
      <c r="C2097" s="103">
        <f>E2097+D2097+F2097</f>
        <v>13486.6</v>
      </c>
      <c r="D2097" s="103">
        <f>IF(H2097=0,0,ROUNDDOWN(J2097*H2097,1))</f>
        <v>13486.6</v>
      </c>
      <c r="E2097" s="103">
        <f>IF(H2097=0,0,ROUNDDOWN(K2097*H2097,1))</f>
        <v>0</v>
      </c>
      <c r="F2097" s="103">
        <f>IF(H2097=0,0,ROUNDDOWN(L2097*H2097,1))</f>
        <v>0</v>
      </c>
      <c r="G2097" s="16" t="s">
        <v>2220</v>
      </c>
      <c r="H2097" s="108">
        <v>0.24213075061539999</v>
      </c>
      <c r="I2097" s="109">
        <f>K2097+J2097+L2097</f>
        <v>55700</v>
      </c>
      <c r="J2097" s="39">
        <f>중기목록표!F13</f>
        <v>55700</v>
      </c>
      <c r="M2097" s="20" t="s">
        <v>1992</v>
      </c>
      <c r="N2097" s="20" t="s">
        <v>1999</v>
      </c>
      <c r="X2097" s="110" t="str">
        <f>중기목록표!B13&amp;" / "&amp;중기목록표!C13</f>
        <v>덤프트럭15ton(암) / 할증율:1.25</v>
      </c>
      <c r="Y2097" s="19" t="str">
        <f ca="1">HYPERLINK("#"&amp;중기목록표!J2&amp;"!A"&amp;ROW(중기목록표!A13),"중기   10 →")</f>
        <v>중기   10 →</v>
      </c>
    </row>
    <row r="2098" spans="1:25" ht="12.6" customHeight="1" x14ac:dyDescent="0.3">
      <c r="A2098" s="80"/>
      <c r="B2098" s="80"/>
      <c r="C2098" s="80"/>
      <c r="D2098" s="80"/>
      <c r="E2098" s="80"/>
      <c r="F2098" s="80"/>
      <c r="G2098" s="16" t="s">
        <v>1324</v>
      </c>
    </row>
    <row r="2099" spans="1:25" ht="12.6" customHeight="1" x14ac:dyDescent="0.3">
      <c r="A2099" s="70" t="s">
        <v>1994</v>
      </c>
      <c r="B2099" s="101" t="str">
        <f>"  재 료 비  :   "&amp;TEXT(I2099,"#,##0"&amp;IF(I2099&lt;&gt;INT(I2099),".###",""))&amp;" / Q = "&amp;TEXT(C2099,"#,##0.0")&amp;""</f>
        <v xml:space="preserve">  재 료 비  :   27,910 / Q = 6,757.8</v>
      </c>
      <c r="C2099" s="103">
        <f>E2099+D2099+F2099</f>
        <v>6757.8</v>
      </c>
      <c r="D2099" s="103">
        <f>IF(H2099=0,0,ROUNDDOWN(J2099*H2099,1))</f>
        <v>0</v>
      </c>
      <c r="E2099" s="103">
        <f>IF(H2099=0,0,ROUNDDOWN(K2099*H2099,1))</f>
        <v>6757.8</v>
      </c>
      <c r="F2099" s="103">
        <f>IF(H2099=0,0,ROUNDDOWN(L2099*H2099,1))</f>
        <v>0</v>
      </c>
      <c r="G2099" s="16" t="s">
        <v>2221</v>
      </c>
      <c r="H2099" s="108">
        <v>0.24213075061539999</v>
      </c>
      <c r="I2099" s="109">
        <f>K2099+J2099+L2099</f>
        <v>27910</v>
      </c>
      <c r="K2099" s="39">
        <f>중기목록표!G13</f>
        <v>27910</v>
      </c>
      <c r="M2099" s="20" t="s">
        <v>1992</v>
      </c>
      <c r="N2099" s="20" t="s">
        <v>1999</v>
      </c>
      <c r="X2099" s="110" t="str">
        <f>중기목록표!B13&amp;" / "&amp;중기목록표!C13</f>
        <v>덤프트럭15ton(암) / 할증율:1.25</v>
      </c>
      <c r="Y2099" s="19" t="str">
        <f ca="1">HYPERLINK("#"&amp;중기목록표!J2&amp;"!A"&amp;ROW(중기목록표!A13),"중기   10 →")</f>
        <v>중기   10 →</v>
      </c>
    </row>
    <row r="2100" spans="1:25" ht="12.6" customHeight="1" x14ac:dyDescent="0.3">
      <c r="A2100" s="80"/>
      <c r="B2100" s="80"/>
      <c r="C2100" s="80"/>
      <c r="D2100" s="80"/>
      <c r="E2100" s="80"/>
      <c r="F2100" s="80"/>
      <c r="G2100" s="16" t="s">
        <v>1324</v>
      </c>
    </row>
    <row r="2101" spans="1:25" ht="12.6" customHeight="1" x14ac:dyDescent="0.3">
      <c r="A2101" s="70" t="s">
        <v>1996</v>
      </c>
      <c r="B2101" s="101" t="str">
        <f>"  경    비  :   "&amp;TEXT(I2101,"#,##0"&amp;IF(I2101&lt;&gt;INT(I2101),".###",""))&amp;" / Q = "&amp;TEXT(C2101,"#,##0.0")&amp;""</f>
        <v xml:space="preserve">  경    비  :   23,077 / Q = 5,587.6</v>
      </c>
      <c r="C2101" s="103">
        <f>E2101+D2101+F2101</f>
        <v>5587.6</v>
      </c>
      <c r="D2101" s="103">
        <f>IF(H2101=0,0,ROUNDDOWN(J2101*H2101,1))</f>
        <v>0</v>
      </c>
      <c r="E2101" s="103">
        <f>IF(H2101=0,0,ROUNDDOWN(K2101*H2101,1))</f>
        <v>0</v>
      </c>
      <c r="F2101" s="103">
        <f>IF(H2101=0,0,ROUNDDOWN(L2101*H2101,1))</f>
        <v>5587.6</v>
      </c>
      <c r="G2101" s="16" t="s">
        <v>2222</v>
      </c>
      <c r="H2101" s="108">
        <v>0.24213075061539999</v>
      </c>
      <c r="I2101" s="109">
        <f>K2101+J2101+L2101</f>
        <v>23077</v>
      </c>
      <c r="L2101" s="39">
        <f>중기목록표!H13</f>
        <v>23077</v>
      </c>
      <c r="M2101" s="20" t="s">
        <v>1992</v>
      </c>
      <c r="N2101" s="20" t="s">
        <v>1999</v>
      </c>
      <c r="X2101" s="110" t="str">
        <f>중기목록표!B13&amp;" / "&amp;중기목록표!C13</f>
        <v>덤프트럭15ton(암) / 할증율:1.25</v>
      </c>
      <c r="Y2101" s="19" t="str">
        <f ca="1">HYPERLINK("#"&amp;중기목록표!J2&amp;"!A"&amp;ROW(중기목록표!A13),"중기   10 →")</f>
        <v>중기   10 →</v>
      </c>
    </row>
    <row r="2102" spans="1:25" ht="12.6" customHeight="1" x14ac:dyDescent="0.3">
      <c r="A2102" s="80"/>
      <c r="B2102" s="80"/>
      <c r="C2102" s="80"/>
      <c r="D2102" s="80"/>
      <c r="E2102" s="80"/>
      <c r="F2102" s="80"/>
      <c r="G2102" s="16" t="s">
        <v>1324</v>
      </c>
    </row>
    <row r="2103" spans="1:25" ht="12.6" customHeight="1" x14ac:dyDescent="0.3">
      <c r="A2103" s="70" t="s">
        <v>2173</v>
      </c>
      <c r="B2103" s="101" t="str">
        <f>"                "&amp;TEXT(I2103,"#,##0"&amp;IF(I2103&lt;&gt;INT(I2103),".###",""))&amp;" / Q = "&amp;TEXT(C2103,"#,##0.0")&amp;""</f>
        <v xml:space="preserve">                414 / Q = 100.2</v>
      </c>
      <c r="C2103" s="103">
        <f>E2103+D2103+F2103</f>
        <v>100.2</v>
      </c>
      <c r="D2103" s="103">
        <f>IF(H2103=0,0,ROUNDDOWN(J2103*H2103,1))</f>
        <v>0</v>
      </c>
      <c r="E2103" s="103">
        <f>IF(H2103=0,0,ROUNDDOWN(K2103*H2103,1))</f>
        <v>0</v>
      </c>
      <c r="F2103" s="103">
        <f>IF(H2103=0,0,ROUNDDOWN(L2103*H2103,1))</f>
        <v>100.2</v>
      </c>
      <c r="G2103" s="16" t="s">
        <v>2172</v>
      </c>
      <c r="H2103" s="108">
        <v>0.24213075061539999</v>
      </c>
      <c r="I2103" s="109">
        <f>K2103+J2103+L2103</f>
        <v>414</v>
      </c>
      <c r="L2103" s="39">
        <f>중기목록표!H14</f>
        <v>414</v>
      </c>
      <c r="M2103" s="20" t="s">
        <v>2174</v>
      </c>
      <c r="N2103" s="20" t="s">
        <v>1999</v>
      </c>
      <c r="X2103" s="110" t="str">
        <f>중기목록표!B14&amp;" / "&amp;중기목록표!C14</f>
        <v>덤프자동덮개 / 15톤</v>
      </c>
      <c r="Y2103" s="19" t="str">
        <f ca="1">HYPERLINK("#"&amp;중기목록표!J2&amp;"!A"&amp;ROW(중기목록표!A14),"중기   11 →")</f>
        <v>중기   11 →</v>
      </c>
    </row>
    <row r="2104" spans="1:25" ht="12.6" customHeight="1" x14ac:dyDescent="0.3">
      <c r="A2104" s="80"/>
      <c r="B2104" s="80"/>
      <c r="C2104" s="80"/>
      <c r="D2104" s="80"/>
      <c r="E2104" s="80"/>
      <c r="F2104" s="80"/>
      <c r="G2104" s="16" t="s">
        <v>1324</v>
      </c>
    </row>
    <row r="2105" spans="1:25" ht="12.6" customHeight="1" x14ac:dyDescent="0.3">
      <c r="A2105" s="70"/>
      <c r="B2105" s="79" t="s">
        <v>1998</v>
      </c>
      <c r="C2105" s="106">
        <f>E2105+D2105+F2105</f>
        <v>25932.2</v>
      </c>
      <c r="D2105" s="106">
        <f>SUMIF(N2053:N2104,M2105,D2053:D2104)</f>
        <v>13486.6</v>
      </c>
      <c r="E2105" s="106">
        <f>SUMIF(N2053:N2104,M2105,E2053:E2104)</f>
        <v>6757.8</v>
      </c>
      <c r="F2105" s="106">
        <f>SUMIF(N2053:N2104,M2105,F2053:F2104)</f>
        <v>5687.8</v>
      </c>
      <c r="G2105" s="16" t="s">
        <v>2175</v>
      </c>
      <c r="M2105" s="20" t="s">
        <v>1999</v>
      </c>
    </row>
    <row r="2106" spans="1:25" ht="12.6" customHeight="1" x14ac:dyDescent="0.3">
      <c r="A2106" s="80"/>
      <c r="B2106" s="80"/>
      <c r="C2106" s="107"/>
      <c r="D2106" s="107"/>
      <c r="E2106" s="107"/>
      <c r="F2106" s="107"/>
      <c r="G2106" s="16" t="s">
        <v>1324</v>
      </c>
    </row>
    <row r="2107" spans="1:25" ht="12.6" customHeight="1" x14ac:dyDescent="0.3">
      <c r="A2107" s="70"/>
      <c r="B2107" s="79" t="s">
        <v>2224</v>
      </c>
      <c r="C2107" s="80"/>
      <c r="D2107" s="80"/>
      <c r="E2107" s="80"/>
      <c r="F2107" s="80"/>
      <c r="G2107" s="16" t="s">
        <v>2223</v>
      </c>
    </row>
    <row r="2108" spans="1:25" ht="12.6" customHeight="1" x14ac:dyDescent="0.3">
      <c r="A2108" s="80"/>
      <c r="B2108" s="80"/>
      <c r="C2108" s="80"/>
      <c r="D2108" s="80"/>
      <c r="E2108" s="80"/>
      <c r="F2108" s="80"/>
      <c r="G2108" s="16" t="s">
        <v>1324</v>
      </c>
    </row>
    <row r="2109" spans="1:25" ht="12.6" customHeight="1" x14ac:dyDescent="0.3">
      <c r="A2109" s="70"/>
      <c r="B2109" s="79" t="s">
        <v>2209</v>
      </c>
      <c r="C2109" s="80"/>
      <c r="D2109" s="80"/>
      <c r="E2109" s="80"/>
      <c r="F2109" s="80"/>
      <c r="G2109" s="16" t="s">
        <v>2208</v>
      </c>
    </row>
    <row r="2110" spans="1:25" ht="12.6" customHeight="1" x14ac:dyDescent="0.3">
      <c r="A2110" s="80"/>
      <c r="B2110" s="80"/>
      <c r="C2110" s="80"/>
      <c r="D2110" s="80"/>
      <c r="E2110" s="80"/>
      <c r="F2110" s="80"/>
      <c r="G2110" s="16" t="s">
        <v>1324</v>
      </c>
    </row>
    <row r="2111" spans="1:25" ht="12.6" customHeight="1" x14ac:dyDescent="0.3">
      <c r="A2111" s="70"/>
      <c r="B2111" s="79" t="s">
        <v>2146</v>
      </c>
      <c r="C2111" s="80"/>
      <c r="D2111" s="80"/>
      <c r="E2111" s="80"/>
      <c r="F2111" s="80"/>
      <c r="G2111" s="16" t="s">
        <v>2145</v>
      </c>
    </row>
    <row r="2112" spans="1:25" ht="12.6" customHeight="1" x14ac:dyDescent="0.3">
      <c r="A2112" s="80"/>
      <c r="B2112" s="80"/>
      <c r="C2112" s="80"/>
      <c r="D2112" s="80"/>
      <c r="E2112" s="80"/>
      <c r="F2112" s="80"/>
      <c r="G2112" s="16" t="s">
        <v>1324</v>
      </c>
    </row>
    <row r="2113" spans="1:7" ht="12.6" customHeight="1" x14ac:dyDescent="0.3">
      <c r="A2113" s="70"/>
      <c r="B2113" s="79" t="s">
        <v>2226</v>
      </c>
      <c r="C2113" s="80"/>
      <c r="D2113" s="80"/>
      <c r="E2113" s="80"/>
      <c r="F2113" s="80"/>
      <c r="G2113" s="16" t="s">
        <v>2225</v>
      </c>
    </row>
    <row r="2114" spans="1:7" ht="12.6" customHeight="1" x14ac:dyDescent="0.3">
      <c r="A2114" s="80"/>
      <c r="B2114" s="80"/>
      <c r="C2114" s="80"/>
      <c r="D2114" s="80"/>
      <c r="E2114" s="80"/>
      <c r="F2114" s="80"/>
      <c r="G2114" s="16" t="s">
        <v>1324</v>
      </c>
    </row>
    <row r="2115" spans="1:7" ht="12.6" customHeight="1" x14ac:dyDescent="0.3">
      <c r="A2115" s="70"/>
      <c r="B2115" s="79" t="s">
        <v>1409</v>
      </c>
      <c r="C2115" s="80"/>
      <c r="D2115" s="80"/>
      <c r="E2115" s="80"/>
      <c r="F2115" s="80"/>
      <c r="G2115" s="16" t="s">
        <v>1922</v>
      </c>
    </row>
    <row r="2116" spans="1:7" ht="12.6" customHeight="1" x14ac:dyDescent="0.3">
      <c r="A2116" s="80"/>
      <c r="B2116" s="80"/>
      <c r="C2116" s="80"/>
      <c r="D2116" s="80"/>
      <c r="E2116" s="80"/>
      <c r="F2116" s="80"/>
      <c r="G2116" s="16" t="s">
        <v>1324</v>
      </c>
    </row>
    <row r="2117" spans="1:7" ht="12.6" customHeight="1" x14ac:dyDescent="0.3">
      <c r="A2117" s="70"/>
      <c r="B2117" s="79" t="s">
        <v>2227</v>
      </c>
      <c r="C2117" s="80"/>
      <c r="D2117" s="80"/>
      <c r="E2117" s="80"/>
      <c r="F2117" s="80"/>
      <c r="G2117" s="16" t="s">
        <v>2149</v>
      </c>
    </row>
    <row r="2118" spans="1:7" ht="12.6" customHeight="1" x14ac:dyDescent="0.3">
      <c r="A2118" s="80"/>
      <c r="B2118" s="80"/>
      <c r="C2118" s="80"/>
      <c r="D2118" s="80"/>
      <c r="E2118" s="80"/>
      <c r="F2118" s="80"/>
      <c r="G2118" s="16" t="s">
        <v>1324</v>
      </c>
    </row>
    <row r="2119" spans="1:7" ht="12.6" customHeight="1" x14ac:dyDescent="0.3">
      <c r="A2119" s="70"/>
      <c r="B2119" s="79" t="s">
        <v>2152</v>
      </c>
      <c r="C2119" s="80"/>
      <c r="D2119" s="80"/>
      <c r="E2119" s="80"/>
      <c r="F2119" s="80"/>
      <c r="G2119" s="16" t="s">
        <v>2151</v>
      </c>
    </row>
    <row r="2120" spans="1:7" ht="12.6" customHeight="1" x14ac:dyDescent="0.3">
      <c r="A2120" s="80"/>
      <c r="B2120" s="80"/>
      <c r="C2120" s="80"/>
      <c r="D2120" s="80"/>
      <c r="E2120" s="80"/>
      <c r="F2120" s="80"/>
      <c r="G2120" s="16" t="s">
        <v>1324</v>
      </c>
    </row>
    <row r="2121" spans="1:7" ht="12.6" customHeight="1" x14ac:dyDescent="0.3">
      <c r="A2121" s="70"/>
      <c r="B2121" s="79" t="s">
        <v>2228</v>
      </c>
      <c r="C2121" s="80"/>
      <c r="D2121" s="80"/>
      <c r="E2121" s="80"/>
      <c r="F2121" s="80"/>
      <c r="G2121" s="16" t="s">
        <v>2213</v>
      </c>
    </row>
    <row r="2122" spans="1:7" ht="12.6" customHeight="1" x14ac:dyDescent="0.3">
      <c r="A2122" s="80"/>
      <c r="B2122" s="80"/>
      <c r="C2122" s="80"/>
      <c r="D2122" s="80"/>
      <c r="E2122" s="80"/>
      <c r="F2122" s="80"/>
      <c r="G2122" s="16" t="s">
        <v>1324</v>
      </c>
    </row>
    <row r="2123" spans="1:7" ht="12.6" customHeight="1" x14ac:dyDescent="0.3">
      <c r="A2123" s="70"/>
      <c r="B2123" s="79" t="s">
        <v>2156</v>
      </c>
      <c r="C2123" s="80"/>
      <c r="D2123" s="80"/>
      <c r="E2123" s="80"/>
      <c r="F2123" s="80"/>
      <c r="G2123" s="16" t="s">
        <v>2155</v>
      </c>
    </row>
    <row r="2124" spans="1:7" ht="12.6" customHeight="1" x14ac:dyDescent="0.3">
      <c r="A2124" s="80"/>
      <c r="B2124" s="80"/>
      <c r="C2124" s="80"/>
      <c r="D2124" s="80"/>
      <c r="E2124" s="80"/>
      <c r="F2124" s="80"/>
      <c r="G2124" s="16" t="s">
        <v>1324</v>
      </c>
    </row>
    <row r="2125" spans="1:7" ht="12.6" customHeight="1" x14ac:dyDescent="0.3">
      <c r="A2125" s="70"/>
      <c r="B2125" s="79" t="s">
        <v>2158</v>
      </c>
      <c r="C2125" s="80"/>
      <c r="D2125" s="80"/>
      <c r="E2125" s="80"/>
      <c r="F2125" s="80"/>
      <c r="G2125" s="16" t="s">
        <v>2157</v>
      </c>
    </row>
    <row r="2126" spans="1:7" ht="12.6" customHeight="1" x14ac:dyDescent="0.3">
      <c r="A2126" s="80"/>
      <c r="B2126" s="80"/>
      <c r="C2126" s="80"/>
      <c r="D2126" s="80"/>
      <c r="E2126" s="80"/>
      <c r="F2126" s="80"/>
      <c r="G2126" s="16" t="s">
        <v>1324</v>
      </c>
    </row>
    <row r="2127" spans="1:7" ht="12.6" customHeight="1" x14ac:dyDescent="0.3">
      <c r="A2127" s="70"/>
      <c r="B2127" s="79" t="s">
        <v>2160</v>
      </c>
      <c r="C2127" s="80"/>
      <c r="D2127" s="80"/>
      <c r="E2127" s="80"/>
      <c r="F2127" s="80"/>
      <c r="G2127" s="16" t="s">
        <v>2159</v>
      </c>
    </row>
    <row r="2128" spans="1:7" ht="12.6" customHeight="1" x14ac:dyDescent="0.3">
      <c r="A2128" s="80"/>
      <c r="B2128" s="80"/>
      <c r="C2128" s="80"/>
      <c r="D2128" s="80"/>
      <c r="E2128" s="80"/>
      <c r="F2128" s="80"/>
      <c r="G2128" s="16" t="s">
        <v>1324</v>
      </c>
    </row>
    <row r="2129" spans="1:25" ht="12.6" customHeight="1" x14ac:dyDescent="0.3">
      <c r="A2129" s="70"/>
      <c r="B2129" s="79" t="s">
        <v>2216</v>
      </c>
      <c r="C2129" s="80"/>
      <c r="D2129" s="80"/>
      <c r="E2129" s="80"/>
      <c r="F2129" s="80"/>
      <c r="G2129" s="16" t="s">
        <v>2215</v>
      </c>
    </row>
    <row r="2130" spans="1:25" ht="12.6" customHeight="1" x14ac:dyDescent="0.3">
      <c r="A2130" s="80"/>
      <c r="B2130" s="80"/>
      <c r="C2130" s="80"/>
      <c r="D2130" s="80"/>
      <c r="E2130" s="80"/>
      <c r="F2130" s="80"/>
      <c r="G2130" s="16" t="s">
        <v>1327</v>
      </c>
    </row>
    <row r="2131" spans="1:25" ht="12.6" customHeight="1" x14ac:dyDescent="0.3">
      <c r="A2131" s="70"/>
      <c r="B2131" s="79" t="s">
        <v>2164</v>
      </c>
      <c r="C2131" s="80"/>
      <c r="D2131" s="80"/>
      <c r="E2131" s="80"/>
      <c r="F2131" s="80"/>
      <c r="G2131" s="16" t="s">
        <v>2163</v>
      </c>
    </row>
    <row r="2132" spans="1:25" ht="12.6" customHeight="1" x14ac:dyDescent="0.3">
      <c r="A2132" s="80"/>
      <c r="B2132" s="80"/>
      <c r="C2132" s="80"/>
      <c r="D2132" s="80"/>
      <c r="E2132" s="80"/>
      <c r="F2132" s="80"/>
      <c r="G2132" s="16" t="s">
        <v>1324</v>
      </c>
    </row>
    <row r="2133" spans="1:25" ht="12.6" customHeight="1" x14ac:dyDescent="0.3">
      <c r="A2133" s="70"/>
      <c r="B2133" s="79" t="s">
        <v>2229</v>
      </c>
      <c r="C2133" s="80"/>
      <c r="D2133" s="80"/>
      <c r="E2133" s="80"/>
      <c r="F2133" s="80"/>
      <c r="G2133" s="16" t="s">
        <v>2165</v>
      </c>
    </row>
    <row r="2134" spans="1:25" ht="12.6" customHeight="1" x14ac:dyDescent="0.3">
      <c r="A2134" s="80"/>
      <c r="B2134" s="80"/>
      <c r="C2134" s="80"/>
      <c r="D2134" s="80"/>
      <c r="E2134" s="80"/>
      <c r="F2134" s="80"/>
      <c r="G2134" s="16" t="s">
        <v>1324</v>
      </c>
    </row>
    <row r="2135" spans="1:25" ht="12.6" customHeight="1" x14ac:dyDescent="0.3">
      <c r="A2135" s="70"/>
      <c r="B2135" s="79" t="s">
        <v>2231</v>
      </c>
      <c r="C2135" s="80"/>
      <c r="D2135" s="80"/>
      <c r="E2135" s="80"/>
      <c r="F2135" s="80"/>
      <c r="G2135" s="16" t="s">
        <v>2230</v>
      </c>
    </row>
    <row r="2136" spans="1:25" ht="12.6" customHeight="1" x14ac:dyDescent="0.3">
      <c r="A2136" s="80"/>
      <c r="B2136" s="80"/>
      <c r="C2136" s="80"/>
      <c r="D2136" s="80"/>
      <c r="E2136" s="80"/>
      <c r="F2136" s="80"/>
      <c r="G2136" s="16" t="s">
        <v>1324</v>
      </c>
    </row>
    <row r="2137" spans="1:25" ht="12.6" customHeight="1" x14ac:dyDescent="0.3">
      <c r="A2137" s="70"/>
      <c r="B2137" s="79" t="s">
        <v>2232</v>
      </c>
      <c r="C2137" s="80"/>
      <c r="D2137" s="80"/>
      <c r="E2137" s="80"/>
      <c r="F2137" s="80"/>
      <c r="G2137" s="16" t="s">
        <v>2218</v>
      </c>
    </row>
    <row r="2138" spans="1:25" ht="12.6" customHeight="1" x14ac:dyDescent="0.3">
      <c r="A2138" s="80"/>
      <c r="B2138" s="80"/>
      <c r="C2138" s="80"/>
      <c r="D2138" s="80"/>
      <c r="E2138" s="80"/>
      <c r="F2138" s="80"/>
      <c r="G2138" s="16" t="s">
        <v>1324</v>
      </c>
    </row>
    <row r="2139" spans="1:25" ht="12.6" customHeight="1" x14ac:dyDescent="0.3">
      <c r="A2139" s="70" t="s">
        <v>2185</v>
      </c>
      <c r="B2139" s="101" t="str">
        <f>"  노 무 비  :   "&amp;TEXT(I2139,"#,##0"&amp;IF(I2139&lt;&gt;INT(I2139),".###",""))&amp;" / Q = "&amp;TEXT(C2139,"#,##0.0")&amp;""</f>
        <v xml:space="preserve">  노 무 비  :   55,700 / Q = 8,744.1</v>
      </c>
      <c r="C2139" s="103">
        <f>E2139+D2139+F2139</f>
        <v>8744.1</v>
      </c>
      <c r="D2139" s="103">
        <f>IF(H2139=0,0,ROUNDDOWN(J2139*H2139,1))</f>
        <v>8744.1</v>
      </c>
      <c r="E2139" s="103">
        <f>IF(H2139=0,0,ROUNDDOWN(K2139*H2139,1))</f>
        <v>0</v>
      </c>
      <c r="F2139" s="103">
        <f>IF(H2139=0,0,ROUNDDOWN(L2139*H2139,1))</f>
        <v>0</v>
      </c>
      <c r="G2139" s="16" t="s">
        <v>2184</v>
      </c>
      <c r="H2139" s="108">
        <v>0.1569858712817</v>
      </c>
      <c r="I2139" s="109">
        <f>K2139+J2139+L2139</f>
        <v>55700</v>
      </c>
      <c r="J2139" s="39">
        <f>중기목록표!F22</f>
        <v>55700</v>
      </c>
      <c r="M2139" s="20" t="s">
        <v>2186</v>
      </c>
      <c r="N2139" s="20" t="s">
        <v>1345</v>
      </c>
      <c r="X2139" s="110" t="str">
        <f>중기목록표!B22&amp;" / "&amp;중기목록표!C22</f>
        <v xml:space="preserve">덤프트럭24ton(토사) / </v>
      </c>
      <c r="Y2139" s="19" t="str">
        <f ca="1">HYPERLINK("#"&amp;중기목록표!J2&amp;"!A"&amp;ROW(중기목록표!A22),"중기   19 →")</f>
        <v>중기   19 →</v>
      </c>
    </row>
    <row r="2140" spans="1:25" ht="12.6" customHeight="1" x14ac:dyDescent="0.3">
      <c r="A2140" s="80"/>
      <c r="B2140" s="80"/>
      <c r="C2140" s="80"/>
      <c r="D2140" s="80"/>
      <c r="E2140" s="80"/>
      <c r="F2140" s="80"/>
      <c r="G2140" s="16" t="s">
        <v>1324</v>
      </c>
    </row>
    <row r="2141" spans="1:25" ht="12.6" customHeight="1" x14ac:dyDescent="0.3">
      <c r="A2141" s="70" t="s">
        <v>2188</v>
      </c>
      <c r="B2141" s="101" t="str">
        <f>"  재 료 비  :   "&amp;TEXT(I2141,"#,##0"&amp;IF(I2141&lt;&gt;INT(I2141),".###",""))&amp;" / Q * OH= "&amp;TEXT(C2141,"#,##0.0")&amp;""</f>
        <v xml:space="preserve">  재 료 비  :   40,373 / Q * OH= 5,704.1</v>
      </c>
      <c r="C2141" s="103">
        <f>E2141+D2141+F2141</f>
        <v>5704.1</v>
      </c>
      <c r="D2141" s="103">
        <f>IF(H2141=0,0,ROUNDDOWN(J2141*H2141,1))</f>
        <v>0</v>
      </c>
      <c r="E2141" s="103">
        <f>IF(H2141=0,0,ROUNDDOWN(K2141*H2141,1))</f>
        <v>5704.1</v>
      </c>
      <c r="F2141" s="103">
        <f>IF(H2141=0,0,ROUNDDOWN(L2141*H2141,1))</f>
        <v>0</v>
      </c>
      <c r="G2141" s="16" t="s">
        <v>2233</v>
      </c>
      <c r="H2141" s="108">
        <v>0.14128728415450001</v>
      </c>
      <c r="I2141" s="109">
        <f>K2141+J2141+L2141</f>
        <v>40373</v>
      </c>
      <c r="K2141" s="39">
        <f>중기목록표!G22</f>
        <v>40373</v>
      </c>
      <c r="M2141" s="20" t="s">
        <v>2186</v>
      </c>
      <c r="N2141" s="20" t="s">
        <v>1345</v>
      </c>
      <c r="X2141" s="110" t="str">
        <f>중기목록표!B22&amp;" / "&amp;중기목록표!C22</f>
        <v xml:space="preserve">덤프트럭24ton(토사) / </v>
      </c>
      <c r="Y2141" s="19" t="str">
        <f ca="1">HYPERLINK("#"&amp;중기목록표!J2&amp;"!A"&amp;ROW(중기목록표!A22),"중기   19 →")</f>
        <v>중기   19 →</v>
      </c>
    </row>
    <row r="2142" spans="1:25" ht="12.6" customHeight="1" x14ac:dyDescent="0.3">
      <c r="A2142" s="80"/>
      <c r="B2142" s="80"/>
      <c r="C2142" s="80"/>
      <c r="D2142" s="80"/>
      <c r="E2142" s="80"/>
      <c r="F2142" s="80"/>
      <c r="G2142" s="16" t="s">
        <v>1324</v>
      </c>
    </row>
    <row r="2143" spans="1:25" ht="12.6" customHeight="1" x14ac:dyDescent="0.3">
      <c r="A2143" s="70" t="s">
        <v>2190</v>
      </c>
      <c r="B2143" s="101" t="str">
        <f>"  경    비  :   "&amp;TEXT(I2143,"#,##0"&amp;IF(I2143&lt;&gt;INT(I2143),".###",""))&amp;" / Q = "&amp;TEXT(C2143,"#,##0.0")&amp;""</f>
        <v xml:space="preserve">  경    비  :   31,406 / Q = 4,930.2</v>
      </c>
      <c r="C2143" s="103">
        <f>E2143+D2143+F2143</f>
        <v>4930.2</v>
      </c>
      <c r="D2143" s="103">
        <f>IF(H2143=0,0,ROUNDDOWN(J2143*H2143,1))</f>
        <v>0</v>
      </c>
      <c r="E2143" s="103">
        <f>IF(H2143=0,0,ROUNDDOWN(K2143*H2143,1))</f>
        <v>0</v>
      </c>
      <c r="F2143" s="103">
        <f>IF(H2143=0,0,ROUNDDOWN(L2143*H2143,1))</f>
        <v>4930.2</v>
      </c>
      <c r="G2143" s="16" t="s">
        <v>2189</v>
      </c>
      <c r="H2143" s="108">
        <v>0.1569858712817</v>
      </c>
      <c r="I2143" s="109">
        <f>K2143+J2143+L2143</f>
        <v>31406</v>
      </c>
      <c r="L2143" s="39">
        <f>중기목록표!H22</f>
        <v>31406</v>
      </c>
      <c r="M2143" s="20" t="s">
        <v>2186</v>
      </c>
      <c r="N2143" s="20" t="s">
        <v>1345</v>
      </c>
      <c r="X2143" s="110" t="str">
        <f>중기목록표!B22&amp;" / "&amp;중기목록표!C22</f>
        <v xml:space="preserve">덤프트럭24ton(토사) / </v>
      </c>
      <c r="Y2143" s="19" t="str">
        <f ca="1">HYPERLINK("#"&amp;중기목록표!J2&amp;"!A"&amp;ROW(중기목록표!A22),"중기   19 →")</f>
        <v>중기   19 →</v>
      </c>
    </row>
    <row r="2144" spans="1:25" ht="12.6" customHeight="1" x14ac:dyDescent="0.3">
      <c r="A2144" s="80"/>
      <c r="B2144" s="80"/>
      <c r="C2144" s="80"/>
      <c r="D2144" s="80"/>
      <c r="E2144" s="80"/>
      <c r="F2144" s="80"/>
      <c r="G2144" s="16" t="s">
        <v>1324</v>
      </c>
    </row>
    <row r="2145" spans="1:25" ht="12.6" customHeight="1" x14ac:dyDescent="0.3">
      <c r="A2145" s="70" t="s">
        <v>2192</v>
      </c>
      <c r="B2145" s="101" t="str">
        <f>"                "&amp;TEXT(I2145,"#,##0"&amp;IF(I2145&lt;&gt;INT(I2145),".###",""))&amp;" / Q = "&amp;TEXT(C2145,"#,##0.0")&amp;""</f>
        <v xml:space="preserve">                481 / Q = 75.5</v>
      </c>
      <c r="C2145" s="103">
        <f>E2145+D2145+F2145</f>
        <v>75.5</v>
      </c>
      <c r="D2145" s="103">
        <f>IF(H2145=0,0,ROUNDDOWN(J2145*H2145,1))</f>
        <v>0</v>
      </c>
      <c r="E2145" s="103">
        <f>IF(H2145=0,0,ROUNDDOWN(K2145*H2145,1))</f>
        <v>0</v>
      </c>
      <c r="F2145" s="103">
        <f>IF(H2145=0,0,ROUNDDOWN(L2145*H2145,1))</f>
        <v>75.5</v>
      </c>
      <c r="G2145" s="16" t="s">
        <v>2191</v>
      </c>
      <c r="H2145" s="108">
        <v>0.1569858712817</v>
      </c>
      <c r="I2145" s="109">
        <f>K2145+J2145+L2145</f>
        <v>481</v>
      </c>
      <c r="L2145" s="39">
        <f>중기목록표!H21</f>
        <v>481</v>
      </c>
      <c r="M2145" s="20" t="s">
        <v>2193</v>
      </c>
      <c r="N2145" s="20" t="s">
        <v>1345</v>
      </c>
      <c r="X2145" s="110" t="str">
        <f>중기목록표!B21&amp;" / "&amp;중기목록표!C21</f>
        <v>덤프자동덮개 / 24톤</v>
      </c>
      <c r="Y2145" s="19" t="str">
        <f ca="1">HYPERLINK("#"&amp;중기목록표!J2&amp;"!A"&amp;ROW(중기목록표!A21),"중기   18 →")</f>
        <v>중기   18 →</v>
      </c>
    </row>
    <row r="2146" spans="1:25" ht="12.6" customHeight="1" x14ac:dyDescent="0.3">
      <c r="A2146" s="80"/>
      <c r="B2146" s="80"/>
      <c r="C2146" s="80"/>
      <c r="D2146" s="80"/>
      <c r="E2146" s="80"/>
      <c r="F2146" s="80"/>
      <c r="G2146" s="16" t="s">
        <v>1324</v>
      </c>
    </row>
    <row r="2147" spans="1:25" ht="12.6" customHeight="1" x14ac:dyDescent="0.3">
      <c r="A2147" s="70"/>
      <c r="B2147" s="79" t="s">
        <v>1344</v>
      </c>
      <c r="C2147" s="104">
        <f>E2147+D2147+F2147</f>
        <v>19453.900000000001</v>
      </c>
      <c r="D2147" s="104">
        <f>SUMIF(N2106:N2146,M2147,D2106:D2146)</f>
        <v>8744.1</v>
      </c>
      <c r="E2147" s="104">
        <f>SUMIF(N2106:N2146,M2147,E2106:E2146)</f>
        <v>5704.1</v>
      </c>
      <c r="F2147" s="104">
        <f>SUMIF(N2106:N2146,M2147,F2106:F2146)</f>
        <v>5005.7</v>
      </c>
      <c r="G2147" s="16" t="s">
        <v>1343</v>
      </c>
      <c r="M2147" s="20" t="s">
        <v>1345</v>
      </c>
      <c r="N2147" s="20" t="s">
        <v>1368</v>
      </c>
    </row>
    <row r="2148" spans="1:25" ht="12.6" customHeight="1" x14ac:dyDescent="0.3">
      <c r="A2148" s="80"/>
      <c r="B2148" s="80"/>
      <c r="C2148" s="102"/>
      <c r="D2148" s="102"/>
      <c r="E2148" s="102"/>
      <c r="F2148" s="102"/>
      <c r="G2148" s="16" t="s">
        <v>1324</v>
      </c>
    </row>
    <row r="2149" spans="1:25" ht="12.6" customHeight="1" x14ac:dyDescent="0.3">
      <c r="A2149" s="70"/>
      <c r="B2149" s="79" t="s">
        <v>1171</v>
      </c>
      <c r="C2149" s="104">
        <f>E2149+D2149+F2149</f>
        <v>19453.900000000001</v>
      </c>
      <c r="D2149" s="104">
        <f>SUMIF(N2053:N2148,M2149,D2053:D2148)</f>
        <v>8744.1</v>
      </c>
      <c r="E2149" s="104">
        <f>SUMIF(N2053:N2148,M2149,E2053:E2148)</f>
        <v>5704.1</v>
      </c>
      <c r="F2149" s="104">
        <f>SUMIF(N2053:N2148,M2149,F2053:F2148)</f>
        <v>5005.7</v>
      </c>
      <c r="G2149" s="16" t="s">
        <v>1367</v>
      </c>
      <c r="M2149" s="20" t="s">
        <v>1368</v>
      </c>
      <c r="N2149" s="20" t="s">
        <v>1129</v>
      </c>
    </row>
    <row r="2150" spans="1:25" ht="12.6" customHeight="1" x14ac:dyDescent="0.3">
      <c r="A2150" s="80"/>
      <c r="B2150" s="80"/>
      <c r="C2150" s="102"/>
      <c r="D2150" s="102"/>
      <c r="E2150" s="102"/>
      <c r="F2150" s="102"/>
    </row>
    <row r="2151" spans="1:25" ht="12.6" customHeight="1" x14ac:dyDescent="0.3">
      <c r="A2151" s="80"/>
      <c r="B2151" s="80"/>
      <c r="C2151" s="80"/>
      <c r="D2151" s="80"/>
      <c r="E2151" s="80"/>
      <c r="F2151" s="80"/>
    </row>
    <row r="2152" spans="1:25" ht="12.6" customHeight="1" x14ac:dyDescent="0.3">
      <c r="A2152" s="58"/>
      <c r="B2152" s="58"/>
      <c r="C2152" s="58"/>
      <c r="D2152" s="58"/>
      <c r="E2152" s="58"/>
      <c r="F2152" s="58"/>
    </row>
    <row r="2153" spans="1:25" ht="12.6" customHeight="1" x14ac:dyDescent="0.3">
      <c r="A2153" s="141" t="s">
        <v>2118</v>
      </c>
      <c r="B2153" s="142"/>
      <c r="C2153" s="55">
        <f>E2153+D2153+F2153</f>
        <v>19453</v>
      </c>
      <c r="D2153" s="11">
        <v>0</v>
      </c>
      <c r="E2153" s="12">
        <v>0</v>
      </c>
      <c r="F2153" s="55">
        <f>ROUNDDOWN(SUMIF(N2053:N2149,M2153,E2053:E2149),0)+ROUNDDOWN(SUMIF(N2053:N2149,M2153,D2053:D2149),0)+ROUNDDOWN(SUMIF(N2053:N2149,M2153,F2053:F2149),0)</f>
        <v>19453</v>
      </c>
      <c r="M2153" s="20" t="s">
        <v>1129</v>
      </c>
      <c r="N2153" s="20" t="s">
        <v>1172</v>
      </c>
    </row>
    <row r="2154" spans="1:25" ht="12.6" customHeight="1" x14ac:dyDescent="0.3">
      <c r="A2154" s="141" t="s">
        <v>1173</v>
      </c>
      <c r="B2154" s="142"/>
      <c r="C2154" s="55">
        <f>E2154+D2154+F2154</f>
        <v>17215</v>
      </c>
      <c r="D2154" s="54">
        <f>ROUNDDOWN(D2153*H2154/100,0)</f>
        <v>0</v>
      </c>
      <c r="E2154" s="63">
        <f>ROUNDDOWN(E2153*H2154/100,0)</f>
        <v>0</v>
      </c>
      <c r="F2154" s="55">
        <f>ROUNDDOWN(F2153*H2154/100,0)</f>
        <v>17215</v>
      </c>
      <c r="H2154" s="67">
        <v>88.5</v>
      </c>
      <c r="M2154" s="20" t="s">
        <v>1172</v>
      </c>
    </row>
    <row r="2155" spans="1:25" ht="12.6" customHeight="1" x14ac:dyDescent="0.3">
      <c r="A2155" s="99" t="s">
        <v>292</v>
      </c>
      <c r="B2155" s="100" t="s">
        <v>292</v>
      </c>
      <c r="C2155" s="147">
        <f>C2293</f>
        <v>31382</v>
      </c>
      <c r="D2155" s="147">
        <f>D2293</f>
        <v>0</v>
      </c>
      <c r="E2155" s="147">
        <f>E2293</f>
        <v>0</v>
      </c>
      <c r="F2155" s="147">
        <f>F2293</f>
        <v>31382</v>
      </c>
      <c r="G2155" s="36" t="str">
        <f>HYPERLINK("#G"&amp;ROW(G2259),"_x0005_`BDCOD|D02284_x0007_`POSS|"&amp;ROW(G2157)&amp;"_x0007_`POSE|"&amp;ROW(G2259)&amp;"_x0007_`")</f>
        <v>_x0005_`BDCOD|D02284_x0007_`POSS|2157_x0007_`POSE|2259_x0007_`</v>
      </c>
    </row>
    <row r="2156" spans="1:25" ht="12.6" customHeight="1" x14ac:dyDescent="0.3">
      <c r="A2156" s="85"/>
      <c r="B2156" s="100" t="s">
        <v>291</v>
      </c>
      <c r="C2156" s="137"/>
      <c r="D2156" s="137"/>
      <c r="E2156" s="137"/>
      <c r="F2156" s="137"/>
      <c r="M2156" s="20" t="s">
        <v>290</v>
      </c>
    </row>
    <row r="2157" spans="1:25" ht="12.6" customHeight="1" x14ac:dyDescent="0.3">
      <c r="A2157" s="70"/>
      <c r="B2157" s="79" t="s">
        <v>2235</v>
      </c>
      <c r="C2157" s="102"/>
      <c r="D2157" s="102"/>
      <c r="E2157" s="102"/>
      <c r="F2157" s="102"/>
      <c r="G2157" s="16" t="s">
        <v>2234</v>
      </c>
    </row>
    <row r="2158" spans="1:25" ht="12.6" customHeight="1" x14ac:dyDescent="0.3">
      <c r="A2158" s="80"/>
      <c r="B2158" s="80"/>
      <c r="C2158" s="80"/>
      <c r="D2158" s="80"/>
      <c r="E2158" s="80"/>
      <c r="F2158" s="80"/>
      <c r="G2158" s="16" t="s">
        <v>1324</v>
      </c>
    </row>
    <row r="2159" spans="1:25" ht="12.6" customHeight="1" x14ac:dyDescent="0.3">
      <c r="A2159" s="80"/>
      <c r="B2159" s="80"/>
      <c r="C2159" s="80"/>
      <c r="D2159" s="80"/>
      <c r="E2159" s="80"/>
      <c r="F2159" s="80"/>
      <c r="G2159" s="16" t="s">
        <v>1324</v>
      </c>
    </row>
    <row r="2160" spans="1:25" ht="12.6" customHeight="1" x14ac:dyDescent="0.3">
      <c r="A2160" s="70"/>
      <c r="B2160" s="79" t="s">
        <v>2237</v>
      </c>
      <c r="C2160" s="80"/>
      <c r="D2160" s="80"/>
      <c r="E2160" s="80"/>
      <c r="F2160" s="80"/>
      <c r="G2160" s="16" t="s">
        <v>2236</v>
      </c>
    </row>
    <row r="2161" spans="1:7" ht="12.6" customHeight="1" x14ac:dyDescent="0.3">
      <c r="A2161" s="70"/>
      <c r="B2161" s="79" t="s">
        <v>2239</v>
      </c>
      <c r="C2161" s="80"/>
      <c r="D2161" s="80"/>
      <c r="E2161" s="80"/>
      <c r="F2161" s="80"/>
      <c r="G2161" s="16" t="s">
        <v>2238</v>
      </c>
    </row>
    <row r="2162" spans="1:7" ht="12.6" customHeight="1" x14ac:dyDescent="0.3">
      <c r="A2162" s="70"/>
      <c r="B2162" s="79" t="s">
        <v>2241</v>
      </c>
      <c r="C2162" s="80"/>
      <c r="D2162" s="80"/>
      <c r="E2162" s="80"/>
      <c r="F2162" s="80"/>
      <c r="G2162" s="16" t="s">
        <v>2240</v>
      </c>
    </row>
    <row r="2163" spans="1:7" ht="12.6" customHeight="1" x14ac:dyDescent="0.3">
      <c r="A2163" s="80"/>
      <c r="B2163" s="80"/>
      <c r="C2163" s="80"/>
      <c r="D2163" s="80"/>
      <c r="E2163" s="80"/>
      <c r="F2163" s="80"/>
      <c r="G2163" s="16" t="s">
        <v>1324</v>
      </c>
    </row>
    <row r="2164" spans="1:7" ht="12.6" customHeight="1" x14ac:dyDescent="0.3">
      <c r="A2164" s="80"/>
      <c r="B2164" s="80"/>
      <c r="C2164" s="80"/>
      <c r="D2164" s="80"/>
      <c r="E2164" s="80"/>
      <c r="F2164" s="80"/>
      <c r="G2164" s="16" t="s">
        <v>1324</v>
      </c>
    </row>
    <row r="2165" spans="1:7" ht="12.6" customHeight="1" x14ac:dyDescent="0.3">
      <c r="A2165" s="70"/>
      <c r="B2165" s="79" t="s">
        <v>2243</v>
      </c>
      <c r="C2165" s="80"/>
      <c r="D2165" s="80"/>
      <c r="E2165" s="80"/>
      <c r="F2165" s="80"/>
      <c r="G2165" s="16" t="s">
        <v>2242</v>
      </c>
    </row>
    <row r="2166" spans="1:7" ht="12.6" customHeight="1" x14ac:dyDescent="0.3">
      <c r="A2166" s="80"/>
      <c r="B2166" s="80"/>
      <c r="C2166" s="80"/>
      <c r="D2166" s="80"/>
      <c r="E2166" s="80"/>
      <c r="F2166" s="80"/>
      <c r="G2166" s="16" t="s">
        <v>1324</v>
      </c>
    </row>
    <row r="2167" spans="1:7" ht="12.6" customHeight="1" x14ac:dyDescent="0.3">
      <c r="A2167" s="70"/>
      <c r="B2167" s="79" t="s">
        <v>2245</v>
      </c>
      <c r="C2167" s="80"/>
      <c r="D2167" s="80"/>
      <c r="E2167" s="80"/>
      <c r="F2167" s="80"/>
      <c r="G2167" s="16" t="s">
        <v>2244</v>
      </c>
    </row>
    <row r="2168" spans="1:7" ht="12.6" customHeight="1" x14ac:dyDescent="0.3">
      <c r="A2168" s="80"/>
      <c r="B2168" s="80"/>
      <c r="C2168" s="80"/>
      <c r="D2168" s="80"/>
      <c r="E2168" s="80"/>
      <c r="F2168" s="80"/>
      <c r="G2168" s="16" t="s">
        <v>1324</v>
      </c>
    </row>
    <row r="2169" spans="1:7" ht="12.6" customHeight="1" x14ac:dyDescent="0.3">
      <c r="A2169" s="70"/>
      <c r="B2169" s="79" t="s">
        <v>2247</v>
      </c>
      <c r="C2169" s="80"/>
      <c r="D2169" s="80"/>
      <c r="E2169" s="80"/>
      <c r="F2169" s="80"/>
      <c r="G2169" s="16" t="s">
        <v>2246</v>
      </c>
    </row>
    <row r="2170" spans="1:7" ht="12.6" customHeight="1" x14ac:dyDescent="0.3">
      <c r="A2170" s="80"/>
      <c r="B2170" s="80"/>
      <c r="C2170" s="80"/>
      <c r="D2170" s="80"/>
      <c r="E2170" s="80"/>
      <c r="F2170" s="80"/>
      <c r="G2170" s="16" t="s">
        <v>1324</v>
      </c>
    </row>
    <row r="2171" spans="1:7" ht="12.6" customHeight="1" x14ac:dyDescent="0.3">
      <c r="A2171" s="70"/>
      <c r="B2171" s="79" t="s">
        <v>2249</v>
      </c>
      <c r="C2171" s="80"/>
      <c r="D2171" s="80"/>
      <c r="E2171" s="80"/>
      <c r="F2171" s="80"/>
      <c r="G2171" s="16" t="s">
        <v>2248</v>
      </c>
    </row>
    <row r="2172" spans="1:7" ht="12.6" customHeight="1" x14ac:dyDescent="0.3">
      <c r="A2172" s="80"/>
      <c r="B2172" s="80"/>
      <c r="C2172" s="80"/>
      <c r="D2172" s="80"/>
      <c r="E2172" s="80"/>
      <c r="F2172" s="80"/>
      <c r="G2172" s="16" t="s">
        <v>1324</v>
      </c>
    </row>
    <row r="2173" spans="1:7" ht="12.6" customHeight="1" x14ac:dyDescent="0.3">
      <c r="A2173" s="70"/>
      <c r="B2173" s="79" t="s">
        <v>2251</v>
      </c>
      <c r="C2173" s="80"/>
      <c r="D2173" s="80"/>
      <c r="E2173" s="80"/>
      <c r="F2173" s="80"/>
      <c r="G2173" s="16" t="s">
        <v>2250</v>
      </c>
    </row>
    <row r="2174" spans="1:7" ht="12.6" customHeight="1" x14ac:dyDescent="0.3">
      <c r="A2174" s="80"/>
      <c r="B2174" s="80"/>
      <c r="C2174" s="80"/>
      <c r="D2174" s="80"/>
      <c r="E2174" s="80"/>
      <c r="F2174" s="80"/>
      <c r="G2174" s="16" t="s">
        <v>1324</v>
      </c>
    </row>
    <row r="2175" spans="1:7" ht="12.6" customHeight="1" x14ac:dyDescent="0.3">
      <c r="A2175" s="70"/>
      <c r="B2175" s="79" t="s">
        <v>2253</v>
      </c>
      <c r="C2175" s="80"/>
      <c r="D2175" s="80"/>
      <c r="E2175" s="80"/>
      <c r="F2175" s="80"/>
      <c r="G2175" s="16" t="s">
        <v>2252</v>
      </c>
    </row>
    <row r="2176" spans="1:7" ht="12.6" customHeight="1" x14ac:dyDescent="0.3">
      <c r="A2176" s="80"/>
      <c r="B2176" s="80"/>
      <c r="C2176" s="80"/>
      <c r="D2176" s="80"/>
      <c r="E2176" s="80"/>
      <c r="F2176" s="80"/>
      <c r="G2176" s="16" t="s">
        <v>1324</v>
      </c>
    </row>
    <row r="2177" spans="1:7" ht="12.6" customHeight="1" x14ac:dyDescent="0.3">
      <c r="A2177" s="70"/>
      <c r="B2177" s="79" t="s">
        <v>2255</v>
      </c>
      <c r="C2177" s="80"/>
      <c r="D2177" s="80"/>
      <c r="E2177" s="80"/>
      <c r="F2177" s="80"/>
      <c r="G2177" s="16" t="s">
        <v>2254</v>
      </c>
    </row>
    <row r="2178" spans="1:7" ht="12.6" customHeight="1" x14ac:dyDescent="0.3">
      <c r="A2178" s="80"/>
      <c r="B2178" s="80"/>
      <c r="C2178" s="80"/>
      <c r="D2178" s="80"/>
      <c r="E2178" s="80"/>
      <c r="F2178" s="80"/>
      <c r="G2178" s="16" t="s">
        <v>1324</v>
      </c>
    </row>
    <row r="2179" spans="1:7" ht="12.6" customHeight="1" x14ac:dyDescent="0.3">
      <c r="A2179" s="70"/>
      <c r="B2179" s="79" t="s">
        <v>2146</v>
      </c>
      <c r="C2179" s="80"/>
      <c r="D2179" s="80"/>
      <c r="E2179" s="80"/>
      <c r="F2179" s="80"/>
      <c r="G2179" s="16" t="s">
        <v>2145</v>
      </c>
    </row>
    <row r="2180" spans="1:7" ht="12.6" customHeight="1" x14ac:dyDescent="0.3">
      <c r="A2180" s="80"/>
      <c r="B2180" s="80"/>
      <c r="C2180" s="80"/>
      <c r="D2180" s="80"/>
      <c r="E2180" s="80"/>
      <c r="F2180" s="80"/>
      <c r="G2180" s="16" t="s">
        <v>1324</v>
      </c>
    </row>
    <row r="2181" spans="1:7" ht="12.6" customHeight="1" x14ac:dyDescent="0.3">
      <c r="A2181" s="70"/>
      <c r="B2181" s="79" t="s">
        <v>2257</v>
      </c>
      <c r="C2181" s="80"/>
      <c r="D2181" s="80"/>
      <c r="E2181" s="80"/>
      <c r="F2181" s="80"/>
      <c r="G2181" s="16" t="s">
        <v>2256</v>
      </c>
    </row>
    <row r="2182" spans="1:7" ht="12.6" customHeight="1" x14ac:dyDescent="0.3">
      <c r="A2182" s="80"/>
      <c r="B2182" s="80"/>
      <c r="C2182" s="80"/>
      <c r="D2182" s="80"/>
      <c r="E2182" s="80"/>
      <c r="F2182" s="80"/>
      <c r="G2182" s="16" t="s">
        <v>1324</v>
      </c>
    </row>
    <row r="2183" spans="1:7" ht="12.6" customHeight="1" x14ac:dyDescent="0.3">
      <c r="A2183" s="70"/>
      <c r="B2183" s="79" t="s">
        <v>2259</v>
      </c>
      <c r="C2183" s="80"/>
      <c r="D2183" s="80"/>
      <c r="E2183" s="80"/>
      <c r="F2183" s="80"/>
      <c r="G2183" s="16" t="s">
        <v>2258</v>
      </c>
    </row>
    <row r="2184" spans="1:7" ht="12.6" customHeight="1" x14ac:dyDescent="0.3">
      <c r="A2184" s="80"/>
      <c r="B2184" s="80"/>
      <c r="C2184" s="80"/>
      <c r="D2184" s="80"/>
      <c r="E2184" s="80"/>
      <c r="F2184" s="80"/>
      <c r="G2184" s="16" t="s">
        <v>1324</v>
      </c>
    </row>
    <row r="2185" spans="1:7" ht="12.6" customHeight="1" x14ac:dyDescent="0.3">
      <c r="A2185" s="70"/>
      <c r="B2185" s="79" t="s">
        <v>2261</v>
      </c>
      <c r="C2185" s="80"/>
      <c r="D2185" s="80"/>
      <c r="E2185" s="80"/>
      <c r="F2185" s="80"/>
      <c r="G2185" s="16" t="s">
        <v>2260</v>
      </c>
    </row>
    <row r="2186" spans="1:7" ht="12.6" customHeight="1" x14ac:dyDescent="0.3">
      <c r="A2186" s="80"/>
      <c r="B2186" s="80"/>
      <c r="C2186" s="80"/>
      <c r="D2186" s="80"/>
      <c r="E2186" s="80"/>
      <c r="F2186" s="80"/>
      <c r="G2186" s="16" t="s">
        <v>1324</v>
      </c>
    </row>
    <row r="2187" spans="1:7" ht="12.6" customHeight="1" x14ac:dyDescent="0.3">
      <c r="A2187" s="70"/>
      <c r="B2187" s="79" t="s">
        <v>2263</v>
      </c>
      <c r="C2187" s="80"/>
      <c r="D2187" s="80"/>
      <c r="E2187" s="80"/>
      <c r="F2187" s="80"/>
      <c r="G2187" s="16" t="s">
        <v>2262</v>
      </c>
    </row>
    <row r="2188" spans="1:7" ht="12.6" customHeight="1" x14ac:dyDescent="0.3">
      <c r="A2188" s="80"/>
      <c r="B2188" s="80"/>
      <c r="C2188" s="80"/>
      <c r="D2188" s="80"/>
      <c r="E2188" s="80"/>
      <c r="F2188" s="80"/>
      <c r="G2188" s="16" t="s">
        <v>1324</v>
      </c>
    </row>
    <row r="2189" spans="1:7" ht="12.6" customHeight="1" x14ac:dyDescent="0.3">
      <c r="A2189" s="70"/>
      <c r="B2189" s="79" t="s">
        <v>2264</v>
      </c>
      <c r="C2189" s="80"/>
      <c r="D2189" s="80"/>
      <c r="E2189" s="80"/>
      <c r="F2189" s="80"/>
      <c r="G2189" s="16" t="s">
        <v>2155</v>
      </c>
    </row>
    <row r="2190" spans="1:7" ht="12.6" customHeight="1" x14ac:dyDescent="0.3">
      <c r="A2190" s="80"/>
      <c r="B2190" s="80"/>
      <c r="C2190" s="80"/>
      <c r="D2190" s="80"/>
      <c r="E2190" s="80"/>
      <c r="F2190" s="80"/>
      <c r="G2190" s="16" t="s">
        <v>1324</v>
      </c>
    </row>
    <row r="2191" spans="1:7" ht="12.6" customHeight="1" x14ac:dyDescent="0.3">
      <c r="A2191" s="70"/>
      <c r="B2191" s="79" t="s">
        <v>2266</v>
      </c>
      <c r="C2191" s="80"/>
      <c r="D2191" s="80"/>
      <c r="E2191" s="80"/>
      <c r="F2191" s="80"/>
      <c r="G2191" s="16" t="s">
        <v>2265</v>
      </c>
    </row>
    <row r="2192" spans="1:7" ht="12.6" customHeight="1" x14ac:dyDescent="0.3">
      <c r="A2192" s="80"/>
      <c r="B2192" s="80"/>
      <c r="C2192" s="80"/>
      <c r="D2192" s="80"/>
      <c r="E2192" s="80"/>
      <c r="F2192" s="80"/>
      <c r="G2192" s="16" t="s">
        <v>1324</v>
      </c>
    </row>
    <row r="2193" spans="1:25" ht="12.6" customHeight="1" x14ac:dyDescent="0.3">
      <c r="A2193" s="70"/>
      <c r="B2193" s="79" t="s">
        <v>2268</v>
      </c>
      <c r="C2193" s="80"/>
      <c r="D2193" s="80"/>
      <c r="E2193" s="80"/>
      <c r="F2193" s="80"/>
      <c r="G2193" s="16" t="s">
        <v>2267</v>
      </c>
    </row>
    <row r="2194" spans="1:25" ht="12.6" customHeight="1" x14ac:dyDescent="0.3">
      <c r="A2194" s="80"/>
      <c r="B2194" s="80"/>
      <c r="C2194" s="80"/>
      <c r="D2194" s="80"/>
      <c r="E2194" s="80"/>
      <c r="F2194" s="80"/>
      <c r="G2194" s="16" t="s">
        <v>1324</v>
      </c>
    </row>
    <row r="2195" spans="1:25" ht="12.6" customHeight="1" x14ac:dyDescent="0.3">
      <c r="A2195" s="70"/>
      <c r="B2195" s="79" t="s">
        <v>2270</v>
      </c>
      <c r="C2195" s="80"/>
      <c r="D2195" s="80"/>
      <c r="E2195" s="80"/>
      <c r="F2195" s="80"/>
      <c r="G2195" s="16" t="s">
        <v>2269</v>
      </c>
    </row>
    <row r="2196" spans="1:25" ht="12.6" customHeight="1" x14ac:dyDescent="0.3">
      <c r="A2196" s="80"/>
      <c r="B2196" s="80"/>
      <c r="C2196" s="80"/>
      <c r="D2196" s="80"/>
      <c r="E2196" s="80"/>
      <c r="F2196" s="80"/>
      <c r="G2196" s="16" t="s">
        <v>1327</v>
      </c>
    </row>
    <row r="2197" spans="1:25" ht="12.6" customHeight="1" x14ac:dyDescent="0.3">
      <c r="A2197" s="70"/>
      <c r="B2197" s="79" t="s">
        <v>2164</v>
      </c>
      <c r="C2197" s="80"/>
      <c r="D2197" s="80"/>
      <c r="E2197" s="80"/>
      <c r="F2197" s="80"/>
      <c r="G2197" s="16" t="s">
        <v>2163</v>
      </c>
    </row>
    <row r="2198" spans="1:25" ht="12.6" customHeight="1" x14ac:dyDescent="0.3">
      <c r="A2198" s="80"/>
      <c r="B2198" s="80"/>
      <c r="C2198" s="80"/>
      <c r="D2198" s="80"/>
      <c r="E2198" s="80"/>
      <c r="F2198" s="80"/>
      <c r="G2198" s="16" t="s">
        <v>1324</v>
      </c>
    </row>
    <row r="2199" spans="1:25" ht="12.6" customHeight="1" x14ac:dyDescent="0.3">
      <c r="A2199" s="70"/>
      <c r="B2199" s="79" t="s">
        <v>2271</v>
      </c>
      <c r="C2199" s="80"/>
      <c r="D2199" s="80"/>
      <c r="E2199" s="80"/>
      <c r="F2199" s="80"/>
      <c r="G2199" s="16" t="s">
        <v>2165</v>
      </c>
    </row>
    <row r="2200" spans="1:25" ht="12.6" customHeight="1" x14ac:dyDescent="0.3">
      <c r="A2200" s="80"/>
      <c r="B2200" s="80"/>
      <c r="C2200" s="80"/>
      <c r="D2200" s="80"/>
      <c r="E2200" s="80"/>
      <c r="F2200" s="80"/>
      <c r="G2200" s="16" t="s">
        <v>1324</v>
      </c>
    </row>
    <row r="2201" spans="1:25" ht="12.6" customHeight="1" x14ac:dyDescent="0.3">
      <c r="A2201" s="70"/>
      <c r="B2201" s="79" t="s">
        <v>2273</v>
      </c>
      <c r="C2201" s="80"/>
      <c r="D2201" s="80"/>
      <c r="E2201" s="80"/>
      <c r="F2201" s="80"/>
      <c r="G2201" s="16" t="s">
        <v>2272</v>
      </c>
    </row>
    <row r="2202" spans="1:25" ht="12.6" customHeight="1" x14ac:dyDescent="0.3">
      <c r="A2202" s="80"/>
      <c r="B2202" s="80"/>
      <c r="C2202" s="80"/>
      <c r="D2202" s="80"/>
      <c r="E2202" s="80"/>
      <c r="F2202" s="80"/>
      <c r="G2202" s="16" t="s">
        <v>1324</v>
      </c>
    </row>
    <row r="2203" spans="1:25" ht="12.6" customHeight="1" x14ac:dyDescent="0.3">
      <c r="A2203" s="70" t="s">
        <v>1991</v>
      </c>
      <c r="B2203" s="101" t="str">
        <f>"  노 무 비  :   "&amp;TEXT(I2203,"#,##0"&amp;IF(I2203&lt;&gt;INT(I2203),".###",""))&amp;" / Q = "&amp;TEXT(C2203,"#,##0.0")&amp;""</f>
        <v xml:space="preserve">  노 무 비  :   55,700 / Q = 24,323.1</v>
      </c>
      <c r="C2203" s="103">
        <f>E2203+D2203+F2203</f>
        <v>24323.1</v>
      </c>
      <c r="D2203" s="103">
        <f>IF(H2203=0,0,ROUNDDOWN(J2203*H2203,1))</f>
        <v>24323.1</v>
      </c>
      <c r="E2203" s="103">
        <f>IF(H2203=0,0,ROUNDDOWN(K2203*H2203,1))</f>
        <v>0</v>
      </c>
      <c r="F2203" s="103">
        <f>IF(H2203=0,0,ROUNDDOWN(L2203*H2203,1))</f>
        <v>0</v>
      </c>
      <c r="G2203" s="16" t="s">
        <v>2220</v>
      </c>
      <c r="H2203" s="108">
        <v>0.43668122271749998</v>
      </c>
      <c r="I2203" s="109">
        <f>K2203+J2203+L2203</f>
        <v>55700</v>
      </c>
      <c r="J2203" s="39">
        <f>중기목록표!F13</f>
        <v>55700</v>
      </c>
      <c r="M2203" s="20" t="s">
        <v>1992</v>
      </c>
      <c r="N2203" s="20" t="s">
        <v>1999</v>
      </c>
      <c r="X2203" s="110" t="str">
        <f>중기목록표!B13&amp;" / "&amp;중기목록표!C13</f>
        <v>덤프트럭15ton(암) / 할증율:1.25</v>
      </c>
      <c r="Y2203" s="19" t="str">
        <f ca="1">HYPERLINK("#"&amp;중기목록표!J2&amp;"!A"&amp;ROW(중기목록표!A13),"중기   10 →")</f>
        <v>중기   10 →</v>
      </c>
    </row>
    <row r="2204" spans="1:25" ht="12.6" customHeight="1" x14ac:dyDescent="0.3">
      <c r="A2204" s="80"/>
      <c r="B2204" s="80"/>
      <c r="C2204" s="80"/>
      <c r="D2204" s="80"/>
      <c r="E2204" s="80"/>
      <c r="F2204" s="80"/>
      <c r="G2204" s="16" t="s">
        <v>1324</v>
      </c>
    </row>
    <row r="2205" spans="1:25" ht="12.6" customHeight="1" x14ac:dyDescent="0.3">
      <c r="A2205" s="70" t="s">
        <v>1994</v>
      </c>
      <c r="B2205" s="101" t="str">
        <f>"  재 료 비  :   "&amp;TEXT(I2205,"#,##0"&amp;IF(I2205&lt;&gt;INT(I2205),".###",""))&amp;" / Q = "&amp;TEXT(C2205,"#,##0.0")&amp;""</f>
        <v xml:space="preserve">  재 료 비  :   27,910 / Q = 12,187.7</v>
      </c>
      <c r="C2205" s="103">
        <f>E2205+D2205+F2205</f>
        <v>12187.7</v>
      </c>
      <c r="D2205" s="103">
        <f>IF(H2205=0,0,ROUNDDOWN(J2205*H2205,1))</f>
        <v>0</v>
      </c>
      <c r="E2205" s="103">
        <f>IF(H2205=0,0,ROUNDDOWN(K2205*H2205,1))</f>
        <v>12187.7</v>
      </c>
      <c r="F2205" s="103">
        <f>IF(H2205=0,0,ROUNDDOWN(L2205*H2205,1))</f>
        <v>0</v>
      </c>
      <c r="G2205" s="16" t="s">
        <v>2221</v>
      </c>
      <c r="H2205" s="108">
        <v>0.43668122271749998</v>
      </c>
      <c r="I2205" s="109">
        <f>K2205+J2205+L2205</f>
        <v>27910</v>
      </c>
      <c r="K2205" s="39">
        <f>중기목록표!G13</f>
        <v>27910</v>
      </c>
      <c r="M2205" s="20" t="s">
        <v>1992</v>
      </c>
      <c r="N2205" s="20" t="s">
        <v>1999</v>
      </c>
      <c r="X2205" s="110" t="str">
        <f>중기목록표!B13&amp;" / "&amp;중기목록표!C13</f>
        <v>덤프트럭15ton(암) / 할증율:1.25</v>
      </c>
      <c r="Y2205" s="19" t="str">
        <f ca="1">HYPERLINK("#"&amp;중기목록표!J2&amp;"!A"&amp;ROW(중기목록표!A13),"중기   10 →")</f>
        <v>중기   10 →</v>
      </c>
    </row>
    <row r="2206" spans="1:25" ht="12.6" customHeight="1" x14ac:dyDescent="0.3">
      <c r="A2206" s="80"/>
      <c r="B2206" s="80"/>
      <c r="C2206" s="80"/>
      <c r="D2206" s="80"/>
      <c r="E2206" s="80"/>
      <c r="F2206" s="80"/>
      <c r="G2206" s="16" t="s">
        <v>1324</v>
      </c>
    </row>
    <row r="2207" spans="1:25" ht="12.6" customHeight="1" x14ac:dyDescent="0.3">
      <c r="A2207" s="70" t="s">
        <v>1996</v>
      </c>
      <c r="B2207" s="101" t="str">
        <f>"  경    비  :   "&amp;TEXT(I2207,"#,##0"&amp;IF(I2207&lt;&gt;INT(I2207),".###",""))&amp;" / Q = "&amp;TEXT(C2207,"#,##0.0")&amp;""</f>
        <v xml:space="preserve">  경    비  :   23,077 / Q = 10,077.2</v>
      </c>
      <c r="C2207" s="103">
        <f>E2207+D2207+F2207</f>
        <v>10077.200000000001</v>
      </c>
      <c r="D2207" s="103">
        <f>IF(H2207=0,0,ROUNDDOWN(J2207*H2207,1))</f>
        <v>0</v>
      </c>
      <c r="E2207" s="103">
        <f>IF(H2207=0,0,ROUNDDOWN(K2207*H2207,1))</f>
        <v>0</v>
      </c>
      <c r="F2207" s="103">
        <f>IF(H2207=0,0,ROUNDDOWN(L2207*H2207,1))</f>
        <v>10077.200000000001</v>
      </c>
      <c r="G2207" s="16" t="s">
        <v>2222</v>
      </c>
      <c r="H2207" s="108">
        <v>0.43668122271749998</v>
      </c>
      <c r="I2207" s="109">
        <f>K2207+J2207+L2207</f>
        <v>23077</v>
      </c>
      <c r="L2207" s="39">
        <f>중기목록표!H13</f>
        <v>23077</v>
      </c>
      <c r="M2207" s="20" t="s">
        <v>1992</v>
      </c>
      <c r="N2207" s="20" t="s">
        <v>1999</v>
      </c>
      <c r="X2207" s="110" t="str">
        <f>중기목록표!B13&amp;" / "&amp;중기목록표!C13</f>
        <v>덤프트럭15ton(암) / 할증율:1.25</v>
      </c>
      <c r="Y2207" s="19" t="str">
        <f ca="1">HYPERLINK("#"&amp;중기목록표!J2&amp;"!A"&amp;ROW(중기목록표!A13),"중기   10 →")</f>
        <v>중기   10 →</v>
      </c>
    </row>
    <row r="2208" spans="1:25" ht="12.6" customHeight="1" x14ac:dyDescent="0.3">
      <c r="A2208" s="80"/>
      <c r="B2208" s="80"/>
      <c r="C2208" s="80"/>
      <c r="D2208" s="80"/>
      <c r="E2208" s="80"/>
      <c r="F2208" s="80"/>
      <c r="G2208" s="16" t="s">
        <v>1324</v>
      </c>
    </row>
    <row r="2209" spans="1:25" ht="12.6" customHeight="1" x14ac:dyDescent="0.3">
      <c r="A2209" s="70" t="s">
        <v>2173</v>
      </c>
      <c r="B2209" s="101" t="str">
        <f>"                "&amp;TEXT(I2209,"#,##0"&amp;IF(I2209&lt;&gt;INT(I2209),".###",""))&amp;" / Q = "&amp;TEXT(C2209,"#,##0.0")&amp;""</f>
        <v xml:space="preserve">                414 / Q = 180.7</v>
      </c>
      <c r="C2209" s="103">
        <f>E2209+D2209+F2209</f>
        <v>180.7</v>
      </c>
      <c r="D2209" s="103">
        <f>IF(H2209=0,0,ROUNDDOWN(J2209*H2209,1))</f>
        <v>0</v>
      </c>
      <c r="E2209" s="103">
        <f>IF(H2209=0,0,ROUNDDOWN(K2209*H2209,1))</f>
        <v>0</v>
      </c>
      <c r="F2209" s="103">
        <f>IF(H2209=0,0,ROUNDDOWN(L2209*H2209,1))</f>
        <v>180.7</v>
      </c>
      <c r="G2209" s="16" t="s">
        <v>2172</v>
      </c>
      <c r="H2209" s="108">
        <v>0.43668122271749998</v>
      </c>
      <c r="I2209" s="109">
        <f>K2209+J2209+L2209</f>
        <v>414</v>
      </c>
      <c r="L2209" s="39">
        <f>중기목록표!H14</f>
        <v>414</v>
      </c>
      <c r="M2209" s="20" t="s">
        <v>2174</v>
      </c>
      <c r="N2209" s="20" t="s">
        <v>1999</v>
      </c>
      <c r="X2209" s="110" t="str">
        <f>중기목록표!B14&amp;" / "&amp;중기목록표!C14</f>
        <v>덤프자동덮개 / 15톤</v>
      </c>
      <c r="Y2209" s="19" t="str">
        <f ca="1">HYPERLINK("#"&amp;중기목록표!J2&amp;"!A"&amp;ROW(중기목록표!A14),"중기   11 →")</f>
        <v>중기   11 →</v>
      </c>
    </row>
    <row r="2210" spans="1:25" ht="12.6" customHeight="1" x14ac:dyDescent="0.3">
      <c r="A2210" s="80"/>
      <c r="B2210" s="80"/>
      <c r="C2210" s="80"/>
      <c r="D2210" s="80"/>
      <c r="E2210" s="80"/>
      <c r="F2210" s="80"/>
      <c r="G2210" s="16" t="s">
        <v>1324</v>
      </c>
    </row>
    <row r="2211" spans="1:25" ht="12.6" customHeight="1" x14ac:dyDescent="0.3">
      <c r="A2211" s="70"/>
      <c r="B2211" s="79" t="s">
        <v>1998</v>
      </c>
      <c r="C2211" s="106">
        <f>E2211+D2211+F2211</f>
        <v>46768.700000000004</v>
      </c>
      <c r="D2211" s="106">
        <f>SUMIF(N2157:N2210,M2211,D2157:D2210)</f>
        <v>24323.1</v>
      </c>
      <c r="E2211" s="106">
        <f>SUMIF(N2157:N2210,M2211,E2157:E2210)</f>
        <v>12187.7</v>
      </c>
      <c r="F2211" s="106">
        <f>SUMIF(N2157:N2210,M2211,F2157:F2210)</f>
        <v>10257.900000000001</v>
      </c>
      <c r="G2211" s="16" t="s">
        <v>2175</v>
      </c>
      <c r="M2211" s="20" t="s">
        <v>1999</v>
      </c>
    </row>
    <row r="2212" spans="1:25" ht="12.6" customHeight="1" x14ac:dyDescent="0.3">
      <c r="A2212" s="80"/>
      <c r="B2212" s="80"/>
      <c r="C2212" s="107"/>
      <c r="D2212" s="107"/>
      <c r="E2212" s="107"/>
      <c r="F2212" s="107"/>
      <c r="G2212" s="16" t="s">
        <v>1324</v>
      </c>
    </row>
    <row r="2213" spans="1:25" ht="12.6" customHeight="1" x14ac:dyDescent="0.3">
      <c r="A2213" s="70"/>
      <c r="B2213" s="79" t="s">
        <v>2275</v>
      </c>
      <c r="C2213" s="80"/>
      <c r="D2213" s="80"/>
      <c r="E2213" s="80"/>
      <c r="F2213" s="80"/>
      <c r="G2213" s="16" t="s">
        <v>2274</v>
      </c>
    </row>
    <row r="2214" spans="1:25" ht="12.6" customHeight="1" x14ac:dyDescent="0.3">
      <c r="A2214" s="80"/>
      <c r="B2214" s="80"/>
      <c r="C2214" s="80"/>
      <c r="D2214" s="80"/>
      <c r="E2214" s="80"/>
      <c r="F2214" s="80"/>
      <c r="G2214" s="16" t="s">
        <v>1324</v>
      </c>
    </row>
    <row r="2215" spans="1:25" ht="12.6" customHeight="1" x14ac:dyDescent="0.3">
      <c r="A2215" s="70"/>
      <c r="B2215" s="79" t="s">
        <v>2249</v>
      </c>
      <c r="C2215" s="80"/>
      <c r="D2215" s="80"/>
      <c r="E2215" s="80"/>
      <c r="F2215" s="80"/>
      <c r="G2215" s="16" t="s">
        <v>2248</v>
      </c>
    </row>
    <row r="2216" spans="1:25" ht="12.6" customHeight="1" x14ac:dyDescent="0.3">
      <c r="A2216" s="80"/>
      <c r="B2216" s="80"/>
      <c r="C2216" s="80"/>
      <c r="D2216" s="80"/>
      <c r="E2216" s="80"/>
      <c r="F2216" s="80"/>
      <c r="G2216" s="16" t="s">
        <v>1324</v>
      </c>
    </row>
    <row r="2217" spans="1:25" ht="12.6" customHeight="1" x14ac:dyDescent="0.3">
      <c r="A2217" s="70"/>
      <c r="B2217" s="79" t="s">
        <v>2251</v>
      </c>
      <c r="C2217" s="80"/>
      <c r="D2217" s="80"/>
      <c r="E2217" s="80"/>
      <c r="F2217" s="80"/>
      <c r="G2217" s="16" t="s">
        <v>2250</v>
      </c>
    </row>
    <row r="2218" spans="1:25" ht="12.6" customHeight="1" x14ac:dyDescent="0.3">
      <c r="A2218" s="80"/>
      <c r="B2218" s="80"/>
      <c r="C2218" s="80"/>
      <c r="D2218" s="80"/>
      <c r="E2218" s="80"/>
      <c r="F2218" s="80"/>
      <c r="G2218" s="16" t="s">
        <v>1324</v>
      </c>
    </row>
    <row r="2219" spans="1:25" ht="12.6" customHeight="1" x14ac:dyDescent="0.3">
      <c r="A2219" s="70"/>
      <c r="B2219" s="79" t="s">
        <v>2253</v>
      </c>
      <c r="C2219" s="80"/>
      <c r="D2219" s="80"/>
      <c r="E2219" s="80"/>
      <c r="F2219" s="80"/>
      <c r="G2219" s="16" t="s">
        <v>2252</v>
      </c>
    </row>
    <row r="2220" spans="1:25" ht="12.6" customHeight="1" x14ac:dyDescent="0.3">
      <c r="A2220" s="80"/>
      <c r="B2220" s="80"/>
      <c r="C2220" s="80"/>
      <c r="D2220" s="80"/>
      <c r="E2220" s="80"/>
      <c r="F2220" s="80"/>
      <c r="G2220" s="16" t="s">
        <v>1324</v>
      </c>
    </row>
    <row r="2221" spans="1:25" ht="12.6" customHeight="1" x14ac:dyDescent="0.3">
      <c r="A2221" s="70"/>
      <c r="B2221" s="79" t="s">
        <v>2255</v>
      </c>
      <c r="C2221" s="80"/>
      <c r="D2221" s="80"/>
      <c r="E2221" s="80"/>
      <c r="F2221" s="80"/>
      <c r="G2221" s="16" t="s">
        <v>2254</v>
      </c>
    </row>
    <row r="2222" spans="1:25" ht="12.6" customHeight="1" x14ac:dyDescent="0.3">
      <c r="A2222" s="80"/>
      <c r="B2222" s="80"/>
      <c r="C2222" s="80"/>
      <c r="D2222" s="80"/>
      <c r="E2222" s="80"/>
      <c r="F2222" s="80"/>
      <c r="G2222" s="16" t="s">
        <v>1324</v>
      </c>
    </row>
    <row r="2223" spans="1:25" ht="12.6" customHeight="1" x14ac:dyDescent="0.3">
      <c r="A2223" s="70"/>
      <c r="B2223" s="79" t="s">
        <v>2146</v>
      </c>
      <c r="C2223" s="80"/>
      <c r="D2223" s="80"/>
      <c r="E2223" s="80"/>
      <c r="F2223" s="80"/>
      <c r="G2223" s="16" t="s">
        <v>2145</v>
      </c>
    </row>
    <row r="2224" spans="1:25" ht="12.6" customHeight="1" x14ac:dyDescent="0.3">
      <c r="A2224" s="80"/>
      <c r="B2224" s="80"/>
      <c r="C2224" s="80"/>
      <c r="D2224" s="80"/>
      <c r="E2224" s="80"/>
      <c r="F2224" s="80"/>
      <c r="G2224" s="16" t="s">
        <v>1324</v>
      </c>
    </row>
    <row r="2225" spans="1:7" ht="12.6" customHeight="1" x14ac:dyDescent="0.3">
      <c r="A2225" s="70"/>
      <c r="B2225" s="79" t="s">
        <v>2277</v>
      </c>
      <c r="C2225" s="80"/>
      <c r="D2225" s="80"/>
      <c r="E2225" s="80"/>
      <c r="F2225" s="80"/>
      <c r="G2225" s="16" t="s">
        <v>2276</v>
      </c>
    </row>
    <row r="2226" spans="1:7" ht="12.6" customHeight="1" x14ac:dyDescent="0.3">
      <c r="A2226" s="80"/>
      <c r="B2226" s="80"/>
      <c r="C2226" s="80"/>
      <c r="D2226" s="80"/>
      <c r="E2226" s="80"/>
      <c r="F2226" s="80"/>
      <c r="G2226" s="16" t="s">
        <v>1324</v>
      </c>
    </row>
    <row r="2227" spans="1:7" ht="12.6" customHeight="1" x14ac:dyDescent="0.3">
      <c r="A2227" s="70"/>
      <c r="B2227" s="79" t="s">
        <v>2259</v>
      </c>
      <c r="C2227" s="80"/>
      <c r="D2227" s="80"/>
      <c r="E2227" s="80"/>
      <c r="F2227" s="80"/>
      <c r="G2227" s="16" t="s">
        <v>2258</v>
      </c>
    </row>
    <row r="2228" spans="1:7" ht="12.6" customHeight="1" x14ac:dyDescent="0.3">
      <c r="A2228" s="80"/>
      <c r="B2228" s="80"/>
      <c r="C2228" s="80"/>
      <c r="D2228" s="80"/>
      <c r="E2228" s="80"/>
      <c r="F2228" s="80"/>
      <c r="G2228" s="16" t="s">
        <v>1324</v>
      </c>
    </row>
    <row r="2229" spans="1:7" ht="12.6" customHeight="1" x14ac:dyDescent="0.3">
      <c r="A2229" s="70"/>
      <c r="B2229" s="79" t="s">
        <v>2278</v>
      </c>
      <c r="C2229" s="80"/>
      <c r="D2229" s="80"/>
      <c r="E2229" s="80"/>
      <c r="F2229" s="80"/>
      <c r="G2229" s="16" t="s">
        <v>2260</v>
      </c>
    </row>
    <row r="2230" spans="1:7" ht="12.6" customHeight="1" x14ac:dyDescent="0.3">
      <c r="A2230" s="80"/>
      <c r="B2230" s="80"/>
      <c r="C2230" s="80"/>
      <c r="D2230" s="80"/>
      <c r="E2230" s="80"/>
      <c r="F2230" s="80"/>
      <c r="G2230" s="16" t="s">
        <v>1324</v>
      </c>
    </row>
    <row r="2231" spans="1:7" ht="12.6" customHeight="1" x14ac:dyDescent="0.3">
      <c r="A2231" s="70"/>
      <c r="B2231" s="79" t="s">
        <v>2279</v>
      </c>
      <c r="C2231" s="80"/>
      <c r="D2231" s="80"/>
      <c r="E2231" s="80"/>
      <c r="F2231" s="80"/>
      <c r="G2231" s="16" t="s">
        <v>2262</v>
      </c>
    </row>
    <row r="2232" spans="1:7" ht="12.6" customHeight="1" x14ac:dyDescent="0.3">
      <c r="A2232" s="80"/>
      <c r="B2232" s="80"/>
      <c r="C2232" s="80"/>
      <c r="D2232" s="80"/>
      <c r="E2232" s="80"/>
      <c r="F2232" s="80"/>
      <c r="G2232" s="16" t="s">
        <v>1324</v>
      </c>
    </row>
    <row r="2233" spans="1:7" ht="12.6" customHeight="1" x14ac:dyDescent="0.3">
      <c r="A2233" s="70"/>
      <c r="B2233" s="79" t="s">
        <v>2264</v>
      </c>
      <c r="C2233" s="80"/>
      <c r="D2233" s="80"/>
      <c r="E2233" s="80"/>
      <c r="F2233" s="80"/>
      <c r="G2233" s="16" t="s">
        <v>2155</v>
      </c>
    </row>
    <row r="2234" spans="1:7" ht="12.6" customHeight="1" x14ac:dyDescent="0.3">
      <c r="A2234" s="80"/>
      <c r="B2234" s="80"/>
      <c r="C2234" s="80"/>
      <c r="D2234" s="80"/>
      <c r="E2234" s="80"/>
      <c r="F2234" s="80"/>
      <c r="G2234" s="16" t="s">
        <v>1324</v>
      </c>
    </row>
    <row r="2235" spans="1:7" ht="12.6" customHeight="1" x14ac:dyDescent="0.3">
      <c r="A2235" s="70"/>
      <c r="B2235" s="79" t="s">
        <v>2266</v>
      </c>
      <c r="C2235" s="80"/>
      <c r="D2235" s="80"/>
      <c r="E2235" s="80"/>
      <c r="F2235" s="80"/>
      <c r="G2235" s="16" t="s">
        <v>2265</v>
      </c>
    </row>
    <row r="2236" spans="1:7" ht="12.6" customHeight="1" x14ac:dyDescent="0.3">
      <c r="A2236" s="80"/>
      <c r="B2236" s="80"/>
      <c r="C2236" s="80"/>
      <c r="D2236" s="80"/>
      <c r="E2236" s="80"/>
      <c r="F2236" s="80"/>
      <c r="G2236" s="16" t="s">
        <v>1324</v>
      </c>
    </row>
    <row r="2237" spans="1:7" ht="12.6" customHeight="1" x14ac:dyDescent="0.3">
      <c r="A2237" s="70"/>
      <c r="B2237" s="79" t="s">
        <v>2268</v>
      </c>
      <c r="C2237" s="80"/>
      <c r="D2237" s="80"/>
      <c r="E2237" s="80"/>
      <c r="F2237" s="80"/>
      <c r="G2237" s="16" t="s">
        <v>2267</v>
      </c>
    </row>
    <row r="2238" spans="1:7" ht="12.6" customHeight="1" x14ac:dyDescent="0.3">
      <c r="A2238" s="80"/>
      <c r="B2238" s="80"/>
      <c r="C2238" s="80"/>
      <c r="D2238" s="80"/>
      <c r="E2238" s="80"/>
      <c r="F2238" s="80"/>
      <c r="G2238" s="16" t="s">
        <v>1324</v>
      </c>
    </row>
    <row r="2239" spans="1:7" ht="12.6" customHeight="1" x14ac:dyDescent="0.3">
      <c r="A2239" s="70"/>
      <c r="B2239" s="79" t="s">
        <v>2270</v>
      </c>
      <c r="C2239" s="80"/>
      <c r="D2239" s="80"/>
      <c r="E2239" s="80"/>
      <c r="F2239" s="80"/>
      <c r="G2239" s="16" t="s">
        <v>2269</v>
      </c>
    </row>
    <row r="2240" spans="1:7" ht="12.6" customHeight="1" x14ac:dyDescent="0.3">
      <c r="A2240" s="80"/>
      <c r="B2240" s="80"/>
      <c r="C2240" s="80"/>
      <c r="D2240" s="80"/>
      <c r="E2240" s="80"/>
      <c r="F2240" s="80"/>
      <c r="G2240" s="16" t="s">
        <v>1327</v>
      </c>
    </row>
    <row r="2241" spans="1:25" ht="12.6" customHeight="1" x14ac:dyDescent="0.3">
      <c r="A2241" s="70"/>
      <c r="B2241" s="79" t="s">
        <v>2164</v>
      </c>
      <c r="C2241" s="80"/>
      <c r="D2241" s="80"/>
      <c r="E2241" s="80"/>
      <c r="F2241" s="80"/>
      <c r="G2241" s="16" t="s">
        <v>2163</v>
      </c>
    </row>
    <row r="2242" spans="1:25" ht="12.6" customHeight="1" x14ac:dyDescent="0.3">
      <c r="A2242" s="80"/>
      <c r="B2242" s="80"/>
      <c r="C2242" s="80"/>
      <c r="D2242" s="80"/>
      <c r="E2242" s="80"/>
      <c r="F2242" s="80"/>
      <c r="G2242" s="16" t="s">
        <v>1324</v>
      </c>
    </row>
    <row r="2243" spans="1:25" ht="12.6" customHeight="1" x14ac:dyDescent="0.3">
      <c r="A2243" s="70"/>
      <c r="B2243" s="79" t="s">
        <v>2280</v>
      </c>
      <c r="C2243" s="80"/>
      <c r="D2243" s="80"/>
      <c r="E2243" s="80"/>
      <c r="F2243" s="80"/>
      <c r="G2243" s="16" t="s">
        <v>2165</v>
      </c>
    </row>
    <row r="2244" spans="1:25" ht="12.6" customHeight="1" x14ac:dyDescent="0.3">
      <c r="A2244" s="80"/>
      <c r="B2244" s="80"/>
      <c r="C2244" s="80"/>
      <c r="D2244" s="80"/>
      <c r="E2244" s="80"/>
      <c r="F2244" s="80"/>
      <c r="G2244" s="16" t="s">
        <v>1324</v>
      </c>
    </row>
    <row r="2245" spans="1:25" ht="12.6" customHeight="1" x14ac:dyDescent="0.3">
      <c r="A2245" s="70"/>
      <c r="B2245" s="79" t="s">
        <v>2281</v>
      </c>
      <c r="C2245" s="80"/>
      <c r="D2245" s="80"/>
      <c r="E2245" s="80"/>
      <c r="F2245" s="80"/>
      <c r="G2245" s="16" t="s">
        <v>2230</v>
      </c>
    </row>
    <row r="2246" spans="1:25" ht="12.6" customHeight="1" x14ac:dyDescent="0.3">
      <c r="A2246" s="80"/>
      <c r="B2246" s="80"/>
      <c r="C2246" s="80"/>
      <c r="D2246" s="80"/>
      <c r="E2246" s="80"/>
      <c r="F2246" s="80"/>
      <c r="G2246" s="16" t="s">
        <v>1324</v>
      </c>
    </row>
    <row r="2247" spans="1:25" ht="12.6" customHeight="1" x14ac:dyDescent="0.3">
      <c r="A2247" s="70"/>
      <c r="B2247" s="79" t="s">
        <v>2282</v>
      </c>
      <c r="C2247" s="80"/>
      <c r="D2247" s="80"/>
      <c r="E2247" s="80"/>
      <c r="F2247" s="80"/>
      <c r="G2247" s="16" t="s">
        <v>2272</v>
      </c>
    </row>
    <row r="2248" spans="1:25" ht="12.6" customHeight="1" x14ac:dyDescent="0.3">
      <c r="A2248" s="80"/>
      <c r="B2248" s="80"/>
      <c r="C2248" s="80"/>
      <c r="D2248" s="80"/>
      <c r="E2248" s="80"/>
      <c r="F2248" s="80"/>
      <c r="G2248" s="16" t="s">
        <v>1324</v>
      </c>
    </row>
    <row r="2249" spans="1:25" ht="12.6" customHeight="1" x14ac:dyDescent="0.3">
      <c r="A2249" s="70" t="s">
        <v>2185</v>
      </c>
      <c r="B2249" s="101" t="str">
        <f>"  노 무 비  :   "&amp;TEXT(I2249,"#,##0"&amp;IF(I2249&lt;&gt;INT(I2249),".###",""))&amp;" / Q = "&amp;TEXT(C2249,"#,##0.0")&amp;""</f>
        <v xml:space="preserve">  노 무 비  :   55,700 / Q = 15,472.2</v>
      </c>
      <c r="C2249" s="103">
        <f>E2249+D2249+F2249</f>
        <v>15472.2</v>
      </c>
      <c r="D2249" s="103">
        <f>IF(H2249=0,0,ROUNDDOWN(J2249*H2249,1))</f>
        <v>15472.2</v>
      </c>
      <c r="E2249" s="103">
        <f>IF(H2249=0,0,ROUNDDOWN(K2249*H2249,1))</f>
        <v>0</v>
      </c>
      <c r="F2249" s="103">
        <f>IF(H2249=0,0,ROUNDDOWN(L2249*H2249,1))</f>
        <v>0</v>
      </c>
      <c r="G2249" s="16" t="s">
        <v>2184</v>
      </c>
      <c r="H2249" s="108">
        <v>0.27777777778790003</v>
      </c>
      <c r="I2249" s="109">
        <f>K2249+J2249+L2249</f>
        <v>55700</v>
      </c>
      <c r="J2249" s="39">
        <f>중기목록표!F22</f>
        <v>55700</v>
      </c>
      <c r="M2249" s="20" t="s">
        <v>2186</v>
      </c>
      <c r="N2249" s="20" t="s">
        <v>1345</v>
      </c>
      <c r="X2249" s="110" t="str">
        <f>중기목록표!B22&amp;" / "&amp;중기목록표!C22</f>
        <v xml:space="preserve">덤프트럭24ton(토사) / </v>
      </c>
      <c r="Y2249" s="19" t="str">
        <f ca="1">HYPERLINK("#"&amp;중기목록표!J2&amp;"!A"&amp;ROW(중기목록표!A22),"중기   19 →")</f>
        <v>중기   19 →</v>
      </c>
    </row>
    <row r="2250" spans="1:25" ht="12.6" customHeight="1" x14ac:dyDescent="0.3">
      <c r="A2250" s="80"/>
      <c r="B2250" s="80"/>
      <c r="C2250" s="80"/>
      <c r="D2250" s="80"/>
      <c r="E2250" s="80"/>
      <c r="F2250" s="80"/>
      <c r="G2250" s="16" t="s">
        <v>1324</v>
      </c>
    </row>
    <row r="2251" spans="1:25" ht="12.6" customHeight="1" x14ac:dyDescent="0.3">
      <c r="A2251" s="70" t="s">
        <v>2188</v>
      </c>
      <c r="B2251" s="101" t="str">
        <f>"  재 료 비  :   "&amp;TEXT(I2251,"#,##0"&amp;IF(I2251&lt;&gt;INT(I2251),".###",""))&amp;" / Q *OH = "&amp;TEXT(C2251,"#,##0.0")&amp;""</f>
        <v xml:space="preserve">  재 료 비  :   40,373 / Q *OH = 10,766.1</v>
      </c>
      <c r="C2251" s="103">
        <f>E2251+D2251+F2251</f>
        <v>10766.1</v>
      </c>
      <c r="D2251" s="103">
        <f>IF(H2251=0,0,ROUNDDOWN(J2251*H2251,1))</f>
        <v>0</v>
      </c>
      <c r="E2251" s="103">
        <f>IF(H2251=0,0,ROUNDDOWN(K2251*H2251,1))</f>
        <v>10766.1</v>
      </c>
      <c r="F2251" s="103">
        <f>IF(H2251=0,0,ROUNDDOWN(L2251*H2251,1))</f>
        <v>0</v>
      </c>
      <c r="G2251" s="16" t="s">
        <v>2283</v>
      </c>
      <c r="H2251" s="108">
        <v>0.2666666666768</v>
      </c>
      <c r="I2251" s="109">
        <f>K2251+J2251+L2251</f>
        <v>40373</v>
      </c>
      <c r="K2251" s="39">
        <f>중기목록표!G22</f>
        <v>40373</v>
      </c>
      <c r="M2251" s="20" t="s">
        <v>2186</v>
      </c>
      <c r="N2251" s="20" t="s">
        <v>1345</v>
      </c>
      <c r="X2251" s="110" t="str">
        <f>중기목록표!B22&amp;" / "&amp;중기목록표!C22</f>
        <v xml:space="preserve">덤프트럭24ton(토사) / </v>
      </c>
      <c r="Y2251" s="19" t="str">
        <f ca="1">HYPERLINK("#"&amp;중기목록표!J2&amp;"!A"&amp;ROW(중기목록표!A22),"중기   19 →")</f>
        <v>중기   19 →</v>
      </c>
    </row>
    <row r="2252" spans="1:25" ht="12.6" customHeight="1" x14ac:dyDescent="0.3">
      <c r="A2252" s="80"/>
      <c r="B2252" s="80"/>
      <c r="C2252" s="80"/>
      <c r="D2252" s="80"/>
      <c r="E2252" s="80"/>
      <c r="F2252" s="80"/>
      <c r="G2252" s="16" t="s">
        <v>1324</v>
      </c>
    </row>
    <row r="2253" spans="1:25" ht="12.6" customHeight="1" x14ac:dyDescent="0.3">
      <c r="A2253" s="70" t="s">
        <v>2190</v>
      </c>
      <c r="B2253" s="101" t="str">
        <f>"  경    비  :   "&amp;TEXT(I2253,"#,##0"&amp;IF(I2253&lt;&gt;INT(I2253),".###",""))&amp;" / Q = "&amp;TEXT(C2253,"#,##0.0")&amp;""</f>
        <v xml:space="preserve">  경    비  :   31,406 / Q = 8,723.8</v>
      </c>
      <c r="C2253" s="103">
        <f>E2253+D2253+F2253</f>
        <v>8723.7999999999993</v>
      </c>
      <c r="D2253" s="103">
        <f>IF(H2253=0,0,ROUNDDOWN(J2253*H2253,1))</f>
        <v>0</v>
      </c>
      <c r="E2253" s="103">
        <f>IF(H2253=0,0,ROUNDDOWN(K2253*H2253,1))</f>
        <v>0</v>
      </c>
      <c r="F2253" s="103">
        <f>IF(H2253=0,0,ROUNDDOWN(L2253*H2253,1))</f>
        <v>8723.7999999999993</v>
      </c>
      <c r="G2253" s="16" t="s">
        <v>2189</v>
      </c>
      <c r="H2253" s="108">
        <v>0.27777777778790003</v>
      </c>
      <c r="I2253" s="109">
        <f>K2253+J2253+L2253</f>
        <v>31406</v>
      </c>
      <c r="L2253" s="39">
        <f>중기목록표!H22</f>
        <v>31406</v>
      </c>
      <c r="M2253" s="20" t="s">
        <v>2186</v>
      </c>
      <c r="N2253" s="20" t="s">
        <v>1345</v>
      </c>
      <c r="X2253" s="110" t="str">
        <f>중기목록표!B22&amp;" / "&amp;중기목록표!C22</f>
        <v xml:space="preserve">덤프트럭24ton(토사) / </v>
      </c>
      <c r="Y2253" s="19" t="str">
        <f ca="1">HYPERLINK("#"&amp;중기목록표!J2&amp;"!A"&amp;ROW(중기목록표!A22),"중기   19 →")</f>
        <v>중기   19 →</v>
      </c>
    </row>
    <row r="2254" spans="1:25" ht="12.6" customHeight="1" x14ac:dyDescent="0.3">
      <c r="A2254" s="80"/>
      <c r="B2254" s="80"/>
      <c r="C2254" s="80"/>
      <c r="D2254" s="80"/>
      <c r="E2254" s="80"/>
      <c r="F2254" s="80"/>
      <c r="G2254" s="16" t="s">
        <v>1324</v>
      </c>
    </row>
    <row r="2255" spans="1:25" ht="12.6" customHeight="1" x14ac:dyDescent="0.3">
      <c r="A2255" s="70" t="s">
        <v>2285</v>
      </c>
      <c r="B2255" s="101" t="str">
        <f>"                "&amp;TEXT(I2255,"#,##0"&amp;IF(I2255&lt;&gt;INT(I2255),".###",""))&amp;" / Q = "&amp;TEXT(C2255,"#,##0.0")&amp;""</f>
        <v xml:space="preserve">                1,794 / Q = 498.3</v>
      </c>
      <c r="C2255" s="103">
        <f>E2255+D2255+F2255</f>
        <v>498.3</v>
      </c>
      <c r="D2255" s="103">
        <f>IF(H2255=0,0,ROUNDDOWN(J2255*H2255,1))</f>
        <v>0</v>
      </c>
      <c r="E2255" s="103">
        <f>IF(H2255=0,0,ROUNDDOWN(K2255*H2255,1))</f>
        <v>0</v>
      </c>
      <c r="F2255" s="103">
        <f>IF(H2255=0,0,ROUNDDOWN(L2255*H2255,1))</f>
        <v>498.3</v>
      </c>
      <c r="G2255" s="16" t="s">
        <v>2284</v>
      </c>
      <c r="H2255" s="108">
        <v>0.27777777778790003</v>
      </c>
      <c r="I2255" s="109">
        <f>K2255+J2255+L2255</f>
        <v>1794</v>
      </c>
      <c r="L2255" s="39">
        <f>경비목록표!E24</f>
        <v>1794</v>
      </c>
      <c r="M2255" s="20" t="s">
        <v>2286</v>
      </c>
      <c r="N2255" s="20" t="s">
        <v>1345</v>
      </c>
      <c r="X2255" s="110" t="str">
        <f>경비목록표!B24&amp;" / "&amp;경비목록표!C24</f>
        <v>덤프자동덮개 / 24톤</v>
      </c>
      <c r="Y2255" s="19" t="str">
        <f ca="1">HYPERLINK("#"&amp;경비목록표!G2&amp;"!A"&amp;ROW(경비목록표!A24),"경비   21 →")</f>
        <v>경비   21 →</v>
      </c>
    </row>
    <row r="2256" spans="1:25" ht="12.6" customHeight="1" x14ac:dyDescent="0.3">
      <c r="A2256" s="80"/>
      <c r="B2256" s="80"/>
      <c r="C2256" s="80"/>
      <c r="D2256" s="80"/>
      <c r="E2256" s="80"/>
      <c r="F2256" s="80"/>
      <c r="G2256" s="16" t="s">
        <v>1324</v>
      </c>
    </row>
    <row r="2257" spans="1:14" ht="12.6" customHeight="1" x14ac:dyDescent="0.3">
      <c r="A2257" s="70"/>
      <c r="B2257" s="79" t="s">
        <v>1344</v>
      </c>
      <c r="C2257" s="104">
        <f>E2257+D2257+F2257</f>
        <v>35460.400000000001</v>
      </c>
      <c r="D2257" s="104">
        <f>SUMIF(N2212:N2256,M2257,D2212:D2256)</f>
        <v>15472.2</v>
      </c>
      <c r="E2257" s="104">
        <f>SUMIF(N2212:N2256,M2257,E2212:E2256)</f>
        <v>10766.1</v>
      </c>
      <c r="F2257" s="104">
        <f>SUMIF(N2212:N2256,M2257,F2212:F2256)</f>
        <v>9222.0999999999985</v>
      </c>
      <c r="G2257" s="16" t="s">
        <v>1343</v>
      </c>
      <c r="M2257" s="20" t="s">
        <v>1345</v>
      </c>
      <c r="N2257" s="20" t="s">
        <v>1558</v>
      </c>
    </row>
    <row r="2258" spans="1:14" ht="12.6" customHeight="1" x14ac:dyDescent="0.3">
      <c r="A2258" s="80"/>
      <c r="B2258" s="80"/>
      <c r="C2258" s="102"/>
      <c r="D2258" s="102"/>
      <c r="E2258" s="102"/>
      <c r="F2258" s="102"/>
      <c r="G2258" s="16" t="s">
        <v>1324</v>
      </c>
    </row>
    <row r="2259" spans="1:14" ht="12.6" customHeight="1" x14ac:dyDescent="0.3">
      <c r="A2259" s="70"/>
      <c r="B2259" s="79" t="s">
        <v>1557</v>
      </c>
      <c r="C2259" s="104">
        <f>E2259+D2259+F2259</f>
        <v>35460.400000000001</v>
      </c>
      <c r="D2259" s="104">
        <f>SUMIF(N2157:N2258,M2259,D2157:D2258)</f>
        <v>15472.2</v>
      </c>
      <c r="E2259" s="104">
        <f>SUMIF(N2157:N2258,M2259,E2157:E2258)</f>
        <v>10766.1</v>
      </c>
      <c r="F2259" s="104">
        <f>SUMIF(N2157:N2258,M2259,F2157:F2258)</f>
        <v>9222.0999999999985</v>
      </c>
      <c r="G2259" s="16" t="s">
        <v>1556</v>
      </c>
      <c r="M2259" s="20" t="s">
        <v>1558</v>
      </c>
      <c r="N2259" s="20" t="s">
        <v>1129</v>
      </c>
    </row>
    <row r="2260" spans="1:14" ht="12.6" customHeight="1" x14ac:dyDescent="0.3">
      <c r="A2260" s="80"/>
      <c r="B2260" s="80"/>
      <c r="C2260" s="102"/>
      <c r="D2260" s="102"/>
      <c r="E2260" s="102"/>
      <c r="F2260" s="102"/>
    </row>
    <row r="2261" spans="1:14" ht="12.6" customHeight="1" x14ac:dyDescent="0.3">
      <c r="A2261" s="80"/>
      <c r="B2261" s="80"/>
      <c r="C2261" s="80"/>
      <c r="D2261" s="80"/>
      <c r="E2261" s="80"/>
      <c r="F2261" s="80"/>
    </row>
    <row r="2262" spans="1:14" ht="12.6" customHeight="1" x14ac:dyDescent="0.3">
      <c r="A2262" s="80"/>
      <c r="B2262" s="80"/>
      <c r="C2262" s="80"/>
      <c r="D2262" s="80"/>
      <c r="E2262" s="80"/>
      <c r="F2262" s="80"/>
    </row>
    <row r="2263" spans="1:14" ht="12.6" customHeight="1" x14ac:dyDescent="0.3">
      <c r="A2263" s="80"/>
      <c r="B2263" s="80"/>
      <c r="C2263" s="80"/>
      <c r="D2263" s="80"/>
      <c r="E2263" s="80"/>
      <c r="F2263" s="80"/>
    </row>
    <row r="2264" spans="1:14" ht="12.6" customHeight="1" x14ac:dyDescent="0.3">
      <c r="A2264" s="80"/>
      <c r="B2264" s="80"/>
      <c r="C2264" s="80"/>
      <c r="D2264" s="80"/>
      <c r="E2264" s="80"/>
      <c r="F2264" s="80"/>
    </row>
    <row r="2265" spans="1:14" ht="12.6" customHeight="1" x14ac:dyDescent="0.3">
      <c r="A2265" s="80"/>
      <c r="B2265" s="80"/>
      <c r="C2265" s="80"/>
      <c r="D2265" s="80"/>
      <c r="E2265" s="80"/>
      <c r="F2265" s="80"/>
    </row>
    <row r="2266" spans="1:14" ht="12.6" customHeight="1" x14ac:dyDescent="0.3">
      <c r="A2266" s="80"/>
      <c r="B2266" s="80"/>
      <c r="C2266" s="80"/>
      <c r="D2266" s="80"/>
      <c r="E2266" s="80"/>
      <c r="F2266" s="80"/>
    </row>
    <row r="2267" spans="1:14" ht="12.6" customHeight="1" x14ac:dyDescent="0.3">
      <c r="A2267" s="80"/>
      <c r="B2267" s="80"/>
      <c r="C2267" s="80"/>
      <c r="D2267" s="80"/>
      <c r="E2267" s="80"/>
      <c r="F2267" s="80"/>
    </row>
    <row r="2268" spans="1:14" ht="12.6" customHeight="1" x14ac:dyDescent="0.3">
      <c r="A2268" s="80"/>
      <c r="B2268" s="80"/>
      <c r="C2268" s="80"/>
      <c r="D2268" s="80"/>
      <c r="E2268" s="80"/>
      <c r="F2268" s="80"/>
    </row>
    <row r="2269" spans="1:14" ht="12.6" customHeight="1" x14ac:dyDescent="0.3">
      <c r="A2269" s="80"/>
      <c r="B2269" s="80"/>
      <c r="C2269" s="80"/>
      <c r="D2269" s="80"/>
      <c r="E2269" s="80"/>
      <c r="F2269" s="80"/>
    </row>
    <row r="2270" spans="1:14" ht="12.6" customHeight="1" x14ac:dyDescent="0.3">
      <c r="A2270" s="80"/>
      <c r="B2270" s="80"/>
      <c r="C2270" s="80"/>
      <c r="D2270" s="80"/>
      <c r="E2270" s="80"/>
      <c r="F2270" s="80"/>
    </row>
    <row r="2271" spans="1:14" ht="12.6" customHeight="1" x14ac:dyDescent="0.3">
      <c r="A2271" s="80"/>
      <c r="B2271" s="80"/>
      <c r="C2271" s="80"/>
      <c r="D2271" s="80"/>
      <c r="E2271" s="80"/>
      <c r="F2271" s="80"/>
    </row>
    <row r="2272" spans="1:14" ht="12.6" customHeight="1" x14ac:dyDescent="0.3">
      <c r="A2272" s="80"/>
      <c r="B2272" s="80"/>
      <c r="C2272" s="80"/>
      <c r="D2272" s="80"/>
      <c r="E2272" s="80"/>
      <c r="F2272" s="80"/>
    </row>
    <row r="2273" spans="1:6" ht="12.6" customHeight="1" x14ac:dyDescent="0.3">
      <c r="A2273" s="80"/>
      <c r="B2273" s="80"/>
      <c r="C2273" s="80"/>
      <c r="D2273" s="80"/>
      <c r="E2273" s="80"/>
      <c r="F2273" s="80"/>
    </row>
    <row r="2274" spans="1:6" ht="12.6" customHeight="1" x14ac:dyDescent="0.3">
      <c r="A2274" s="80"/>
      <c r="B2274" s="80"/>
      <c r="C2274" s="80"/>
      <c r="D2274" s="80"/>
      <c r="E2274" s="80"/>
      <c r="F2274" s="80"/>
    </row>
    <row r="2275" spans="1:6" ht="12.6" customHeight="1" x14ac:dyDescent="0.3">
      <c r="A2275" s="80"/>
      <c r="B2275" s="80"/>
      <c r="C2275" s="80"/>
      <c r="D2275" s="80"/>
      <c r="E2275" s="80"/>
      <c r="F2275" s="80"/>
    </row>
    <row r="2276" spans="1:6" ht="12.6" customHeight="1" x14ac:dyDescent="0.3">
      <c r="A2276" s="80"/>
      <c r="B2276" s="80"/>
      <c r="C2276" s="80"/>
      <c r="D2276" s="80"/>
      <c r="E2276" s="80"/>
      <c r="F2276" s="80"/>
    </row>
    <row r="2277" spans="1:6" ht="12.6" customHeight="1" x14ac:dyDescent="0.3">
      <c r="A2277" s="80"/>
      <c r="B2277" s="80"/>
      <c r="C2277" s="80"/>
      <c r="D2277" s="80"/>
      <c r="E2277" s="80"/>
      <c r="F2277" s="80"/>
    </row>
    <row r="2278" spans="1:6" ht="12.6" customHeight="1" x14ac:dyDescent="0.3">
      <c r="A2278" s="80"/>
      <c r="B2278" s="80"/>
      <c r="C2278" s="80"/>
      <c r="D2278" s="80"/>
      <c r="E2278" s="80"/>
      <c r="F2278" s="80"/>
    </row>
    <row r="2279" spans="1:6" ht="12.6" customHeight="1" x14ac:dyDescent="0.3">
      <c r="A2279" s="80"/>
      <c r="B2279" s="80"/>
      <c r="C2279" s="80"/>
      <c r="D2279" s="80"/>
      <c r="E2279" s="80"/>
      <c r="F2279" s="80"/>
    </row>
    <row r="2280" spans="1:6" ht="12.6" customHeight="1" x14ac:dyDescent="0.3">
      <c r="A2280" s="80"/>
      <c r="B2280" s="80"/>
      <c r="C2280" s="80"/>
      <c r="D2280" s="80"/>
      <c r="E2280" s="80"/>
      <c r="F2280" s="80"/>
    </row>
    <row r="2281" spans="1:6" ht="12.6" customHeight="1" x14ac:dyDescent="0.3">
      <c r="A2281" s="80"/>
      <c r="B2281" s="80"/>
      <c r="C2281" s="80"/>
      <c r="D2281" s="80"/>
      <c r="E2281" s="80"/>
      <c r="F2281" s="80"/>
    </row>
    <row r="2282" spans="1:6" ht="12.6" customHeight="1" x14ac:dyDescent="0.3">
      <c r="A2282" s="80"/>
      <c r="B2282" s="80"/>
      <c r="C2282" s="80"/>
      <c r="D2282" s="80"/>
      <c r="E2282" s="80"/>
      <c r="F2282" s="80"/>
    </row>
    <row r="2283" spans="1:6" ht="12.6" customHeight="1" x14ac:dyDescent="0.3">
      <c r="A2283" s="80"/>
      <c r="B2283" s="80"/>
      <c r="C2283" s="80"/>
      <c r="D2283" s="80"/>
      <c r="E2283" s="80"/>
      <c r="F2283" s="80"/>
    </row>
    <row r="2284" spans="1:6" ht="12.6" customHeight="1" x14ac:dyDescent="0.3">
      <c r="A2284" s="80"/>
      <c r="B2284" s="80"/>
      <c r="C2284" s="80"/>
      <c r="D2284" s="80"/>
      <c r="E2284" s="80"/>
      <c r="F2284" s="80"/>
    </row>
    <row r="2285" spans="1:6" ht="12.6" customHeight="1" x14ac:dyDescent="0.3">
      <c r="A2285" s="80"/>
      <c r="B2285" s="80"/>
      <c r="C2285" s="80"/>
      <c r="D2285" s="80"/>
      <c r="E2285" s="80"/>
      <c r="F2285" s="80"/>
    </row>
    <row r="2286" spans="1:6" ht="12.6" customHeight="1" x14ac:dyDescent="0.3">
      <c r="A2286" s="80"/>
      <c r="B2286" s="80"/>
      <c r="C2286" s="80"/>
      <c r="D2286" s="80"/>
      <c r="E2286" s="80"/>
      <c r="F2286" s="80"/>
    </row>
    <row r="2287" spans="1:6" ht="12.6" customHeight="1" x14ac:dyDescent="0.3">
      <c r="A2287" s="80"/>
      <c r="B2287" s="80"/>
      <c r="C2287" s="80"/>
      <c r="D2287" s="80"/>
      <c r="E2287" s="80"/>
      <c r="F2287" s="80"/>
    </row>
    <row r="2288" spans="1:6" ht="12.6" customHeight="1" x14ac:dyDescent="0.3">
      <c r="A2288" s="80"/>
      <c r="B2288" s="80"/>
      <c r="C2288" s="80"/>
      <c r="D2288" s="80"/>
      <c r="E2288" s="80"/>
      <c r="F2288" s="80"/>
    </row>
    <row r="2289" spans="1:14" ht="12.6" customHeight="1" x14ac:dyDescent="0.3">
      <c r="A2289" s="80"/>
      <c r="B2289" s="80"/>
      <c r="C2289" s="80"/>
      <c r="D2289" s="80"/>
      <c r="E2289" s="80"/>
      <c r="F2289" s="80"/>
    </row>
    <row r="2290" spans="1:14" ht="12.6" customHeight="1" x14ac:dyDescent="0.3">
      <c r="A2290" s="80"/>
      <c r="B2290" s="80"/>
      <c r="C2290" s="80"/>
      <c r="D2290" s="80"/>
      <c r="E2290" s="80"/>
      <c r="F2290" s="80"/>
    </row>
    <row r="2291" spans="1:14" ht="12.6" customHeight="1" x14ac:dyDescent="0.3">
      <c r="A2291" s="58"/>
      <c r="B2291" s="58"/>
      <c r="C2291" s="58"/>
      <c r="D2291" s="58"/>
      <c r="E2291" s="58"/>
      <c r="F2291" s="58"/>
    </row>
    <row r="2292" spans="1:14" ht="12.6" customHeight="1" x14ac:dyDescent="0.3">
      <c r="A2292" s="141" t="s">
        <v>2118</v>
      </c>
      <c r="B2292" s="142"/>
      <c r="C2292" s="55">
        <f>E2292+D2292+F2292</f>
        <v>35460</v>
      </c>
      <c r="D2292" s="11">
        <v>0</v>
      </c>
      <c r="E2292" s="12">
        <v>0</v>
      </c>
      <c r="F2292" s="55">
        <f>ROUNDDOWN(SUMIF(N2157:N2259,M2292,E2157:E2259),0)+ROUNDDOWN(SUMIF(N2157:N2259,M2292,D2157:D2259),0)+ROUNDDOWN(SUMIF(N2157:N2259,M2292,F2157:F2259),0)</f>
        <v>35460</v>
      </c>
      <c r="M2292" s="20" t="s">
        <v>1129</v>
      </c>
      <c r="N2292" s="20" t="s">
        <v>1172</v>
      </c>
    </row>
    <row r="2293" spans="1:14" ht="12.6" customHeight="1" x14ac:dyDescent="0.3">
      <c r="A2293" s="141" t="s">
        <v>1173</v>
      </c>
      <c r="B2293" s="142"/>
      <c r="C2293" s="55">
        <f>E2293+D2293+F2293</f>
        <v>31382</v>
      </c>
      <c r="D2293" s="54">
        <f>ROUNDDOWN(D2292*H2293/100,0)</f>
        <v>0</v>
      </c>
      <c r="E2293" s="63">
        <f>ROUNDDOWN(E2292*H2293/100,0)</f>
        <v>0</v>
      </c>
      <c r="F2293" s="55">
        <f>ROUNDDOWN(F2292*H2293/100,0)</f>
        <v>31382</v>
      </c>
      <c r="H2293" s="67">
        <v>88.5</v>
      </c>
      <c r="M2293" s="20" t="s">
        <v>1172</v>
      </c>
    </row>
    <row r="2294" spans="1:14" ht="12.6" customHeight="1" x14ac:dyDescent="0.3">
      <c r="A2294" s="99" t="s">
        <v>297</v>
      </c>
      <c r="B2294" s="100" t="s">
        <v>297</v>
      </c>
      <c r="C2294" s="147">
        <f>C2362</f>
        <v>2211</v>
      </c>
      <c r="D2294" s="147">
        <f>D2362</f>
        <v>0</v>
      </c>
      <c r="E2294" s="147">
        <f>E2362</f>
        <v>0</v>
      </c>
      <c r="F2294" s="147">
        <f>F2362</f>
        <v>2211</v>
      </c>
      <c r="G2294" s="36" t="str">
        <f>HYPERLINK("#G"&amp;ROW(G2329),"_x0005_`BDCOD|D02285_x0007_`POSS|"&amp;ROW(G2296)&amp;"_x0007_`POSE|"&amp;ROW(G2329)&amp;"_x0007_`")</f>
        <v>_x0005_`BDCOD|D02285_x0007_`POSS|2296_x0007_`POSE|2329_x0007_`</v>
      </c>
    </row>
    <row r="2295" spans="1:14" ht="12.6" customHeight="1" x14ac:dyDescent="0.3">
      <c r="A2295" s="85"/>
      <c r="B2295" s="100" t="s">
        <v>296</v>
      </c>
      <c r="C2295" s="137"/>
      <c r="D2295" s="137"/>
      <c r="E2295" s="137"/>
      <c r="F2295" s="137"/>
      <c r="M2295" s="20" t="s">
        <v>295</v>
      </c>
    </row>
    <row r="2296" spans="1:14" ht="12.6" customHeight="1" x14ac:dyDescent="0.3">
      <c r="A2296" s="80"/>
      <c r="B2296" s="80"/>
      <c r="C2296" s="102"/>
      <c r="D2296" s="102"/>
      <c r="E2296" s="102"/>
      <c r="F2296" s="102"/>
      <c r="G2296" s="16" t="s">
        <v>1324</v>
      </c>
    </row>
    <row r="2297" spans="1:14" ht="12.6" customHeight="1" x14ac:dyDescent="0.3">
      <c r="A2297" s="70"/>
      <c r="B2297" s="79" t="s">
        <v>2288</v>
      </c>
      <c r="C2297" s="80"/>
      <c r="D2297" s="80"/>
      <c r="E2297" s="80"/>
      <c r="F2297" s="80"/>
      <c r="G2297" s="16" t="s">
        <v>2287</v>
      </c>
    </row>
    <row r="2298" spans="1:14" ht="12.6" customHeight="1" x14ac:dyDescent="0.3">
      <c r="A2298" s="80"/>
      <c r="B2298" s="80"/>
      <c r="C2298" s="80"/>
      <c r="D2298" s="80"/>
      <c r="E2298" s="80"/>
      <c r="F2298" s="80"/>
      <c r="G2298" s="16" t="s">
        <v>1324</v>
      </c>
    </row>
    <row r="2299" spans="1:14" ht="12.6" customHeight="1" x14ac:dyDescent="0.3">
      <c r="A2299" s="70"/>
      <c r="B2299" s="79" t="s">
        <v>2290</v>
      </c>
      <c r="C2299" s="80"/>
      <c r="D2299" s="80"/>
      <c r="E2299" s="80"/>
      <c r="F2299" s="80"/>
      <c r="G2299" s="16" t="s">
        <v>2289</v>
      </c>
    </row>
    <row r="2300" spans="1:14" ht="12.6" customHeight="1" x14ac:dyDescent="0.3">
      <c r="A2300" s="80"/>
      <c r="B2300" s="80"/>
      <c r="C2300" s="80"/>
      <c r="D2300" s="80"/>
      <c r="E2300" s="80"/>
      <c r="F2300" s="80"/>
      <c r="G2300" s="16" t="s">
        <v>1324</v>
      </c>
    </row>
    <row r="2301" spans="1:14" ht="12.6" customHeight="1" x14ac:dyDescent="0.3">
      <c r="A2301" s="70"/>
      <c r="B2301" s="79" t="s">
        <v>2292</v>
      </c>
      <c r="C2301" s="80"/>
      <c r="D2301" s="80"/>
      <c r="E2301" s="80"/>
      <c r="F2301" s="80"/>
      <c r="G2301" s="16" t="s">
        <v>2291</v>
      </c>
    </row>
    <row r="2302" spans="1:14" ht="12.6" customHeight="1" x14ac:dyDescent="0.3">
      <c r="A2302" s="80"/>
      <c r="B2302" s="80"/>
      <c r="C2302" s="80"/>
      <c r="D2302" s="80"/>
      <c r="E2302" s="80"/>
      <c r="F2302" s="80"/>
      <c r="G2302" s="16" t="s">
        <v>1324</v>
      </c>
    </row>
    <row r="2303" spans="1:14" ht="12.6" customHeight="1" x14ac:dyDescent="0.3">
      <c r="A2303" s="80"/>
      <c r="B2303" s="80"/>
      <c r="C2303" s="80"/>
      <c r="D2303" s="80"/>
      <c r="E2303" s="80"/>
      <c r="F2303" s="80"/>
      <c r="G2303" s="16" t="s">
        <v>1324</v>
      </c>
    </row>
    <row r="2304" spans="1:14" ht="12.6" customHeight="1" x14ac:dyDescent="0.3">
      <c r="A2304" s="70"/>
      <c r="B2304" s="79" t="s">
        <v>2294</v>
      </c>
      <c r="C2304" s="80"/>
      <c r="D2304" s="80"/>
      <c r="E2304" s="80"/>
      <c r="F2304" s="80"/>
      <c r="G2304" s="16" t="s">
        <v>2293</v>
      </c>
    </row>
    <row r="2305" spans="1:25" ht="12.6" customHeight="1" x14ac:dyDescent="0.3">
      <c r="A2305" s="80"/>
      <c r="B2305" s="80"/>
      <c r="C2305" s="80"/>
      <c r="D2305" s="80"/>
      <c r="E2305" s="80"/>
      <c r="F2305" s="80"/>
      <c r="G2305" s="16" t="s">
        <v>1324</v>
      </c>
    </row>
    <row r="2306" spans="1:25" ht="12.6" customHeight="1" x14ac:dyDescent="0.3">
      <c r="A2306" s="70"/>
      <c r="B2306" s="79" t="s">
        <v>2296</v>
      </c>
      <c r="C2306" s="80"/>
      <c r="D2306" s="80"/>
      <c r="E2306" s="80"/>
      <c r="F2306" s="80"/>
      <c r="G2306" s="16" t="s">
        <v>2295</v>
      </c>
    </row>
    <row r="2307" spans="1:25" ht="12.6" customHeight="1" x14ac:dyDescent="0.3">
      <c r="A2307" s="80"/>
      <c r="B2307" s="80"/>
      <c r="C2307" s="80"/>
      <c r="D2307" s="80"/>
      <c r="E2307" s="80"/>
      <c r="F2307" s="80"/>
      <c r="G2307" s="16" t="s">
        <v>1324</v>
      </c>
    </row>
    <row r="2308" spans="1:25" ht="12.6" customHeight="1" x14ac:dyDescent="0.3">
      <c r="A2308" s="80"/>
      <c r="B2308" s="80"/>
      <c r="C2308" s="80"/>
      <c r="D2308" s="80"/>
      <c r="E2308" s="80"/>
      <c r="F2308" s="80"/>
      <c r="G2308" s="16" t="s">
        <v>1324</v>
      </c>
    </row>
    <row r="2309" spans="1:25" ht="12.6" customHeight="1" x14ac:dyDescent="0.3">
      <c r="A2309" s="70" t="s">
        <v>731</v>
      </c>
      <c r="B2309" s="101" t="str">
        <f>" "&amp;TEXT(I2309,"#,##0"&amp;IF(I2309&lt;&gt;INT(I2309),".###",""))&amp;" / 1.1 / 5.0 / 25 = "&amp;TEXT(C2309,"#,##0.0")&amp;""</f>
        <v xml:space="preserve"> 61,500 / 1.1 / 5.0 / 25 = 447.2</v>
      </c>
      <c r="C2309" s="103">
        <f>E2309+D2309+F2309</f>
        <v>447.2</v>
      </c>
      <c r="D2309" s="103">
        <f>IF(H2309=0,0,ROUNDDOWN(J2309*H2309,1))</f>
        <v>0</v>
      </c>
      <c r="E2309" s="103">
        <f>IF(H2309=0,0,ROUNDDOWN(K2309*H2309,1))</f>
        <v>0</v>
      </c>
      <c r="F2309" s="103">
        <f>IF(H2309=0,0,ROUNDDOWN(L2309*H2309,1))</f>
        <v>447.2</v>
      </c>
      <c r="G2309" s="16" t="s">
        <v>2297</v>
      </c>
      <c r="H2309" s="108">
        <v>7.2727272828000001E-3</v>
      </c>
      <c r="I2309" s="109">
        <f>K2309+J2309+L2309</f>
        <v>61500</v>
      </c>
      <c r="L2309" s="39">
        <f>경비목록표!E19</f>
        <v>61500</v>
      </c>
      <c r="M2309" s="20" t="s">
        <v>2128</v>
      </c>
      <c r="N2309" s="20" t="s">
        <v>1345</v>
      </c>
      <c r="X2309" s="110" t="str">
        <f>경비목록표!B19&amp;" / "&amp;경비목록표!C19</f>
        <v>구역화물자동차 / 5톤(20km 이내)</v>
      </c>
      <c r="Y2309" s="19" t="str">
        <f ca="1">HYPERLINK("#"&amp;경비목록표!G2&amp;"!A"&amp;ROW(경비목록표!A19),"경비   16 →")</f>
        <v>경비   16 →</v>
      </c>
    </row>
    <row r="2310" spans="1:25" ht="12.6" customHeight="1" x14ac:dyDescent="0.3">
      <c r="A2310" s="80"/>
      <c r="B2310" s="80"/>
      <c r="C2310" s="80"/>
      <c r="D2310" s="80"/>
      <c r="E2310" s="80"/>
      <c r="F2310" s="80"/>
      <c r="G2310" s="16" t="s">
        <v>1327</v>
      </c>
    </row>
    <row r="2311" spans="1:25" ht="12.6" customHeight="1" x14ac:dyDescent="0.3">
      <c r="A2311" s="70"/>
      <c r="B2311" s="79" t="s">
        <v>1344</v>
      </c>
      <c r="C2311" s="104">
        <f>E2311+D2311+F2311</f>
        <v>447.2</v>
      </c>
      <c r="D2311" s="104">
        <f>SUMIF(N2296:N2310,M2311,D2296:D2310)</f>
        <v>0</v>
      </c>
      <c r="E2311" s="104">
        <f>SUMIF(N2296:N2310,M2311,E2296:E2310)</f>
        <v>0</v>
      </c>
      <c r="F2311" s="104">
        <f>SUMIF(N2296:N2310,M2311,F2296:F2310)</f>
        <v>447.2</v>
      </c>
      <c r="G2311" s="16" t="s">
        <v>1343</v>
      </c>
      <c r="M2311" s="20" t="s">
        <v>1345</v>
      </c>
      <c r="N2311" s="20" t="s">
        <v>1368</v>
      </c>
    </row>
    <row r="2312" spans="1:25" ht="12.6" customHeight="1" x14ac:dyDescent="0.3">
      <c r="A2312" s="80"/>
      <c r="B2312" s="80"/>
      <c r="C2312" s="102"/>
      <c r="D2312" s="102"/>
      <c r="E2312" s="102"/>
      <c r="F2312" s="102"/>
      <c r="G2312" s="16" t="s">
        <v>1324</v>
      </c>
    </row>
    <row r="2313" spans="1:25" ht="12.6" customHeight="1" x14ac:dyDescent="0.3">
      <c r="A2313" s="80"/>
      <c r="B2313" s="80"/>
      <c r="C2313" s="80"/>
      <c r="D2313" s="80"/>
      <c r="E2313" s="80"/>
      <c r="F2313" s="80"/>
      <c r="G2313" s="16" t="s">
        <v>1324</v>
      </c>
    </row>
    <row r="2314" spans="1:25" ht="12.6" customHeight="1" x14ac:dyDescent="0.3">
      <c r="A2314" s="70"/>
      <c r="B2314" s="79" t="s">
        <v>2299</v>
      </c>
      <c r="C2314" s="80"/>
      <c r="D2314" s="80"/>
      <c r="E2314" s="80"/>
      <c r="F2314" s="80"/>
      <c r="G2314" s="16" t="s">
        <v>2298</v>
      </c>
    </row>
    <row r="2315" spans="1:25" ht="12.6" customHeight="1" x14ac:dyDescent="0.3">
      <c r="A2315" s="80"/>
      <c r="B2315" s="80"/>
      <c r="C2315" s="80"/>
      <c r="D2315" s="80"/>
      <c r="E2315" s="80"/>
      <c r="F2315" s="80"/>
      <c r="G2315" s="16" t="s">
        <v>1324</v>
      </c>
    </row>
    <row r="2316" spans="1:25" ht="12.6" customHeight="1" x14ac:dyDescent="0.3">
      <c r="A2316" s="70"/>
      <c r="B2316" s="79" t="s">
        <v>2301</v>
      </c>
      <c r="C2316" s="80"/>
      <c r="D2316" s="80"/>
      <c r="E2316" s="80"/>
      <c r="F2316" s="80"/>
      <c r="G2316" s="16" t="s">
        <v>2300</v>
      </c>
    </row>
    <row r="2317" spans="1:25" ht="12.6" customHeight="1" x14ac:dyDescent="0.3">
      <c r="A2317" s="80"/>
      <c r="B2317" s="80"/>
      <c r="C2317" s="80"/>
      <c r="D2317" s="80"/>
      <c r="E2317" s="80"/>
      <c r="F2317" s="80"/>
      <c r="G2317" s="16" t="s">
        <v>1324</v>
      </c>
    </row>
    <row r="2318" spans="1:25" ht="12.6" customHeight="1" x14ac:dyDescent="0.3">
      <c r="A2318" s="70"/>
      <c r="B2318" s="79" t="s">
        <v>2303</v>
      </c>
      <c r="C2318" s="80"/>
      <c r="D2318" s="80"/>
      <c r="E2318" s="80"/>
      <c r="F2318" s="80"/>
      <c r="G2318" s="16" t="s">
        <v>2302</v>
      </c>
    </row>
    <row r="2319" spans="1:25" ht="12.6" customHeight="1" x14ac:dyDescent="0.3">
      <c r="A2319" s="80"/>
      <c r="B2319" s="80"/>
      <c r="C2319" s="80"/>
      <c r="D2319" s="80"/>
      <c r="E2319" s="80"/>
      <c r="F2319" s="80"/>
      <c r="G2319" s="16" t="s">
        <v>1324</v>
      </c>
    </row>
    <row r="2320" spans="1:25" ht="12.6" customHeight="1" x14ac:dyDescent="0.3">
      <c r="A2320" s="80"/>
      <c r="B2320" s="80"/>
      <c r="C2320" s="80"/>
      <c r="D2320" s="80"/>
      <c r="E2320" s="80"/>
      <c r="F2320" s="80"/>
      <c r="G2320" s="16" t="s">
        <v>1324</v>
      </c>
    </row>
    <row r="2321" spans="1:25" ht="12.6" customHeight="1" x14ac:dyDescent="0.3">
      <c r="A2321" s="70" t="s">
        <v>666</v>
      </c>
      <c r="B2321" s="101" t="str">
        <f>" (0.18+0.13) * "&amp;TEXT(I2321,"#,##0"&amp;IF(I2321&lt;&gt;INT(I2321),".###",""))&amp;" / 25 = "&amp;TEXT(C2321,"#,##0.0")&amp;""</f>
        <v xml:space="preserve"> (0.18+0.13) * 165,545 / 25 = 2,052.7</v>
      </c>
      <c r="C2321" s="103">
        <f>E2321+D2321+F2321</f>
        <v>2052.6999999999998</v>
      </c>
      <c r="D2321" s="103">
        <f>IF(H2321=0,0,ROUNDDOWN(J2321*H2321,1))</f>
        <v>2052.6999999999998</v>
      </c>
      <c r="E2321" s="103">
        <f>IF(H2321=0,0,ROUNDDOWN(K2321*H2321,1))</f>
        <v>0</v>
      </c>
      <c r="F2321" s="103">
        <f>IF(H2321=0,0,ROUNDDOWN(L2321*H2321,1))</f>
        <v>0</v>
      </c>
      <c r="G2321" s="16" t="s">
        <v>2304</v>
      </c>
      <c r="H2321" s="108">
        <v>1.2400000000099999E-2</v>
      </c>
      <c r="I2321" s="109">
        <f>K2321+J2321+L2321</f>
        <v>165545</v>
      </c>
      <c r="J2321" s="39">
        <f>노무비목록표!E9</f>
        <v>165545</v>
      </c>
      <c r="M2321" s="20" t="s">
        <v>1127</v>
      </c>
      <c r="N2321" s="20" t="s">
        <v>1345</v>
      </c>
      <c r="X2321" s="110" t="str">
        <f>노무비목록표!B9&amp;" / "&amp;노무비목록표!C9</f>
        <v xml:space="preserve">보통인부 / </v>
      </c>
      <c r="Y2321" s="19" t="str">
        <f ca="1">HYPERLINK("#"&amp;노무비목록표!G2&amp;"!A"&amp;ROW(노무비목록표!A9),"노무    6 →")</f>
        <v>노무    6 →</v>
      </c>
    </row>
    <row r="2322" spans="1:25" ht="12.6" customHeight="1" x14ac:dyDescent="0.3">
      <c r="A2322" s="80"/>
      <c r="B2322" s="80"/>
      <c r="C2322" s="80"/>
      <c r="D2322" s="80"/>
      <c r="E2322" s="80"/>
      <c r="F2322" s="80"/>
      <c r="G2322" s="16" t="s">
        <v>1327</v>
      </c>
    </row>
    <row r="2323" spans="1:25" ht="12.6" customHeight="1" x14ac:dyDescent="0.3">
      <c r="A2323" s="80"/>
      <c r="B2323" s="80"/>
      <c r="C2323" s="80"/>
      <c r="D2323" s="80"/>
      <c r="E2323" s="80"/>
      <c r="F2323" s="80"/>
      <c r="G2323" s="16" t="s">
        <v>1324</v>
      </c>
    </row>
    <row r="2324" spans="1:25" ht="12.6" customHeight="1" x14ac:dyDescent="0.3">
      <c r="A2324" s="70"/>
      <c r="B2324" s="79" t="s">
        <v>1344</v>
      </c>
      <c r="C2324" s="104">
        <f>E2324+D2324+F2324</f>
        <v>2052.6999999999998</v>
      </c>
      <c r="D2324" s="104">
        <f>SUMIF(N2312:N2323,M2324,D2312:D2323)</f>
        <v>2052.6999999999998</v>
      </c>
      <c r="E2324" s="104">
        <f>SUMIF(N2312:N2323,M2324,E2312:E2323)</f>
        <v>0</v>
      </c>
      <c r="F2324" s="104">
        <f>SUMIF(N2312:N2323,M2324,F2312:F2323)</f>
        <v>0</v>
      </c>
      <c r="G2324" s="16" t="s">
        <v>1343</v>
      </c>
      <c r="M2324" s="20" t="s">
        <v>1345</v>
      </c>
      <c r="N2324" s="20" t="s">
        <v>1368</v>
      </c>
    </row>
    <row r="2325" spans="1:25" ht="12.6" customHeight="1" x14ac:dyDescent="0.3">
      <c r="A2325" s="80"/>
      <c r="B2325" s="80"/>
      <c r="C2325" s="102"/>
      <c r="D2325" s="102"/>
      <c r="E2325" s="102"/>
      <c r="F2325" s="102"/>
      <c r="G2325" s="16" t="s">
        <v>1324</v>
      </c>
    </row>
    <row r="2326" spans="1:25" ht="12.6" customHeight="1" x14ac:dyDescent="0.3">
      <c r="A2326" s="80"/>
      <c r="B2326" s="80"/>
      <c r="C2326" s="80"/>
      <c r="D2326" s="80"/>
      <c r="E2326" s="80"/>
      <c r="F2326" s="80"/>
      <c r="G2326" s="16" t="s">
        <v>1324</v>
      </c>
    </row>
    <row r="2327" spans="1:25" ht="12.6" customHeight="1" x14ac:dyDescent="0.3">
      <c r="A2327" s="80"/>
      <c r="B2327" s="80"/>
      <c r="C2327" s="80"/>
      <c r="D2327" s="80"/>
      <c r="E2327" s="80"/>
      <c r="F2327" s="80"/>
      <c r="G2327" s="16" t="s">
        <v>1324</v>
      </c>
    </row>
    <row r="2328" spans="1:25" ht="12.6" customHeight="1" x14ac:dyDescent="0.3">
      <c r="A2328" s="80"/>
      <c r="B2328" s="80"/>
      <c r="C2328" s="80"/>
      <c r="D2328" s="80"/>
      <c r="E2328" s="80"/>
      <c r="F2328" s="80"/>
      <c r="G2328" s="16" t="s">
        <v>1324</v>
      </c>
    </row>
    <row r="2329" spans="1:25" ht="12.6" customHeight="1" x14ac:dyDescent="0.3">
      <c r="A2329" s="70"/>
      <c r="B2329" s="79" t="s">
        <v>1171</v>
      </c>
      <c r="C2329" s="104">
        <f>E2329+D2329+F2329</f>
        <v>2499.8999999999996</v>
      </c>
      <c r="D2329" s="104">
        <f>SUMIF(N2296:N2328,M2329,D2296:D2328)</f>
        <v>2052.6999999999998</v>
      </c>
      <c r="E2329" s="104">
        <f>SUMIF(N2296:N2328,M2329,E2296:E2328)</f>
        <v>0</v>
      </c>
      <c r="F2329" s="104">
        <f>SUMIF(N2296:N2328,M2329,F2296:F2328)</f>
        <v>447.2</v>
      </c>
      <c r="G2329" s="16" t="s">
        <v>1367</v>
      </c>
      <c r="M2329" s="20" t="s">
        <v>1368</v>
      </c>
      <c r="N2329" s="20" t="s">
        <v>1129</v>
      </c>
    </row>
    <row r="2330" spans="1:25" ht="12.6" customHeight="1" x14ac:dyDescent="0.3">
      <c r="A2330" s="80"/>
      <c r="B2330" s="80"/>
      <c r="C2330" s="102"/>
      <c r="D2330" s="102"/>
      <c r="E2330" s="102"/>
      <c r="F2330" s="102"/>
    </row>
    <row r="2331" spans="1:25" ht="12.6" customHeight="1" x14ac:dyDescent="0.3">
      <c r="A2331" s="80"/>
      <c r="B2331" s="80"/>
      <c r="C2331" s="80"/>
      <c r="D2331" s="80"/>
      <c r="E2331" s="80"/>
      <c r="F2331" s="80"/>
    </row>
    <row r="2332" spans="1:25" ht="12.6" customHeight="1" x14ac:dyDescent="0.3">
      <c r="A2332" s="80"/>
      <c r="B2332" s="80"/>
      <c r="C2332" s="80"/>
      <c r="D2332" s="80"/>
      <c r="E2332" s="80"/>
      <c r="F2332" s="80"/>
    </row>
    <row r="2333" spans="1:25" ht="12.6" customHeight="1" x14ac:dyDescent="0.3">
      <c r="A2333" s="80"/>
      <c r="B2333" s="80"/>
      <c r="C2333" s="80"/>
      <c r="D2333" s="80"/>
      <c r="E2333" s="80"/>
      <c r="F2333" s="80"/>
    </row>
    <row r="2334" spans="1:25" ht="12.6" customHeight="1" x14ac:dyDescent="0.3">
      <c r="A2334" s="80"/>
      <c r="B2334" s="80"/>
      <c r="C2334" s="80"/>
      <c r="D2334" s="80"/>
      <c r="E2334" s="80"/>
      <c r="F2334" s="80"/>
    </row>
    <row r="2335" spans="1:25" ht="12.6" customHeight="1" x14ac:dyDescent="0.3">
      <c r="A2335" s="80"/>
      <c r="B2335" s="80"/>
      <c r="C2335" s="80"/>
      <c r="D2335" s="80"/>
      <c r="E2335" s="80"/>
      <c r="F2335" s="80"/>
    </row>
    <row r="2336" spans="1:25" ht="12.6" customHeight="1" x14ac:dyDescent="0.3">
      <c r="A2336" s="80"/>
      <c r="B2336" s="80"/>
      <c r="C2336" s="80"/>
      <c r="D2336" s="80"/>
      <c r="E2336" s="80"/>
      <c r="F2336" s="80"/>
    </row>
    <row r="2337" spans="1:6" ht="12.6" customHeight="1" x14ac:dyDescent="0.3">
      <c r="A2337" s="80"/>
      <c r="B2337" s="80"/>
      <c r="C2337" s="80"/>
      <c r="D2337" s="80"/>
      <c r="E2337" s="80"/>
      <c r="F2337" s="80"/>
    </row>
    <row r="2338" spans="1:6" ht="12.6" customHeight="1" x14ac:dyDescent="0.3">
      <c r="A2338" s="80"/>
      <c r="B2338" s="80"/>
      <c r="C2338" s="80"/>
      <c r="D2338" s="80"/>
      <c r="E2338" s="80"/>
      <c r="F2338" s="80"/>
    </row>
    <row r="2339" spans="1:6" ht="12.6" customHeight="1" x14ac:dyDescent="0.3">
      <c r="A2339" s="80"/>
      <c r="B2339" s="80"/>
      <c r="C2339" s="80"/>
      <c r="D2339" s="80"/>
      <c r="E2339" s="80"/>
      <c r="F2339" s="80"/>
    </row>
    <row r="2340" spans="1:6" ht="12.6" customHeight="1" x14ac:dyDescent="0.3">
      <c r="A2340" s="80"/>
      <c r="B2340" s="80"/>
      <c r="C2340" s="80"/>
      <c r="D2340" s="80"/>
      <c r="E2340" s="80"/>
      <c r="F2340" s="80"/>
    </row>
    <row r="2341" spans="1:6" ht="12.6" customHeight="1" x14ac:dyDescent="0.3">
      <c r="A2341" s="80"/>
      <c r="B2341" s="80"/>
      <c r="C2341" s="80"/>
      <c r="D2341" s="80"/>
      <c r="E2341" s="80"/>
      <c r="F2341" s="80"/>
    </row>
    <row r="2342" spans="1:6" ht="12.6" customHeight="1" x14ac:dyDescent="0.3">
      <c r="A2342" s="80"/>
      <c r="B2342" s="80"/>
      <c r="C2342" s="80"/>
      <c r="D2342" s="80"/>
      <c r="E2342" s="80"/>
      <c r="F2342" s="80"/>
    </row>
    <row r="2343" spans="1:6" ht="12.6" customHeight="1" x14ac:dyDescent="0.3">
      <c r="A2343" s="80"/>
      <c r="B2343" s="80"/>
      <c r="C2343" s="80"/>
      <c r="D2343" s="80"/>
      <c r="E2343" s="80"/>
      <c r="F2343" s="80"/>
    </row>
    <row r="2344" spans="1:6" ht="12.6" customHeight="1" x14ac:dyDescent="0.3">
      <c r="A2344" s="80"/>
      <c r="B2344" s="80"/>
      <c r="C2344" s="80"/>
      <c r="D2344" s="80"/>
      <c r="E2344" s="80"/>
      <c r="F2344" s="80"/>
    </row>
    <row r="2345" spans="1:6" ht="12.6" customHeight="1" x14ac:dyDescent="0.3">
      <c r="A2345" s="80"/>
      <c r="B2345" s="80"/>
      <c r="C2345" s="80"/>
      <c r="D2345" s="80"/>
      <c r="E2345" s="80"/>
      <c r="F2345" s="80"/>
    </row>
    <row r="2346" spans="1:6" ht="12.6" customHeight="1" x14ac:dyDescent="0.3">
      <c r="A2346" s="80"/>
      <c r="B2346" s="80"/>
      <c r="C2346" s="80"/>
      <c r="D2346" s="80"/>
      <c r="E2346" s="80"/>
      <c r="F2346" s="80"/>
    </row>
    <row r="2347" spans="1:6" ht="12.6" customHeight="1" x14ac:dyDescent="0.3">
      <c r="A2347" s="80"/>
      <c r="B2347" s="80"/>
      <c r="C2347" s="80"/>
      <c r="D2347" s="80"/>
      <c r="E2347" s="80"/>
      <c r="F2347" s="80"/>
    </row>
    <row r="2348" spans="1:6" ht="12.6" customHeight="1" x14ac:dyDescent="0.3">
      <c r="A2348" s="80"/>
      <c r="B2348" s="80"/>
      <c r="C2348" s="80"/>
      <c r="D2348" s="80"/>
      <c r="E2348" s="80"/>
      <c r="F2348" s="80"/>
    </row>
    <row r="2349" spans="1:6" ht="12.6" customHeight="1" x14ac:dyDescent="0.3">
      <c r="A2349" s="80"/>
      <c r="B2349" s="80"/>
      <c r="C2349" s="80"/>
      <c r="D2349" s="80"/>
      <c r="E2349" s="80"/>
      <c r="F2349" s="80"/>
    </row>
    <row r="2350" spans="1:6" ht="12.6" customHeight="1" x14ac:dyDescent="0.3">
      <c r="A2350" s="80"/>
      <c r="B2350" s="80"/>
      <c r="C2350" s="80"/>
      <c r="D2350" s="80"/>
      <c r="E2350" s="80"/>
      <c r="F2350" s="80"/>
    </row>
    <row r="2351" spans="1:6" ht="12.6" customHeight="1" x14ac:dyDescent="0.3">
      <c r="A2351" s="80"/>
      <c r="B2351" s="80"/>
      <c r="C2351" s="80"/>
      <c r="D2351" s="80"/>
      <c r="E2351" s="80"/>
      <c r="F2351" s="80"/>
    </row>
    <row r="2352" spans="1:6" ht="12.6" customHeight="1" x14ac:dyDescent="0.3">
      <c r="A2352" s="80"/>
      <c r="B2352" s="80"/>
      <c r="C2352" s="80"/>
      <c r="D2352" s="80"/>
      <c r="E2352" s="80"/>
      <c r="F2352" s="80"/>
    </row>
    <row r="2353" spans="1:14" ht="12.6" customHeight="1" x14ac:dyDescent="0.3">
      <c r="A2353" s="80"/>
      <c r="B2353" s="80"/>
      <c r="C2353" s="80"/>
      <c r="D2353" s="80"/>
      <c r="E2353" s="80"/>
      <c r="F2353" s="80"/>
    </row>
    <row r="2354" spans="1:14" ht="12.6" customHeight="1" x14ac:dyDescent="0.3">
      <c r="A2354" s="80"/>
      <c r="B2354" s="80"/>
      <c r="C2354" s="80"/>
      <c r="D2354" s="80"/>
      <c r="E2354" s="80"/>
      <c r="F2354" s="80"/>
    </row>
    <row r="2355" spans="1:14" ht="12.6" customHeight="1" x14ac:dyDescent="0.3">
      <c r="A2355" s="80"/>
      <c r="B2355" s="80"/>
      <c r="C2355" s="80"/>
      <c r="D2355" s="80"/>
      <c r="E2355" s="80"/>
      <c r="F2355" s="80"/>
    </row>
    <row r="2356" spans="1:14" ht="12.6" customHeight="1" x14ac:dyDescent="0.3">
      <c r="A2356" s="80"/>
      <c r="B2356" s="80"/>
      <c r="C2356" s="80"/>
      <c r="D2356" s="80"/>
      <c r="E2356" s="80"/>
      <c r="F2356" s="80"/>
    </row>
    <row r="2357" spans="1:14" ht="12.6" customHeight="1" x14ac:dyDescent="0.3">
      <c r="A2357" s="80"/>
      <c r="B2357" s="80"/>
      <c r="C2357" s="80"/>
      <c r="D2357" s="80"/>
      <c r="E2357" s="80"/>
      <c r="F2357" s="80"/>
    </row>
    <row r="2358" spans="1:14" ht="12.6" customHeight="1" x14ac:dyDescent="0.3">
      <c r="A2358" s="80"/>
      <c r="B2358" s="80"/>
      <c r="C2358" s="80"/>
      <c r="D2358" s="80"/>
      <c r="E2358" s="80"/>
      <c r="F2358" s="80"/>
    </row>
    <row r="2359" spans="1:14" ht="12.6" customHeight="1" x14ac:dyDescent="0.3">
      <c r="A2359" s="80"/>
      <c r="B2359" s="80"/>
      <c r="C2359" s="80"/>
      <c r="D2359" s="80"/>
      <c r="E2359" s="80"/>
      <c r="F2359" s="80"/>
    </row>
    <row r="2360" spans="1:14" ht="12.6" customHeight="1" x14ac:dyDescent="0.3">
      <c r="A2360" s="58"/>
      <c r="B2360" s="58"/>
      <c r="C2360" s="58"/>
      <c r="D2360" s="58"/>
      <c r="E2360" s="58"/>
      <c r="F2360" s="58"/>
    </row>
    <row r="2361" spans="1:14" ht="12.6" customHeight="1" x14ac:dyDescent="0.3">
      <c r="A2361" s="141" t="s">
        <v>2118</v>
      </c>
      <c r="B2361" s="142"/>
      <c r="C2361" s="55">
        <f>E2361+D2361+F2361</f>
        <v>2499</v>
      </c>
      <c r="D2361" s="11">
        <v>0</v>
      </c>
      <c r="E2361" s="12">
        <v>0</v>
      </c>
      <c r="F2361" s="55">
        <f>ROUNDDOWN(SUMIF(N2296:N2329,M2361,E2296:E2329),0)+ROUNDDOWN(SUMIF(N2296:N2329,M2361,D2296:D2329),0)+ROUNDDOWN(SUMIF(N2296:N2329,M2361,F2296:F2329),0)</f>
        <v>2499</v>
      </c>
      <c r="M2361" s="20" t="s">
        <v>1129</v>
      </c>
      <c r="N2361" s="20" t="s">
        <v>1172</v>
      </c>
    </row>
    <row r="2362" spans="1:14" ht="12.6" customHeight="1" x14ac:dyDescent="0.3">
      <c r="A2362" s="141" t="s">
        <v>1173</v>
      </c>
      <c r="B2362" s="142"/>
      <c r="C2362" s="55">
        <f>E2362+D2362+F2362</f>
        <v>2211</v>
      </c>
      <c r="D2362" s="54">
        <f>ROUNDDOWN(D2361*H2362/100,0)</f>
        <v>0</v>
      </c>
      <c r="E2362" s="63">
        <f>ROUNDDOWN(E2361*H2362/100,0)</f>
        <v>0</v>
      </c>
      <c r="F2362" s="55">
        <f>ROUNDDOWN(F2361*H2362/100,0)</f>
        <v>2211</v>
      </c>
      <c r="H2362" s="67">
        <v>88.5</v>
      </c>
      <c r="M2362" s="20" t="s">
        <v>1172</v>
      </c>
    </row>
    <row r="2363" spans="1:14" ht="12.6" customHeight="1" x14ac:dyDescent="0.3">
      <c r="A2363" s="99" t="s">
        <v>301</v>
      </c>
      <c r="B2363" s="100" t="s">
        <v>301</v>
      </c>
      <c r="C2363" s="147">
        <f>C2431</f>
        <v>1636</v>
      </c>
      <c r="D2363" s="147">
        <f>D2431</f>
        <v>723</v>
      </c>
      <c r="E2363" s="147">
        <f>E2431</f>
        <v>479</v>
      </c>
      <c r="F2363" s="147">
        <f>F2431</f>
        <v>434</v>
      </c>
      <c r="G2363" s="36" t="str">
        <f>HYPERLINK("#G"&amp;ROW(G2396),"_x0005_`BDCOD|D02286_x0007_`POSS|"&amp;ROW(G2365)&amp;"_x0007_`POSE|"&amp;ROW(G2396)&amp;"_x0007_`")</f>
        <v>_x0005_`BDCOD|D02286_x0007_`POSS|2365_x0007_`POSE|2396_x0007_`</v>
      </c>
    </row>
    <row r="2364" spans="1:14" ht="12.6" customHeight="1" x14ac:dyDescent="0.3">
      <c r="A2364" s="85"/>
      <c r="B2364" s="100" t="s">
        <v>300</v>
      </c>
      <c r="C2364" s="137"/>
      <c r="D2364" s="137"/>
      <c r="E2364" s="137"/>
      <c r="F2364" s="137"/>
      <c r="M2364" s="20" t="s">
        <v>299</v>
      </c>
    </row>
    <row r="2365" spans="1:14" ht="12.6" customHeight="1" x14ac:dyDescent="0.3">
      <c r="A2365" s="70"/>
      <c r="B2365" s="79" t="s">
        <v>1841</v>
      </c>
      <c r="C2365" s="102"/>
      <c r="D2365" s="102"/>
      <c r="E2365" s="102"/>
      <c r="F2365" s="102"/>
      <c r="G2365" s="16" t="s">
        <v>1840</v>
      </c>
    </row>
    <row r="2366" spans="1:14" ht="12.6" customHeight="1" x14ac:dyDescent="0.3">
      <c r="A2366" s="80"/>
      <c r="B2366" s="80"/>
      <c r="C2366" s="80"/>
      <c r="D2366" s="80"/>
      <c r="E2366" s="80"/>
      <c r="F2366" s="80"/>
      <c r="G2366" s="16" t="s">
        <v>1324</v>
      </c>
    </row>
    <row r="2367" spans="1:14" ht="12.6" customHeight="1" x14ac:dyDescent="0.3">
      <c r="A2367" s="70"/>
      <c r="B2367" s="79" t="s">
        <v>2306</v>
      </c>
      <c r="C2367" s="80"/>
      <c r="D2367" s="80"/>
      <c r="E2367" s="80"/>
      <c r="F2367" s="80"/>
      <c r="G2367" s="16" t="s">
        <v>2305</v>
      </c>
    </row>
    <row r="2368" spans="1:14" ht="12.6" customHeight="1" x14ac:dyDescent="0.3">
      <c r="A2368" s="80"/>
      <c r="B2368" s="80"/>
      <c r="C2368" s="80"/>
      <c r="D2368" s="80"/>
      <c r="E2368" s="80"/>
      <c r="F2368" s="80"/>
      <c r="G2368" s="16" t="s">
        <v>1324</v>
      </c>
    </row>
    <row r="2369" spans="1:7" ht="12.6" customHeight="1" x14ac:dyDescent="0.3">
      <c r="A2369" s="70"/>
      <c r="B2369" s="79" t="s">
        <v>2307</v>
      </c>
      <c r="C2369" s="80"/>
      <c r="D2369" s="80"/>
      <c r="E2369" s="80"/>
      <c r="F2369" s="80"/>
      <c r="G2369" s="16" t="s">
        <v>1844</v>
      </c>
    </row>
    <row r="2370" spans="1:7" ht="12.6" customHeight="1" x14ac:dyDescent="0.3">
      <c r="A2370" s="80"/>
      <c r="B2370" s="80"/>
      <c r="C2370" s="80"/>
      <c r="D2370" s="80"/>
      <c r="E2370" s="80"/>
      <c r="F2370" s="80"/>
      <c r="G2370" s="16" t="s">
        <v>1324</v>
      </c>
    </row>
    <row r="2371" spans="1:7" ht="12.6" customHeight="1" x14ac:dyDescent="0.3">
      <c r="A2371" s="70"/>
      <c r="B2371" s="79" t="s">
        <v>1847</v>
      </c>
      <c r="C2371" s="80"/>
      <c r="D2371" s="80"/>
      <c r="E2371" s="80"/>
      <c r="F2371" s="80"/>
      <c r="G2371" s="16" t="s">
        <v>1846</v>
      </c>
    </row>
    <row r="2372" spans="1:7" ht="12.6" customHeight="1" x14ac:dyDescent="0.3">
      <c r="A2372" s="80"/>
      <c r="B2372" s="80"/>
      <c r="C2372" s="80"/>
      <c r="D2372" s="80"/>
      <c r="E2372" s="80"/>
      <c r="F2372" s="80"/>
      <c r="G2372" s="16" t="s">
        <v>1324</v>
      </c>
    </row>
    <row r="2373" spans="1:7" ht="12.6" customHeight="1" x14ac:dyDescent="0.3">
      <c r="A2373" s="70"/>
      <c r="B2373" s="79" t="s">
        <v>1849</v>
      </c>
      <c r="C2373" s="80"/>
      <c r="D2373" s="80"/>
      <c r="E2373" s="80"/>
      <c r="F2373" s="80"/>
      <c r="G2373" s="16" t="s">
        <v>1848</v>
      </c>
    </row>
    <row r="2374" spans="1:7" ht="12.6" customHeight="1" x14ac:dyDescent="0.3">
      <c r="A2374" s="80"/>
      <c r="B2374" s="80"/>
      <c r="C2374" s="80"/>
      <c r="D2374" s="80"/>
      <c r="E2374" s="80"/>
      <c r="F2374" s="80"/>
      <c r="G2374" s="16" t="s">
        <v>1324</v>
      </c>
    </row>
    <row r="2375" spans="1:7" ht="12.6" customHeight="1" x14ac:dyDescent="0.3">
      <c r="A2375" s="70"/>
      <c r="B2375" s="79" t="s">
        <v>1851</v>
      </c>
      <c r="C2375" s="80"/>
      <c r="D2375" s="80"/>
      <c r="E2375" s="80"/>
      <c r="F2375" s="80"/>
      <c r="G2375" s="16" t="s">
        <v>1850</v>
      </c>
    </row>
    <row r="2376" spans="1:7" ht="12.6" customHeight="1" x14ac:dyDescent="0.3">
      <c r="A2376" s="80"/>
      <c r="B2376" s="80"/>
      <c r="C2376" s="80"/>
      <c r="D2376" s="80"/>
      <c r="E2376" s="80"/>
      <c r="F2376" s="80"/>
      <c r="G2376" s="16" t="s">
        <v>1324</v>
      </c>
    </row>
    <row r="2377" spans="1:7" ht="12.6" customHeight="1" x14ac:dyDescent="0.3">
      <c r="A2377" s="70"/>
      <c r="B2377" s="79" t="s">
        <v>1853</v>
      </c>
      <c r="C2377" s="80"/>
      <c r="D2377" s="80"/>
      <c r="E2377" s="80"/>
      <c r="F2377" s="80"/>
      <c r="G2377" s="16" t="s">
        <v>1852</v>
      </c>
    </row>
    <row r="2378" spans="1:7" ht="12.6" customHeight="1" x14ac:dyDescent="0.3">
      <c r="A2378" s="80"/>
      <c r="B2378" s="80"/>
      <c r="C2378" s="80"/>
      <c r="D2378" s="80"/>
      <c r="E2378" s="80"/>
      <c r="F2378" s="80"/>
      <c r="G2378" s="16" t="s">
        <v>1324</v>
      </c>
    </row>
    <row r="2379" spans="1:7" ht="12.6" customHeight="1" x14ac:dyDescent="0.3">
      <c r="A2379" s="70"/>
      <c r="B2379" s="79" t="s">
        <v>1855</v>
      </c>
      <c r="C2379" s="80"/>
      <c r="D2379" s="80"/>
      <c r="E2379" s="80"/>
      <c r="F2379" s="80"/>
      <c r="G2379" s="16" t="s">
        <v>1854</v>
      </c>
    </row>
    <row r="2380" spans="1:7" ht="12.6" customHeight="1" x14ac:dyDescent="0.3">
      <c r="A2380" s="80"/>
      <c r="B2380" s="80"/>
      <c r="C2380" s="80"/>
      <c r="D2380" s="80"/>
      <c r="E2380" s="80"/>
      <c r="F2380" s="80"/>
      <c r="G2380" s="16" t="s">
        <v>1324</v>
      </c>
    </row>
    <row r="2381" spans="1:7" ht="12.6" customHeight="1" x14ac:dyDescent="0.3">
      <c r="A2381" s="70"/>
      <c r="B2381" s="79" t="s">
        <v>1857</v>
      </c>
      <c r="C2381" s="80"/>
      <c r="D2381" s="80"/>
      <c r="E2381" s="80"/>
      <c r="F2381" s="80"/>
      <c r="G2381" s="16" t="s">
        <v>1856</v>
      </c>
    </row>
    <row r="2382" spans="1:7" ht="12.6" customHeight="1" x14ac:dyDescent="0.3">
      <c r="A2382" s="80"/>
      <c r="B2382" s="80"/>
      <c r="C2382" s="80"/>
      <c r="D2382" s="80"/>
      <c r="E2382" s="80"/>
      <c r="F2382" s="80"/>
      <c r="G2382" s="16" t="s">
        <v>1324</v>
      </c>
    </row>
    <row r="2383" spans="1:7" ht="12.6" customHeight="1" x14ac:dyDescent="0.3">
      <c r="A2383" s="70"/>
      <c r="B2383" s="79" t="s">
        <v>1859</v>
      </c>
      <c r="C2383" s="80"/>
      <c r="D2383" s="80"/>
      <c r="E2383" s="80"/>
      <c r="F2383" s="80"/>
      <c r="G2383" s="16" t="s">
        <v>1858</v>
      </c>
    </row>
    <row r="2384" spans="1:7" ht="12.6" customHeight="1" x14ac:dyDescent="0.3">
      <c r="A2384" s="80"/>
      <c r="B2384" s="80"/>
      <c r="C2384" s="80"/>
      <c r="D2384" s="80"/>
      <c r="E2384" s="80"/>
      <c r="F2384" s="80"/>
      <c r="G2384" s="16" t="s">
        <v>1324</v>
      </c>
    </row>
    <row r="2385" spans="1:25" ht="12.6" customHeight="1" x14ac:dyDescent="0.3">
      <c r="A2385" s="70"/>
      <c r="B2385" s="79" t="s">
        <v>2308</v>
      </c>
      <c r="C2385" s="80"/>
      <c r="D2385" s="80"/>
      <c r="E2385" s="80"/>
      <c r="F2385" s="80"/>
      <c r="G2385" s="16" t="s">
        <v>1860</v>
      </c>
    </row>
    <row r="2386" spans="1:25" ht="12.6" customHeight="1" x14ac:dyDescent="0.3">
      <c r="A2386" s="80"/>
      <c r="B2386" s="80"/>
      <c r="C2386" s="80"/>
      <c r="D2386" s="80"/>
      <c r="E2386" s="80"/>
      <c r="F2386" s="80"/>
      <c r="G2386" s="16" t="s">
        <v>1324</v>
      </c>
    </row>
    <row r="2387" spans="1:25" ht="12.6" customHeight="1" x14ac:dyDescent="0.3">
      <c r="A2387" s="70"/>
      <c r="B2387" s="79" t="s">
        <v>2309</v>
      </c>
      <c r="C2387" s="80"/>
      <c r="D2387" s="80"/>
      <c r="E2387" s="80"/>
      <c r="F2387" s="80"/>
      <c r="G2387" s="16" t="s">
        <v>1862</v>
      </c>
    </row>
    <row r="2388" spans="1:25" ht="12.6" customHeight="1" x14ac:dyDescent="0.3">
      <c r="A2388" s="80"/>
      <c r="B2388" s="80"/>
      <c r="C2388" s="80"/>
      <c r="D2388" s="80"/>
      <c r="E2388" s="80"/>
      <c r="F2388" s="80"/>
      <c r="G2388" s="16" t="s">
        <v>1324</v>
      </c>
    </row>
    <row r="2389" spans="1:25" ht="12.6" customHeight="1" x14ac:dyDescent="0.3">
      <c r="A2389" s="80"/>
      <c r="B2389" s="80"/>
      <c r="C2389" s="80"/>
      <c r="D2389" s="80"/>
      <c r="E2389" s="80"/>
      <c r="F2389" s="80"/>
      <c r="G2389" s="16" t="s">
        <v>1324</v>
      </c>
    </row>
    <row r="2390" spans="1:25" ht="12.6" customHeight="1" x14ac:dyDescent="0.3">
      <c r="A2390" s="70" t="s">
        <v>1865</v>
      </c>
      <c r="B2390" s="101" t="str">
        <f>" 노 무 비  :   "&amp;TEXT(I2390,"#,##0"&amp;IF(I2390&lt;&gt;INT(I2390),".###",""))&amp;" / Q = "&amp;TEXT(C2390,"#,##0.0")&amp;""</f>
        <v xml:space="preserve"> 노 무 비  :   55,700 / Q = 818.6</v>
      </c>
      <c r="C2390" s="103">
        <f>E2390+D2390+F2390</f>
        <v>818.6</v>
      </c>
      <c r="D2390" s="103">
        <f>IF(H2390=0,0,ROUNDDOWN(J2390*H2390,1))</f>
        <v>818.6</v>
      </c>
      <c r="E2390" s="103">
        <f>IF(H2390=0,0,ROUNDDOWN(K2390*H2390,1))</f>
        <v>0</v>
      </c>
      <c r="F2390" s="103">
        <f>IF(H2390=0,0,ROUNDDOWN(L2390*H2390,1))</f>
        <v>0</v>
      </c>
      <c r="G2390" s="16" t="s">
        <v>1864</v>
      </c>
      <c r="H2390" s="108">
        <v>1.46972369296E-2</v>
      </c>
      <c r="I2390" s="109">
        <f>K2390+J2390+L2390</f>
        <v>55700</v>
      </c>
      <c r="J2390" s="39">
        <f>중기목록표!F4</f>
        <v>55700</v>
      </c>
      <c r="M2390" s="20" t="s">
        <v>1866</v>
      </c>
      <c r="N2390" s="20" t="s">
        <v>1345</v>
      </c>
      <c r="X2390" s="110" t="str">
        <f>중기목록표!B4&amp;" / "&amp;중기목록표!C4</f>
        <v>불도우저19ton / (토사)</v>
      </c>
      <c r="Y2390" s="19" t="str">
        <f ca="1">HYPERLINK("#"&amp;중기목록표!J2&amp;"!A"&amp;ROW(중기목록표!A4),"중기    1 →")</f>
        <v>중기    1 →</v>
      </c>
    </row>
    <row r="2391" spans="1:25" ht="12.6" customHeight="1" x14ac:dyDescent="0.3">
      <c r="A2391" s="80"/>
      <c r="B2391" s="80"/>
      <c r="C2391" s="80"/>
      <c r="D2391" s="80"/>
      <c r="E2391" s="80"/>
      <c r="F2391" s="80"/>
      <c r="G2391" s="16" t="s">
        <v>1324</v>
      </c>
    </row>
    <row r="2392" spans="1:25" ht="12.6" customHeight="1" x14ac:dyDescent="0.3">
      <c r="A2392" s="70" t="s">
        <v>1868</v>
      </c>
      <c r="B2392" s="101" t="str">
        <f>" 재 료 비  :   "&amp;TEXT(I2392,"#,##0"&amp;IF(I2392&lt;&gt;INT(I2392),".###",""))&amp;" / Q = "&amp;TEXT(C2392,"#,##0.0")&amp;""</f>
        <v xml:space="preserve"> 재 료 비  :   36,888 / Q = 542.1</v>
      </c>
      <c r="C2392" s="103">
        <f>E2392+D2392+F2392</f>
        <v>542.1</v>
      </c>
      <c r="D2392" s="103">
        <f>IF(H2392=0,0,ROUNDDOWN(J2392*H2392,1))</f>
        <v>0</v>
      </c>
      <c r="E2392" s="103">
        <f>IF(H2392=0,0,ROUNDDOWN(K2392*H2392,1))</f>
        <v>542.1</v>
      </c>
      <c r="F2392" s="103">
        <f>IF(H2392=0,0,ROUNDDOWN(L2392*H2392,1))</f>
        <v>0</v>
      </c>
      <c r="G2392" s="16" t="s">
        <v>1867</v>
      </c>
      <c r="H2392" s="108">
        <v>1.46972369296E-2</v>
      </c>
      <c r="I2392" s="109">
        <f>K2392+J2392+L2392</f>
        <v>36888</v>
      </c>
      <c r="K2392" s="39">
        <f>중기목록표!G4</f>
        <v>36888</v>
      </c>
      <c r="M2392" s="20" t="s">
        <v>1866</v>
      </c>
      <c r="N2392" s="20" t="s">
        <v>1345</v>
      </c>
      <c r="X2392" s="110" t="str">
        <f>중기목록표!B4&amp;" / "&amp;중기목록표!C4</f>
        <v>불도우저19ton / (토사)</v>
      </c>
      <c r="Y2392" s="19" t="str">
        <f ca="1">HYPERLINK("#"&amp;중기목록표!J2&amp;"!A"&amp;ROW(중기목록표!A4),"중기    1 →")</f>
        <v>중기    1 →</v>
      </c>
    </row>
    <row r="2393" spans="1:25" ht="12.6" customHeight="1" x14ac:dyDescent="0.3">
      <c r="A2393" s="80"/>
      <c r="B2393" s="80"/>
      <c r="C2393" s="80"/>
      <c r="D2393" s="80"/>
      <c r="E2393" s="80"/>
      <c r="F2393" s="80"/>
      <c r="G2393" s="16" t="s">
        <v>1324</v>
      </c>
    </row>
    <row r="2394" spans="1:25" ht="12.6" customHeight="1" x14ac:dyDescent="0.3">
      <c r="A2394" s="70" t="s">
        <v>1870</v>
      </c>
      <c r="B2394" s="101" t="str">
        <f>" 경    비  :   "&amp;TEXT(I2394,"#,##0"&amp;IF(I2394&lt;&gt;INT(I2394),".###",""))&amp;" / Q = "&amp;TEXT(C2394,"#,##0.0")&amp;""</f>
        <v xml:space="preserve"> 경    비  :   33,412 / Q = 491.0</v>
      </c>
      <c r="C2394" s="103">
        <f>E2394+D2394+F2394</f>
        <v>491</v>
      </c>
      <c r="D2394" s="103">
        <f>IF(H2394=0,0,ROUNDDOWN(J2394*H2394,1))</f>
        <v>0</v>
      </c>
      <c r="E2394" s="103">
        <f>IF(H2394=0,0,ROUNDDOWN(K2394*H2394,1))</f>
        <v>0</v>
      </c>
      <c r="F2394" s="103">
        <f>IF(H2394=0,0,ROUNDDOWN(L2394*H2394,1))</f>
        <v>491</v>
      </c>
      <c r="G2394" s="16" t="s">
        <v>1869</v>
      </c>
      <c r="H2394" s="108">
        <v>1.46972369296E-2</v>
      </c>
      <c r="I2394" s="109">
        <f>K2394+J2394+L2394</f>
        <v>33412</v>
      </c>
      <c r="L2394" s="39">
        <f>중기목록표!H4</f>
        <v>33412</v>
      </c>
      <c r="M2394" s="20" t="s">
        <v>1866</v>
      </c>
      <c r="N2394" s="20" t="s">
        <v>1345</v>
      </c>
      <c r="X2394" s="110" t="str">
        <f>중기목록표!B4&amp;" / "&amp;중기목록표!C4</f>
        <v>불도우저19ton / (토사)</v>
      </c>
      <c r="Y2394" s="19" t="str">
        <f ca="1">HYPERLINK("#"&amp;중기목록표!J2&amp;"!A"&amp;ROW(중기목록표!A4),"중기    1 →")</f>
        <v>중기    1 →</v>
      </c>
    </row>
    <row r="2395" spans="1:25" ht="12.6" customHeight="1" x14ac:dyDescent="0.3">
      <c r="A2395" s="80"/>
      <c r="B2395" s="80"/>
      <c r="C2395" s="80"/>
      <c r="D2395" s="80"/>
      <c r="E2395" s="80"/>
      <c r="F2395" s="80"/>
      <c r="G2395" s="16" t="s">
        <v>1324</v>
      </c>
    </row>
    <row r="2396" spans="1:25" ht="12.6" customHeight="1" x14ac:dyDescent="0.3">
      <c r="A2396" s="70"/>
      <c r="B2396" s="79" t="s">
        <v>1344</v>
      </c>
      <c r="C2396" s="104">
        <f>E2396+D2396+F2396</f>
        <v>1851.7</v>
      </c>
      <c r="D2396" s="104">
        <f>SUMIF(N2365:N2395,M2396,D2365:D2395)</f>
        <v>818.6</v>
      </c>
      <c r="E2396" s="104">
        <f>SUMIF(N2365:N2395,M2396,E2365:E2395)</f>
        <v>542.1</v>
      </c>
      <c r="F2396" s="104">
        <f>SUMIF(N2365:N2395,M2396,F2365:F2395)</f>
        <v>491</v>
      </c>
      <c r="G2396" s="16" t="s">
        <v>1343</v>
      </c>
      <c r="M2396" s="20" t="s">
        <v>1345</v>
      </c>
      <c r="N2396" s="20" t="s">
        <v>1129</v>
      </c>
    </row>
    <row r="2397" spans="1:25" ht="12.6" customHeight="1" x14ac:dyDescent="0.3">
      <c r="A2397" s="80"/>
      <c r="B2397" s="80"/>
      <c r="C2397" s="102"/>
      <c r="D2397" s="102"/>
      <c r="E2397" s="102"/>
      <c r="F2397" s="102"/>
    </row>
    <row r="2398" spans="1:25" ht="12.6" customHeight="1" x14ac:dyDescent="0.3">
      <c r="A2398" s="80"/>
      <c r="B2398" s="80"/>
      <c r="C2398" s="80"/>
      <c r="D2398" s="80"/>
      <c r="E2398" s="80"/>
      <c r="F2398" s="80"/>
    </row>
    <row r="2399" spans="1:25" ht="12.6" customHeight="1" x14ac:dyDescent="0.3">
      <c r="A2399" s="80"/>
      <c r="B2399" s="80"/>
      <c r="C2399" s="80"/>
      <c r="D2399" s="80"/>
      <c r="E2399" s="80"/>
      <c r="F2399" s="80"/>
    </row>
    <row r="2400" spans="1:25" ht="12.6" customHeight="1" x14ac:dyDescent="0.3">
      <c r="A2400" s="80"/>
      <c r="B2400" s="80"/>
      <c r="C2400" s="80"/>
      <c r="D2400" s="80"/>
      <c r="E2400" s="80"/>
      <c r="F2400" s="80"/>
    </row>
    <row r="2401" spans="1:6" ht="12.6" customHeight="1" x14ac:dyDescent="0.3">
      <c r="A2401" s="80"/>
      <c r="B2401" s="80"/>
      <c r="C2401" s="80"/>
      <c r="D2401" s="80"/>
      <c r="E2401" s="80"/>
      <c r="F2401" s="80"/>
    </row>
    <row r="2402" spans="1:6" ht="12.6" customHeight="1" x14ac:dyDescent="0.3">
      <c r="A2402" s="80"/>
      <c r="B2402" s="80"/>
      <c r="C2402" s="80"/>
      <c r="D2402" s="80"/>
      <c r="E2402" s="80"/>
      <c r="F2402" s="80"/>
    </row>
    <row r="2403" spans="1:6" ht="12.6" customHeight="1" x14ac:dyDescent="0.3">
      <c r="A2403" s="80"/>
      <c r="B2403" s="80"/>
      <c r="C2403" s="80"/>
      <c r="D2403" s="80"/>
      <c r="E2403" s="80"/>
      <c r="F2403" s="80"/>
    </row>
    <row r="2404" spans="1:6" ht="12.6" customHeight="1" x14ac:dyDescent="0.3">
      <c r="A2404" s="80"/>
      <c r="B2404" s="80"/>
      <c r="C2404" s="80"/>
      <c r="D2404" s="80"/>
      <c r="E2404" s="80"/>
      <c r="F2404" s="80"/>
    </row>
    <row r="2405" spans="1:6" ht="12.6" customHeight="1" x14ac:dyDescent="0.3">
      <c r="A2405" s="80"/>
      <c r="B2405" s="80"/>
      <c r="C2405" s="80"/>
      <c r="D2405" s="80"/>
      <c r="E2405" s="80"/>
      <c r="F2405" s="80"/>
    </row>
    <row r="2406" spans="1:6" ht="12.6" customHeight="1" x14ac:dyDescent="0.3">
      <c r="A2406" s="80"/>
      <c r="B2406" s="80"/>
      <c r="C2406" s="80"/>
      <c r="D2406" s="80"/>
      <c r="E2406" s="80"/>
      <c r="F2406" s="80"/>
    </row>
    <row r="2407" spans="1:6" ht="12.6" customHeight="1" x14ac:dyDescent="0.3">
      <c r="A2407" s="80"/>
      <c r="B2407" s="80"/>
      <c r="C2407" s="80"/>
      <c r="D2407" s="80"/>
      <c r="E2407" s="80"/>
      <c r="F2407" s="80"/>
    </row>
    <row r="2408" spans="1:6" ht="12.6" customHeight="1" x14ac:dyDescent="0.3">
      <c r="A2408" s="80"/>
      <c r="B2408" s="80"/>
      <c r="C2408" s="80"/>
      <c r="D2408" s="80"/>
      <c r="E2408" s="80"/>
      <c r="F2408" s="80"/>
    </row>
    <row r="2409" spans="1:6" ht="12.6" customHeight="1" x14ac:dyDescent="0.3">
      <c r="A2409" s="80"/>
      <c r="B2409" s="80"/>
      <c r="C2409" s="80"/>
      <c r="D2409" s="80"/>
      <c r="E2409" s="80"/>
      <c r="F2409" s="80"/>
    </row>
    <row r="2410" spans="1:6" ht="12.6" customHeight="1" x14ac:dyDescent="0.3">
      <c r="A2410" s="80"/>
      <c r="B2410" s="80"/>
      <c r="C2410" s="80"/>
      <c r="D2410" s="80"/>
      <c r="E2410" s="80"/>
      <c r="F2410" s="80"/>
    </row>
    <row r="2411" spans="1:6" ht="12.6" customHeight="1" x14ac:dyDescent="0.3">
      <c r="A2411" s="80"/>
      <c r="B2411" s="80"/>
      <c r="C2411" s="80"/>
      <c r="D2411" s="80"/>
      <c r="E2411" s="80"/>
      <c r="F2411" s="80"/>
    </row>
    <row r="2412" spans="1:6" ht="12.6" customHeight="1" x14ac:dyDescent="0.3">
      <c r="A2412" s="80"/>
      <c r="B2412" s="80"/>
      <c r="C2412" s="80"/>
      <c r="D2412" s="80"/>
      <c r="E2412" s="80"/>
      <c r="F2412" s="80"/>
    </row>
    <row r="2413" spans="1:6" ht="12.6" customHeight="1" x14ac:dyDescent="0.3">
      <c r="A2413" s="80"/>
      <c r="B2413" s="80"/>
      <c r="C2413" s="80"/>
      <c r="D2413" s="80"/>
      <c r="E2413" s="80"/>
      <c r="F2413" s="80"/>
    </row>
    <row r="2414" spans="1:6" ht="12.6" customHeight="1" x14ac:dyDescent="0.3">
      <c r="A2414" s="80"/>
      <c r="B2414" s="80"/>
      <c r="C2414" s="80"/>
      <c r="D2414" s="80"/>
      <c r="E2414" s="80"/>
      <c r="F2414" s="80"/>
    </row>
    <row r="2415" spans="1:6" ht="12.6" customHeight="1" x14ac:dyDescent="0.3">
      <c r="A2415" s="80"/>
      <c r="B2415" s="80"/>
      <c r="C2415" s="80"/>
      <c r="D2415" s="80"/>
      <c r="E2415" s="80"/>
      <c r="F2415" s="80"/>
    </row>
    <row r="2416" spans="1:6" ht="12.6" customHeight="1" x14ac:dyDescent="0.3">
      <c r="A2416" s="80"/>
      <c r="B2416" s="80"/>
      <c r="C2416" s="80"/>
      <c r="D2416" s="80"/>
      <c r="E2416" s="80"/>
      <c r="F2416" s="80"/>
    </row>
    <row r="2417" spans="1:14" ht="12.6" customHeight="1" x14ac:dyDescent="0.3">
      <c r="A2417" s="80"/>
      <c r="B2417" s="80"/>
      <c r="C2417" s="80"/>
      <c r="D2417" s="80"/>
      <c r="E2417" s="80"/>
      <c r="F2417" s="80"/>
    </row>
    <row r="2418" spans="1:14" ht="12.6" customHeight="1" x14ac:dyDescent="0.3">
      <c r="A2418" s="80"/>
      <c r="B2418" s="80"/>
      <c r="C2418" s="80"/>
      <c r="D2418" s="80"/>
      <c r="E2418" s="80"/>
      <c r="F2418" s="80"/>
    </row>
    <row r="2419" spans="1:14" ht="12.6" customHeight="1" x14ac:dyDescent="0.3">
      <c r="A2419" s="80"/>
      <c r="B2419" s="80"/>
      <c r="C2419" s="80"/>
      <c r="D2419" s="80"/>
      <c r="E2419" s="80"/>
      <c r="F2419" s="80"/>
    </row>
    <row r="2420" spans="1:14" ht="12.6" customHeight="1" x14ac:dyDescent="0.3">
      <c r="A2420" s="80"/>
      <c r="B2420" s="80"/>
      <c r="C2420" s="80"/>
      <c r="D2420" s="80"/>
      <c r="E2420" s="80"/>
      <c r="F2420" s="80"/>
    </row>
    <row r="2421" spans="1:14" ht="12.6" customHeight="1" x14ac:dyDescent="0.3">
      <c r="A2421" s="80"/>
      <c r="B2421" s="80"/>
      <c r="C2421" s="80"/>
      <c r="D2421" s="80"/>
      <c r="E2421" s="80"/>
      <c r="F2421" s="80"/>
    </row>
    <row r="2422" spans="1:14" ht="12.6" customHeight="1" x14ac:dyDescent="0.3">
      <c r="A2422" s="80"/>
      <c r="B2422" s="80"/>
      <c r="C2422" s="80"/>
      <c r="D2422" s="80"/>
      <c r="E2422" s="80"/>
      <c r="F2422" s="80"/>
    </row>
    <row r="2423" spans="1:14" ht="12.6" customHeight="1" x14ac:dyDescent="0.3">
      <c r="A2423" s="80"/>
      <c r="B2423" s="80"/>
      <c r="C2423" s="80"/>
      <c r="D2423" s="80"/>
      <c r="E2423" s="80"/>
      <c r="F2423" s="80"/>
    </row>
    <row r="2424" spans="1:14" ht="12.6" customHeight="1" x14ac:dyDescent="0.3">
      <c r="A2424" s="80"/>
      <c r="B2424" s="80"/>
      <c r="C2424" s="80"/>
      <c r="D2424" s="80"/>
      <c r="E2424" s="80"/>
      <c r="F2424" s="80"/>
    </row>
    <row r="2425" spans="1:14" ht="12.6" customHeight="1" x14ac:dyDescent="0.3">
      <c r="A2425" s="80"/>
      <c r="B2425" s="80"/>
      <c r="C2425" s="80"/>
      <c r="D2425" s="80"/>
      <c r="E2425" s="80"/>
      <c r="F2425" s="80"/>
    </row>
    <row r="2426" spans="1:14" ht="12.6" customHeight="1" x14ac:dyDescent="0.3">
      <c r="A2426" s="80"/>
      <c r="B2426" s="80"/>
      <c r="C2426" s="80"/>
      <c r="D2426" s="80"/>
      <c r="E2426" s="80"/>
      <c r="F2426" s="80"/>
    </row>
    <row r="2427" spans="1:14" ht="12.6" customHeight="1" x14ac:dyDescent="0.3">
      <c r="A2427" s="80"/>
      <c r="B2427" s="80"/>
      <c r="C2427" s="80"/>
      <c r="D2427" s="80"/>
      <c r="E2427" s="80"/>
      <c r="F2427" s="80"/>
    </row>
    <row r="2428" spans="1:14" ht="12.6" customHeight="1" x14ac:dyDescent="0.3">
      <c r="A2428" s="80"/>
      <c r="B2428" s="80"/>
      <c r="C2428" s="80"/>
      <c r="D2428" s="80"/>
      <c r="E2428" s="80"/>
      <c r="F2428" s="80"/>
    </row>
    <row r="2429" spans="1:14" ht="12.6" customHeight="1" x14ac:dyDescent="0.3">
      <c r="A2429" s="58"/>
      <c r="B2429" s="58"/>
      <c r="C2429" s="58"/>
      <c r="D2429" s="58"/>
      <c r="E2429" s="58"/>
      <c r="F2429" s="58"/>
    </row>
    <row r="2430" spans="1:14" ht="12.6" customHeight="1" x14ac:dyDescent="0.3">
      <c r="A2430" s="141" t="s">
        <v>1171</v>
      </c>
      <c r="B2430" s="142"/>
      <c r="C2430" s="55">
        <f>E2430+D2430+F2430</f>
        <v>1851</v>
      </c>
      <c r="D2430" s="54">
        <f>ROUNDDOWN(SUMIF(N2365:N2396,M2430,D2365:D2396),0)</f>
        <v>818</v>
      </c>
      <c r="E2430" s="63">
        <f>ROUNDDOWN(SUMIF(N2365:N2396,M2430,E2365:E2396),0)</f>
        <v>542</v>
      </c>
      <c r="F2430" s="55">
        <f>ROUNDDOWN(SUMIF(N2365:N2396,M2430,F2365:F2396),0)</f>
        <v>491</v>
      </c>
      <c r="M2430" s="20" t="s">
        <v>1129</v>
      </c>
      <c r="N2430" s="20" t="s">
        <v>1172</v>
      </c>
    </row>
    <row r="2431" spans="1:14" ht="12.6" customHeight="1" x14ac:dyDescent="0.3">
      <c r="A2431" s="141" t="s">
        <v>1173</v>
      </c>
      <c r="B2431" s="142"/>
      <c r="C2431" s="55">
        <f>E2431+D2431+F2431</f>
        <v>1636</v>
      </c>
      <c r="D2431" s="54">
        <f>ROUNDDOWN(D2430*H2431/100,0)</f>
        <v>723</v>
      </c>
      <c r="E2431" s="63">
        <f>ROUNDDOWN(E2430*H2431/100,0)</f>
        <v>479</v>
      </c>
      <c r="F2431" s="55">
        <f>ROUNDDOWN(F2430*H2431/100,0)</f>
        <v>434</v>
      </c>
      <c r="H2431" s="67">
        <v>88.5</v>
      </c>
      <c r="M2431" s="20" t="s">
        <v>1172</v>
      </c>
    </row>
    <row r="2432" spans="1:14" ht="12.6" customHeight="1" x14ac:dyDescent="0.3">
      <c r="A2432" s="99" t="s">
        <v>305</v>
      </c>
      <c r="B2432" s="100" t="s">
        <v>305</v>
      </c>
      <c r="C2432" s="147">
        <f>C2500</f>
        <v>2035</v>
      </c>
      <c r="D2432" s="147">
        <f>D2500</f>
        <v>866</v>
      </c>
      <c r="E2432" s="147">
        <f>E2500</f>
        <v>573</v>
      </c>
      <c r="F2432" s="147">
        <f>F2500</f>
        <v>596</v>
      </c>
      <c r="G2432" s="36" t="str">
        <f>HYPERLINK("#G"&amp;ROW(G2466),"_x0005_`BDCOD|D02287_x0007_`POSS|"&amp;ROW(G2434)&amp;"_x0007_`POSE|"&amp;ROW(G2466)&amp;"_x0007_`")</f>
        <v>_x0005_`BDCOD|D02287_x0007_`POSS|2434_x0007_`POSE|2466_x0007_`</v>
      </c>
    </row>
    <row r="2433" spans="1:13" ht="12.6" customHeight="1" x14ac:dyDescent="0.3">
      <c r="A2433" s="85"/>
      <c r="B2433" s="100" t="s">
        <v>304</v>
      </c>
      <c r="C2433" s="137"/>
      <c r="D2433" s="137"/>
      <c r="E2433" s="137"/>
      <c r="F2433" s="137"/>
      <c r="M2433" s="20" t="s">
        <v>303</v>
      </c>
    </row>
    <row r="2434" spans="1:13" ht="12.6" customHeight="1" x14ac:dyDescent="0.3">
      <c r="A2434" s="70"/>
      <c r="B2434" s="79" t="s">
        <v>1872</v>
      </c>
      <c r="C2434" s="102"/>
      <c r="D2434" s="102"/>
      <c r="E2434" s="102"/>
      <c r="F2434" s="102"/>
      <c r="G2434" s="16" t="s">
        <v>1871</v>
      </c>
    </row>
    <row r="2435" spans="1:13" ht="12.6" customHeight="1" x14ac:dyDescent="0.3">
      <c r="A2435" s="80"/>
      <c r="B2435" s="80"/>
      <c r="C2435" s="80"/>
      <c r="D2435" s="80"/>
      <c r="E2435" s="80"/>
      <c r="F2435" s="80"/>
      <c r="G2435" s="16" t="s">
        <v>1324</v>
      </c>
    </row>
    <row r="2436" spans="1:13" ht="12.6" customHeight="1" x14ac:dyDescent="0.3">
      <c r="A2436" s="70"/>
      <c r="B2436" s="79" t="s">
        <v>2311</v>
      </c>
      <c r="C2436" s="80"/>
      <c r="D2436" s="80"/>
      <c r="E2436" s="80"/>
      <c r="F2436" s="80"/>
      <c r="G2436" s="16" t="s">
        <v>2310</v>
      </c>
    </row>
    <row r="2437" spans="1:13" ht="12.6" customHeight="1" x14ac:dyDescent="0.3">
      <c r="A2437" s="80"/>
      <c r="B2437" s="80"/>
      <c r="C2437" s="80"/>
      <c r="D2437" s="80"/>
      <c r="E2437" s="80"/>
      <c r="F2437" s="80"/>
      <c r="G2437" s="16" t="s">
        <v>1324</v>
      </c>
    </row>
    <row r="2438" spans="1:13" ht="12.6" customHeight="1" x14ac:dyDescent="0.3">
      <c r="A2438" s="70"/>
      <c r="B2438" s="79" t="s">
        <v>2312</v>
      </c>
      <c r="C2438" s="80"/>
      <c r="D2438" s="80"/>
      <c r="E2438" s="80"/>
      <c r="F2438" s="80"/>
      <c r="G2438" s="16" t="s">
        <v>1844</v>
      </c>
    </row>
    <row r="2439" spans="1:13" ht="12.6" customHeight="1" x14ac:dyDescent="0.3">
      <c r="A2439" s="80"/>
      <c r="B2439" s="80"/>
      <c r="C2439" s="80"/>
      <c r="D2439" s="80"/>
      <c r="E2439" s="80"/>
      <c r="F2439" s="80"/>
      <c r="G2439" s="16" t="s">
        <v>1324</v>
      </c>
    </row>
    <row r="2440" spans="1:13" ht="12.6" customHeight="1" x14ac:dyDescent="0.3">
      <c r="A2440" s="70"/>
      <c r="B2440" s="79" t="s">
        <v>1877</v>
      </c>
      <c r="C2440" s="80"/>
      <c r="D2440" s="80"/>
      <c r="E2440" s="80"/>
      <c r="F2440" s="80"/>
      <c r="G2440" s="16" t="s">
        <v>1876</v>
      </c>
    </row>
    <row r="2441" spans="1:13" ht="12.6" customHeight="1" x14ac:dyDescent="0.3">
      <c r="A2441" s="80"/>
      <c r="B2441" s="80"/>
      <c r="C2441" s="80"/>
      <c r="D2441" s="80"/>
      <c r="E2441" s="80"/>
      <c r="F2441" s="80"/>
      <c r="G2441" s="16" t="s">
        <v>1324</v>
      </c>
    </row>
    <row r="2442" spans="1:13" ht="12.6" customHeight="1" x14ac:dyDescent="0.3">
      <c r="A2442" s="70"/>
      <c r="B2442" s="79" t="s">
        <v>1879</v>
      </c>
      <c r="C2442" s="80"/>
      <c r="D2442" s="80"/>
      <c r="E2442" s="80"/>
      <c r="F2442" s="80"/>
      <c r="G2442" s="16" t="s">
        <v>1878</v>
      </c>
    </row>
    <row r="2443" spans="1:13" ht="12.6" customHeight="1" x14ac:dyDescent="0.3">
      <c r="A2443" s="80"/>
      <c r="B2443" s="80"/>
      <c r="C2443" s="80"/>
      <c r="D2443" s="80"/>
      <c r="E2443" s="80"/>
      <c r="F2443" s="80"/>
      <c r="G2443" s="16" t="s">
        <v>1324</v>
      </c>
    </row>
    <row r="2444" spans="1:13" ht="12.6" customHeight="1" x14ac:dyDescent="0.3">
      <c r="A2444" s="70"/>
      <c r="B2444" s="79" t="s">
        <v>2314</v>
      </c>
      <c r="C2444" s="80"/>
      <c r="D2444" s="80"/>
      <c r="E2444" s="80"/>
      <c r="F2444" s="80"/>
      <c r="G2444" s="16" t="s">
        <v>2313</v>
      </c>
    </row>
    <row r="2445" spans="1:13" ht="12.6" customHeight="1" x14ac:dyDescent="0.3">
      <c r="A2445" s="80"/>
      <c r="B2445" s="80"/>
      <c r="C2445" s="80"/>
      <c r="D2445" s="80"/>
      <c r="E2445" s="80"/>
      <c r="F2445" s="80"/>
      <c r="G2445" s="16" t="s">
        <v>1324</v>
      </c>
    </row>
    <row r="2446" spans="1:13" ht="12.6" customHeight="1" x14ac:dyDescent="0.3">
      <c r="A2446" s="70"/>
      <c r="B2446" s="79" t="s">
        <v>1853</v>
      </c>
      <c r="C2446" s="80"/>
      <c r="D2446" s="80"/>
      <c r="E2446" s="80"/>
      <c r="F2446" s="80"/>
      <c r="G2446" s="16" t="s">
        <v>1852</v>
      </c>
    </row>
    <row r="2447" spans="1:13" ht="12.6" customHeight="1" x14ac:dyDescent="0.3">
      <c r="A2447" s="80"/>
      <c r="B2447" s="80"/>
      <c r="C2447" s="80"/>
      <c r="D2447" s="80"/>
      <c r="E2447" s="80"/>
      <c r="F2447" s="80"/>
      <c r="G2447" s="16" t="s">
        <v>1324</v>
      </c>
    </row>
    <row r="2448" spans="1:13" ht="12.6" customHeight="1" x14ac:dyDescent="0.3">
      <c r="A2448" s="70"/>
      <c r="B2448" s="79" t="s">
        <v>1855</v>
      </c>
      <c r="C2448" s="80"/>
      <c r="D2448" s="80"/>
      <c r="E2448" s="80"/>
      <c r="F2448" s="80"/>
      <c r="G2448" s="16" t="s">
        <v>1854</v>
      </c>
    </row>
    <row r="2449" spans="1:25" ht="12.6" customHeight="1" x14ac:dyDescent="0.3">
      <c r="A2449" s="80"/>
      <c r="B2449" s="80"/>
      <c r="C2449" s="80"/>
      <c r="D2449" s="80"/>
      <c r="E2449" s="80"/>
      <c r="F2449" s="80"/>
      <c r="G2449" s="16" t="s">
        <v>1324</v>
      </c>
    </row>
    <row r="2450" spans="1:25" ht="12.6" customHeight="1" x14ac:dyDescent="0.3">
      <c r="A2450" s="70"/>
      <c r="B2450" s="79" t="s">
        <v>2315</v>
      </c>
      <c r="C2450" s="80"/>
      <c r="D2450" s="80"/>
      <c r="E2450" s="80"/>
      <c r="F2450" s="80"/>
      <c r="G2450" s="16" t="s">
        <v>1856</v>
      </c>
    </row>
    <row r="2451" spans="1:25" ht="12.6" customHeight="1" x14ac:dyDescent="0.3">
      <c r="A2451" s="80"/>
      <c r="B2451" s="80"/>
      <c r="C2451" s="80"/>
      <c r="D2451" s="80"/>
      <c r="E2451" s="80"/>
      <c r="F2451" s="80"/>
      <c r="G2451" s="16" t="s">
        <v>1324</v>
      </c>
    </row>
    <row r="2452" spans="1:25" ht="12.6" customHeight="1" x14ac:dyDescent="0.3">
      <c r="A2452" s="70"/>
      <c r="B2452" s="79" t="s">
        <v>1881</v>
      </c>
      <c r="C2452" s="80"/>
      <c r="D2452" s="80"/>
      <c r="E2452" s="80"/>
      <c r="F2452" s="80"/>
      <c r="G2452" s="16" t="s">
        <v>1880</v>
      </c>
    </row>
    <row r="2453" spans="1:25" ht="12.6" customHeight="1" x14ac:dyDescent="0.3">
      <c r="A2453" s="80"/>
      <c r="B2453" s="80"/>
      <c r="C2453" s="80"/>
      <c r="D2453" s="80"/>
      <c r="E2453" s="80"/>
      <c r="F2453" s="80"/>
      <c r="G2453" s="16" t="s">
        <v>1324</v>
      </c>
    </row>
    <row r="2454" spans="1:25" ht="12.6" customHeight="1" x14ac:dyDescent="0.3">
      <c r="A2454" s="70"/>
      <c r="B2454" s="79" t="s">
        <v>2316</v>
      </c>
      <c r="C2454" s="80"/>
      <c r="D2454" s="80"/>
      <c r="E2454" s="80"/>
      <c r="F2454" s="80"/>
      <c r="G2454" s="16" t="s">
        <v>1882</v>
      </c>
    </row>
    <row r="2455" spans="1:25" ht="12.6" customHeight="1" x14ac:dyDescent="0.3">
      <c r="A2455" s="80"/>
      <c r="B2455" s="80"/>
      <c r="C2455" s="80"/>
      <c r="D2455" s="80"/>
      <c r="E2455" s="80"/>
      <c r="F2455" s="80"/>
      <c r="G2455" s="16" t="s">
        <v>1324</v>
      </c>
    </row>
    <row r="2456" spans="1:25" ht="12.6" customHeight="1" x14ac:dyDescent="0.3">
      <c r="A2456" s="70"/>
      <c r="B2456" s="79" t="s">
        <v>2317</v>
      </c>
      <c r="C2456" s="80"/>
      <c r="D2456" s="80"/>
      <c r="E2456" s="80"/>
      <c r="F2456" s="80"/>
      <c r="G2456" s="16" t="s">
        <v>1884</v>
      </c>
    </row>
    <row r="2457" spans="1:25" ht="12.6" customHeight="1" x14ac:dyDescent="0.3">
      <c r="A2457" s="80"/>
      <c r="B2457" s="80"/>
      <c r="C2457" s="80"/>
      <c r="D2457" s="80"/>
      <c r="E2457" s="80"/>
      <c r="F2457" s="80"/>
      <c r="G2457" s="16" t="s">
        <v>1324</v>
      </c>
    </row>
    <row r="2458" spans="1:25" ht="12.6" customHeight="1" x14ac:dyDescent="0.3">
      <c r="A2458" s="80"/>
      <c r="B2458" s="80"/>
      <c r="C2458" s="80"/>
      <c r="D2458" s="80"/>
      <c r="E2458" s="80"/>
      <c r="F2458" s="80"/>
      <c r="G2458" s="16" t="s">
        <v>1324</v>
      </c>
    </row>
    <row r="2459" spans="1:25" ht="12.6" customHeight="1" x14ac:dyDescent="0.3">
      <c r="A2459" s="70" t="s">
        <v>1887</v>
      </c>
      <c r="B2459" s="101" t="str">
        <f>" 노 무 비  :   "&amp;TEXT(I2459,"#,##0"&amp;IF(I2459&lt;&gt;INT(I2459),".###",""))&amp;" / Q = "&amp;TEXT(C2459,"#,##0.0")&amp;""</f>
        <v xml:space="preserve"> 노 무 비  :   55,700 / Q = 979.9</v>
      </c>
      <c r="C2459" s="103">
        <f>E2459+D2459+F2459</f>
        <v>979.9</v>
      </c>
      <c r="D2459" s="103">
        <f>IF(H2459=0,0,ROUNDDOWN(J2459*H2459,1))</f>
        <v>979.9</v>
      </c>
      <c r="E2459" s="103">
        <f>IF(H2459=0,0,ROUNDDOWN(K2459*H2459,1))</f>
        <v>0</v>
      </c>
      <c r="F2459" s="103">
        <f>IF(H2459=0,0,ROUNDDOWN(L2459*H2459,1))</f>
        <v>0</v>
      </c>
      <c r="G2459" s="16" t="s">
        <v>1886</v>
      </c>
      <c r="H2459" s="108">
        <v>1.7593244204300001E-2</v>
      </c>
      <c r="I2459" s="109">
        <f>K2459+J2459+L2459</f>
        <v>55700</v>
      </c>
      <c r="J2459" s="39">
        <f>중기목록표!F20</f>
        <v>55700</v>
      </c>
      <c r="M2459" s="20" t="s">
        <v>1888</v>
      </c>
      <c r="N2459" s="20" t="s">
        <v>1345</v>
      </c>
      <c r="X2459" s="110" t="str">
        <f>중기목록표!B20&amp;" / "&amp;중기목록표!C20</f>
        <v>불도우저19ton / (암)</v>
      </c>
      <c r="Y2459" s="19" t="str">
        <f ca="1">HYPERLINK("#"&amp;중기목록표!J2&amp;"!A"&amp;ROW(중기목록표!A20),"중기   17 →")</f>
        <v>중기   17 →</v>
      </c>
    </row>
    <row r="2460" spans="1:25" ht="12.6" customHeight="1" x14ac:dyDescent="0.3">
      <c r="A2460" s="80"/>
      <c r="B2460" s="80"/>
      <c r="C2460" s="80"/>
      <c r="D2460" s="80"/>
      <c r="E2460" s="80"/>
      <c r="F2460" s="80"/>
      <c r="G2460" s="16" t="s">
        <v>1324</v>
      </c>
    </row>
    <row r="2461" spans="1:25" ht="12.6" customHeight="1" x14ac:dyDescent="0.3">
      <c r="A2461" s="70" t="s">
        <v>1890</v>
      </c>
      <c r="B2461" s="101" t="str">
        <f>" 재 료 비  :   "&amp;TEXT(I2461,"#,##0"&amp;IF(I2461&lt;&gt;INT(I2461),".###",""))&amp;" / Q = "&amp;TEXT(C2461,"#,##0.0")&amp;""</f>
        <v xml:space="preserve"> 재 료 비  :   36,888 / Q = 648.9</v>
      </c>
      <c r="C2461" s="103">
        <f>E2461+D2461+F2461</f>
        <v>648.9</v>
      </c>
      <c r="D2461" s="103">
        <f>IF(H2461=0,0,ROUNDDOWN(J2461*H2461,1))</f>
        <v>0</v>
      </c>
      <c r="E2461" s="103">
        <f>IF(H2461=0,0,ROUNDDOWN(K2461*H2461,1))</f>
        <v>648.9</v>
      </c>
      <c r="F2461" s="103">
        <f>IF(H2461=0,0,ROUNDDOWN(L2461*H2461,1))</f>
        <v>0</v>
      </c>
      <c r="G2461" s="16" t="s">
        <v>1889</v>
      </c>
      <c r="H2461" s="108">
        <v>1.7593244204300001E-2</v>
      </c>
      <c r="I2461" s="109">
        <f>K2461+J2461+L2461</f>
        <v>36888</v>
      </c>
      <c r="K2461" s="39">
        <f>중기목록표!G20</f>
        <v>36888</v>
      </c>
      <c r="M2461" s="20" t="s">
        <v>1888</v>
      </c>
      <c r="N2461" s="20" t="s">
        <v>1345</v>
      </c>
      <c r="X2461" s="110" t="str">
        <f>중기목록표!B20&amp;" / "&amp;중기목록표!C20</f>
        <v>불도우저19ton / (암)</v>
      </c>
      <c r="Y2461" s="19" t="str">
        <f ca="1">HYPERLINK("#"&amp;중기목록표!J2&amp;"!A"&amp;ROW(중기목록표!A20),"중기   17 →")</f>
        <v>중기   17 →</v>
      </c>
    </row>
    <row r="2462" spans="1:25" ht="12.6" customHeight="1" x14ac:dyDescent="0.3">
      <c r="A2462" s="80"/>
      <c r="B2462" s="80"/>
      <c r="C2462" s="80"/>
      <c r="D2462" s="80"/>
      <c r="E2462" s="80"/>
      <c r="F2462" s="80"/>
      <c r="G2462" s="16" t="s">
        <v>1324</v>
      </c>
    </row>
    <row r="2463" spans="1:25" ht="12.6" customHeight="1" x14ac:dyDescent="0.3">
      <c r="A2463" s="70" t="s">
        <v>1892</v>
      </c>
      <c r="B2463" s="101" t="str">
        <f>" 경    비  :   "&amp;TEXT(I2463,"#,##0"&amp;IF(I2463&lt;&gt;INT(I2463),".###",""))&amp;" / Q = "&amp;TEXT(C2463,"#,##0.0")&amp;""</f>
        <v xml:space="preserve"> 경    비  :   38,320 / Q = 674.1</v>
      </c>
      <c r="C2463" s="103">
        <f>E2463+D2463+F2463</f>
        <v>674.1</v>
      </c>
      <c r="D2463" s="103">
        <f>IF(H2463=0,0,ROUNDDOWN(J2463*H2463,1))</f>
        <v>0</v>
      </c>
      <c r="E2463" s="103">
        <f>IF(H2463=0,0,ROUNDDOWN(K2463*H2463,1))</f>
        <v>0</v>
      </c>
      <c r="F2463" s="103">
        <f>IF(H2463=0,0,ROUNDDOWN(L2463*H2463,1))</f>
        <v>674.1</v>
      </c>
      <c r="G2463" s="16" t="s">
        <v>1891</v>
      </c>
      <c r="H2463" s="108">
        <v>1.7593244204300001E-2</v>
      </c>
      <c r="I2463" s="109">
        <f>K2463+J2463+L2463</f>
        <v>38320</v>
      </c>
      <c r="L2463" s="39">
        <f>중기목록표!H20</f>
        <v>38320</v>
      </c>
      <c r="M2463" s="20" t="s">
        <v>1888</v>
      </c>
      <c r="N2463" s="20" t="s">
        <v>1345</v>
      </c>
      <c r="X2463" s="110" t="str">
        <f>중기목록표!B20&amp;" / "&amp;중기목록표!C20</f>
        <v>불도우저19ton / (암)</v>
      </c>
      <c r="Y2463" s="19" t="str">
        <f ca="1">HYPERLINK("#"&amp;중기목록표!J2&amp;"!A"&amp;ROW(중기목록표!A20),"중기   17 →")</f>
        <v>중기   17 →</v>
      </c>
    </row>
    <row r="2464" spans="1:25" ht="12.6" customHeight="1" x14ac:dyDescent="0.3">
      <c r="A2464" s="80"/>
      <c r="B2464" s="80"/>
      <c r="C2464" s="80"/>
      <c r="D2464" s="80"/>
      <c r="E2464" s="80"/>
      <c r="F2464" s="80"/>
      <c r="G2464" s="16" t="s">
        <v>1324</v>
      </c>
    </row>
    <row r="2465" spans="1:14" ht="12.6" customHeight="1" x14ac:dyDescent="0.3">
      <c r="A2465" s="80"/>
      <c r="B2465" s="80"/>
      <c r="C2465" s="80"/>
      <c r="D2465" s="80"/>
      <c r="E2465" s="80"/>
      <c r="F2465" s="80"/>
      <c r="G2465" s="16" t="s">
        <v>1324</v>
      </c>
    </row>
    <row r="2466" spans="1:14" ht="12.6" customHeight="1" x14ac:dyDescent="0.3">
      <c r="A2466" s="70"/>
      <c r="B2466" s="79" t="s">
        <v>1344</v>
      </c>
      <c r="C2466" s="104">
        <f>E2466+D2466+F2466</f>
        <v>2302.9</v>
      </c>
      <c r="D2466" s="104">
        <f>SUMIF(N2434:N2465,M2466,D2434:D2465)</f>
        <v>979.9</v>
      </c>
      <c r="E2466" s="104">
        <f>SUMIF(N2434:N2465,M2466,E2434:E2465)</f>
        <v>648.9</v>
      </c>
      <c r="F2466" s="104">
        <f>SUMIF(N2434:N2465,M2466,F2434:F2465)</f>
        <v>674.1</v>
      </c>
      <c r="G2466" s="16" t="s">
        <v>1343</v>
      </c>
      <c r="M2466" s="20" t="s">
        <v>1345</v>
      </c>
      <c r="N2466" s="20" t="s">
        <v>1129</v>
      </c>
    </row>
    <row r="2467" spans="1:14" ht="12.6" customHeight="1" x14ac:dyDescent="0.3">
      <c r="A2467" s="80"/>
      <c r="B2467" s="80"/>
      <c r="C2467" s="102"/>
      <c r="D2467" s="102"/>
      <c r="E2467" s="102"/>
      <c r="F2467" s="102"/>
    </row>
    <row r="2468" spans="1:14" ht="12.6" customHeight="1" x14ac:dyDescent="0.3">
      <c r="A2468" s="80"/>
      <c r="B2468" s="80"/>
      <c r="C2468" s="80"/>
      <c r="D2468" s="80"/>
      <c r="E2468" s="80"/>
      <c r="F2468" s="80"/>
    </row>
    <row r="2469" spans="1:14" ht="12.6" customHeight="1" x14ac:dyDescent="0.3">
      <c r="A2469" s="80"/>
      <c r="B2469" s="80"/>
      <c r="C2469" s="80"/>
      <c r="D2469" s="80"/>
      <c r="E2469" s="80"/>
      <c r="F2469" s="80"/>
    </row>
    <row r="2470" spans="1:14" ht="12.6" customHeight="1" x14ac:dyDescent="0.3">
      <c r="A2470" s="80"/>
      <c r="B2470" s="80"/>
      <c r="C2470" s="80"/>
      <c r="D2470" s="80"/>
      <c r="E2470" s="80"/>
      <c r="F2470" s="80"/>
    </row>
    <row r="2471" spans="1:14" ht="12.6" customHeight="1" x14ac:dyDescent="0.3">
      <c r="A2471" s="80"/>
      <c r="B2471" s="80"/>
      <c r="C2471" s="80"/>
      <c r="D2471" s="80"/>
      <c r="E2471" s="80"/>
      <c r="F2471" s="80"/>
    </row>
    <row r="2472" spans="1:14" ht="12.6" customHeight="1" x14ac:dyDescent="0.3">
      <c r="A2472" s="80"/>
      <c r="B2472" s="80"/>
      <c r="C2472" s="80"/>
      <c r="D2472" s="80"/>
      <c r="E2472" s="80"/>
      <c r="F2472" s="80"/>
    </row>
    <row r="2473" spans="1:14" ht="12.6" customHeight="1" x14ac:dyDescent="0.3">
      <c r="A2473" s="80"/>
      <c r="B2473" s="80"/>
      <c r="C2473" s="80"/>
      <c r="D2473" s="80"/>
      <c r="E2473" s="80"/>
      <c r="F2473" s="80"/>
    </row>
    <row r="2474" spans="1:14" ht="12.6" customHeight="1" x14ac:dyDescent="0.3">
      <c r="A2474" s="80"/>
      <c r="B2474" s="80"/>
      <c r="C2474" s="80"/>
      <c r="D2474" s="80"/>
      <c r="E2474" s="80"/>
      <c r="F2474" s="80"/>
    </row>
    <row r="2475" spans="1:14" ht="12.6" customHeight="1" x14ac:dyDescent="0.3">
      <c r="A2475" s="80"/>
      <c r="B2475" s="80"/>
      <c r="C2475" s="80"/>
      <c r="D2475" s="80"/>
      <c r="E2475" s="80"/>
      <c r="F2475" s="80"/>
    </row>
    <row r="2476" spans="1:14" ht="12.6" customHeight="1" x14ac:dyDescent="0.3">
      <c r="A2476" s="80"/>
      <c r="B2476" s="80"/>
      <c r="C2476" s="80"/>
      <c r="D2476" s="80"/>
      <c r="E2476" s="80"/>
      <c r="F2476" s="80"/>
    </row>
    <row r="2477" spans="1:14" ht="12.6" customHeight="1" x14ac:dyDescent="0.3">
      <c r="A2477" s="80"/>
      <c r="B2477" s="80"/>
      <c r="C2477" s="80"/>
      <c r="D2477" s="80"/>
      <c r="E2477" s="80"/>
      <c r="F2477" s="80"/>
    </row>
    <row r="2478" spans="1:14" ht="12.6" customHeight="1" x14ac:dyDescent="0.3">
      <c r="A2478" s="80"/>
      <c r="B2478" s="80"/>
      <c r="C2478" s="80"/>
      <c r="D2478" s="80"/>
      <c r="E2478" s="80"/>
      <c r="F2478" s="80"/>
    </row>
    <row r="2479" spans="1:14" ht="12.6" customHeight="1" x14ac:dyDescent="0.3">
      <c r="A2479" s="80"/>
      <c r="B2479" s="80"/>
      <c r="C2479" s="80"/>
      <c r="D2479" s="80"/>
      <c r="E2479" s="80"/>
      <c r="F2479" s="80"/>
    </row>
    <row r="2480" spans="1:14" ht="12.6" customHeight="1" x14ac:dyDescent="0.3">
      <c r="A2480" s="80"/>
      <c r="B2480" s="80"/>
      <c r="C2480" s="80"/>
      <c r="D2480" s="80"/>
      <c r="E2480" s="80"/>
      <c r="F2480" s="80"/>
    </row>
    <row r="2481" spans="1:6" ht="12.6" customHeight="1" x14ac:dyDescent="0.3">
      <c r="A2481" s="80"/>
      <c r="B2481" s="80"/>
      <c r="C2481" s="80"/>
      <c r="D2481" s="80"/>
      <c r="E2481" s="80"/>
      <c r="F2481" s="80"/>
    </row>
    <row r="2482" spans="1:6" ht="12.6" customHeight="1" x14ac:dyDescent="0.3">
      <c r="A2482" s="80"/>
      <c r="B2482" s="80"/>
      <c r="C2482" s="80"/>
      <c r="D2482" s="80"/>
      <c r="E2482" s="80"/>
      <c r="F2482" s="80"/>
    </row>
    <row r="2483" spans="1:6" ht="12.6" customHeight="1" x14ac:dyDescent="0.3">
      <c r="A2483" s="80"/>
      <c r="B2483" s="80"/>
      <c r="C2483" s="80"/>
      <c r="D2483" s="80"/>
      <c r="E2483" s="80"/>
      <c r="F2483" s="80"/>
    </row>
    <row r="2484" spans="1:6" ht="12.6" customHeight="1" x14ac:dyDescent="0.3">
      <c r="A2484" s="80"/>
      <c r="B2484" s="80"/>
      <c r="C2484" s="80"/>
      <c r="D2484" s="80"/>
      <c r="E2484" s="80"/>
      <c r="F2484" s="80"/>
    </row>
    <row r="2485" spans="1:6" ht="12.6" customHeight="1" x14ac:dyDescent="0.3">
      <c r="A2485" s="80"/>
      <c r="B2485" s="80"/>
      <c r="C2485" s="80"/>
      <c r="D2485" s="80"/>
      <c r="E2485" s="80"/>
      <c r="F2485" s="80"/>
    </row>
    <row r="2486" spans="1:6" ht="12.6" customHeight="1" x14ac:dyDescent="0.3">
      <c r="A2486" s="80"/>
      <c r="B2486" s="80"/>
      <c r="C2486" s="80"/>
      <c r="D2486" s="80"/>
      <c r="E2486" s="80"/>
      <c r="F2486" s="80"/>
    </row>
    <row r="2487" spans="1:6" ht="12.6" customHeight="1" x14ac:dyDescent="0.3">
      <c r="A2487" s="80"/>
      <c r="B2487" s="80"/>
      <c r="C2487" s="80"/>
      <c r="D2487" s="80"/>
      <c r="E2487" s="80"/>
      <c r="F2487" s="80"/>
    </row>
    <row r="2488" spans="1:6" ht="12.6" customHeight="1" x14ac:dyDescent="0.3">
      <c r="A2488" s="80"/>
      <c r="B2488" s="80"/>
      <c r="C2488" s="80"/>
      <c r="D2488" s="80"/>
      <c r="E2488" s="80"/>
      <c r="F2488" s="80"/>
    </row>
    <row r="2489" spans="1:6" ht="12.6" customHeight="1" x14ac:dyDescent="0.3">
      <c r="A2489" s="80"/>
      <c r="B2489" s="80"/>
      <c r="C2489" s="80"/>
      <c r="D2489" s="80"/>
      <c r="E2489" s="80"/>
      <c r="F2489" s="80"/>
    </row>
    <row r="2490" spans="1:6" ht="12.6" customHeight="1" x14ac:dyDescent="0.3">
      <c r="A2490" s="80"/>
      <c r="B2490" s="80"/>
      <c r="C2490" s="80"/>
      <c r="D2490" s="80"/>
      <c r="E2490" s="80"/>
      <c r="F2490" s="80"/>
    </row>
    <row r="2491" spans="1:6" ht="12.6" customHeight="1" x14ac:dyDescent="0.3">
      <c r="A2491" s="80"/>
      <c r="B2491" s="80"/>
      <c r="C2491" s="80"/>
      <c r="D2491" s="80"/>
      <c r="E2491" s="80"/>
      <c r="F2491" s="80"/>
    </row>
    <row r="2492" spans="1:6" ht="12.6" customHeight="1" x14ac:dyDescent="0.3">
      <c r="A2492" s="80"/>
      <c r="B2492" s="80"/>
      <c r="C2492" s="80"/>
      <c r="D2492" s="80"/>
      <c r="E2492" s="80"/>
      <c r="F2492" s="80"/>
    </row>
    <row r="2493" spans="1:6" ht="12.6" customHeight="1" x14ac:dyDescent="0.3">
      <c r="A2493" s="80"/>
      <c r="B2493" s="80"/>
      <c r="C2493" s="80"/>
      <c r="D2493" s="80"/>
      <c r="E2493" s="80"/>
      <c r="F2493" s="80"/>
    </row>
    <row r="2494" spans="1:6" ht="12.6" customHeight="1" x14ac:dyDescent="0.3">
      <c r="A2494" s="80"/>
      <c r="B2494" s="80"/>
      <c r="C2494" s="80"/>
      <c r="D2494" s="80"/>
      <c r="E2494" s="80"/>
      <c r="F2494" s="80"/>
    </row>
    <row r="2495" spans="1:6" ht="12.6" customHeight="1" x14ac:dyDescent="0.3">
      <c r="A2495" s="80"/>
      <c r="B2495" s="80"/>
      <c r="C2495" s="80"/>
      <c r="D2495" s="80"/>
      <c r="E2495" s="80"/>
      <c r="F2495" s="80"/>
    </row>
    <row r="2496" spans="1:6" ht="12.6" customHeight="1" x14ac:dyDescent="0.3">
      <c r="A2496" s="80"/>
      <c r="B2496" s="80"/>
      <c r="C2496" s="80"/>
      <c r="D2496" s="80"/>
      <c r="E2496" s="80"/>
      <c r="F2496" s="80"/>
    </row>
    <row r="2497" spans="1:14" ht="12.6" customHeight="1" x14ac:dyDescent="0.3">
      <c r="A2497" s="80"/>
      <c r="B2497" s="80"/>
      <c r="C2497" s="80"/>
      <c r="D2497" s="80"/>
      <c r="E2497" s="80"/>
      <c r="F2497" s="80"/>
    </row>
    <row r="2498" spans="1:14" ht="12.6" customHeight="1" x14ac:dyDescent="0.3">
      <c r="A2498" s="58"/>
      <c r="B2498" s="58"/>
      <c r="C2498" s="58"/>
      <c r="D2498" s="58"/>
      <c r="E2498" s="58"/>
      <c r="F2498" s="58"/>
    </row>
    <row r="2499" spans="1:14" ht="12.6" customHeight="1" x14ac:dyDescent="0.3">
      <c r="A2499" s="141" t="s">
        <v>1171</v>
      </c>
      <c r="B2499" s="142"/>
      <c r="C2499" s="55">
        <f>E2499+D2499+F2499</f>
        <v>2301</v>
      </c>
      <c r="D2499" s="54">
        <f>ROUNDDOWN(SUMIF(N2434:N2466,M2499,D2434:D2466),0)</f>
        <v>979</v>
      </c>
      <c r="E2499" s="63">
        <f>ROUNDDOWN(SUMIF(N2434:N2466,M2499,E2434:E2466),0)</f>
        <v>648</v>
      </c>
      <c r="F2499" s="55">
        <f>ROUNDDOWN(SUMIF(N2434:N2466,M2499,F2434:F2466),0)</f>
        <v>674</v>
      </c>
      <c r="M2499" s="20" t="s">
        <v>1129</v>
      </c>
      <c r="N2499" s="20" t="s">
        <v>1172</v>
      </c>
    </row>
    <row r="2500" spans="1:14" ht="12.6" customHeight="1" x14ac:dyDescent="0.3">
      <c r="A2500" s="141" t="s">
        <v>1173</v>
      </c>
      <c r="B2500" s="142"/>
      <c r="C2500" s="55">
        <f>E2500+D2500+F2500</f>
        <v>2035</v>
      </c>
      <c r="D2500" s="54">
        <f>ROUNDDOWN(D2499*H2500/100,0)</f>
        <v>866</v>
      </c>
      <c r="E2500" s="63">
        <f>ROUNDDOWN(E2499*H2500/100,0)</f>
        <v>573</v>
      </c>
      <c r="F2500" s="55">
        <f>ROUNDDOWN(F2499*H2500/100,0)</f>
        <v>596</v>
      </c>
      <c r="H2500" s="67">
        <v>88.5</v>
      </c>
      <c r="M2500" s="20" t="s">
        <v>1172</v>
      </c>
    </row>
    <row r="2501" spans="1:14" ht="12.6" customHeight="1" x14ac:dyDescent="0.3">
      <c r="A2501" s="99" t="s">
        <v>309</v>
      </c>
      <c r="B2501" s="100" t="s">
        <v>309</v>
      </c>
      <c r="C2501" s="147">
        <f>C2604</f>
        <v>7139</v>
      </c>
      <c r="D2501" s="147">
        <f>D2604</f>
        <v>4450</v>
      </c>
      <c r="E2501" s="147">
        <f>E2604</f>
        <v>1008</v>
      </c>
      <c r="F2501" s="147">
        <f>F2604</f>
        <v>1681</v>
      </c>
      <c r="G2501" s="36" t="str">
        <f>HYPERLINK("#G"&amp;ROW(G2580),"_x0005_`BDCOD|D02288_x0007_`POSS|"&amp;ROW(G2503)&amp;"_x0007_`POSE|"&amp;ROW(G2580)&amp;"_x0007_`")</f>
        <v>_x0005_`BDCOD|D02288_x0007_`POSS|2503_x0007_`POSE|2580_x0007_`</v>
      </c>
    </row>
    <row r="2502" spans="1:14" ht="12.6" customHeight="1" x14ac:dyDescent="0.3">
      <c r="A2502" s="85"/>
      <c r="B2502" s="100" t="s">
        <v>308</v>
      </c>
      <c r="C2502" s="137"/>
      <c r="D2502" s="137"/>
      <c r="E2502" s="137"/>
      <c r="F2502" s="137"/>
      <c r="M2502" s="20" t="s">
        <v>307</v>
      </c>
    </row>
    <row r="2503" spans="1:14" ht="12.6" customHeight="1" x14ac:dyDescent="0.3">
      <c r="A2503" s="70"/>
      <c r="B2503" s="79" t="s">
        <v>1894</v>
      </c>
      <c r="C2503" s="102"/>
      <c r="D2503" s="102"/>
      <c r="E2503" s="102"/>
      <c r="F2503" s="102"/>
      <c r="G2503" s="16" t="s">
        <v>1893</v>
      </c>
    </row>
    <row r="2504" spans="1:14" ht="12.6" customHeight="1" x14ac:dyDescent="0.3">
      <c r="A2504" s="80"/>
      <c r="B2504" s="80"/>
      <c r="C2504" s="80"/>
      <c r="D2504" s="80"/>
      <c r="E2504" s="80"/>
      <c r="F2504" s="80"/>
      <c r="G2504" s="16" t="s">
        <v>1324</v>
      </c>
    </row>
    <row r="2505" spans="1:14" ht="12.6" customHeight="1" x14ac:dyDescent="0.3">
      <c r="A2505" s="70"/>
      <c r="B2505" s="79" t="s">
        <v>1896</v>
      </c>
      <c r="C2505" s="80"/>
      <c r="D2505" s="80"/>
      <c r="E2505" s="80"/>
      <c r="F2505" s="80"/>
      <c r="G2505" s="16" t="s">
        <v>1895</v>
      </c>
    </row>
    <row r="2506" spans="1:14" ht="12.6" customHeight="1" x14ac:dyDescent="0.3">
      <c r="A2506" s="80"/>
      <c r="B2506" s="80"/>
      <c r="C2506" s="80"/>
      <c r="D2506" s="80"/>
      <c r="E2506" s="80"/>
      <c r="F2506" s="80"/>
      <c r="G2506" s="16" t="s">
        <v>1324</v>
      </c>
    </row>
    <row r="2507" spans="1:14" ht="12.6" customHeight="1" x14ac:dyDescent="0.3">
      <c r="A2507" s="70"/>
      <c r="B2507" s="79" t="s">
        <v>2319</v>
      </c>
      <c r="C2507" s="80"/>
      <c r="D2507" s="80"/>
      <c r="E2507" s="80"/>
      <c r="F2507" s="80"/>
      <c r="G2507" s="16" t="s">
        <v>2318</v>
      </c>
    </row>
    <row r="2508" spans="1:14" ht="12.6" customHeight="1" x14ac:dyDescent="0.3">
      <c r="A2508" s="80"/>
      <c r="B2508" s="80"/>
      <c r="C2508" s="80"/>
      <c r="D2508" s="80"/>
      <c r="E2508" s="80"/>
      <c r="F2508" s="80"/>
      <c r="G2508" s="16" t="s">
        <v>1324</v>
      </c>
    </row>
    <row r="2509" spans="1:14" ht="12.6" customHeight="1" x14ac:dyDescent="0.3">
      <c r="A2509" s="70"/>
      <c r="B2509" s="79" t="s">
        <v>1900</v>
      </c>
      <c r="C2509" s="80"/>
      <c r="D2509" s="80"/>
      <c r="E2509" s="80"/>
      <c r="F2509" s="80"/>
      <c r="G2509" s="16" t="s">
        <v>1899</v>
      </c>
    </row>
    <row r="2510" spans="1:14" ht="12.6" customHeight="1" x14ac:dyDescent="0.3">
      <c r="A2510" s="80"/>
      <c r="B2510" s="80"/>
      <c r="C2510" s="80"/>
      <c r="D2510" s="80"/>
      <c r="E2510" s="80"/>
      <c r="F2510" s="80"/>
      <c r="G2510" s="16" t="s">
        <v>1324</v>
      </c>
    </row>
    <row r="2511" spans="1:14" ht="12.6" customHeight="1" x14ac:dyDescent="0.3">
      <c r="A2511" s="70"/>
      <c r="B2511" s="79" t="s">
        <v>1902</v>
      </c>
      <c r="C2511" s="80"/>
      <c r="D2511" s="80"/>
      <c r="E2511" s="80"/>
      <c r="F2511" s="80"/>
      <c r="G2511" s="16" t="s">
        <v>1901</v>
      </c>
    </row>
    <row r="2512" spans="1:14" ht="12.6" customHeight="1" x14ac:dyDescent="0.3">
      <c r="A2512" s="80"/>
      <c r="B2512" s="80"/>
      <c r="C2512" s="80"/>
      <c r="D2512" s="80"/>
      <c r="E2512" s="80"/>
      <c r="F2512" s="80"/>
      <c r="G2512" s="16" t="s">
        <v>1324</v>
      </c>
    </row>
    <row r="2513" spans="1:25" ht="12.6" customHeight="1" x14ac:dyDescent="0.3">
      <c r="A2513" s="70"/>
      <c r="B2513" s="79" t="s">
        <v>1904</v>
      </c>
      <c r="C2513" s="80"/>
      <c r="D2513" s="80"/>
      <c r="E2513" s="80"/>
      <c r="F2513" s="80"/>
      <c r="G2513" s="16" t="s">
        <v>1903</v>
      </c>
    </row>
    <row r="2514" spans="1:25" ht="12.6" customHeight="1" x14ac:dyDescent="0.3">
      <c r="A2514" s="80"/>
      <c r="B2514" s="80"/>
      <c r="C2514" s="80"/>
      <c r="D2514" s="80"/>
      <c r="E2514" s="80"/>
      <c r="F2514" s="80"/>
      <c r="G2514" s="16" t="s">
        <v>1324</v>
      </c>
    </row>
    <row r="2515" spans="1:25" ht="12.6" customHeight="1" x14ac:dyDescent="0.3">
      <c r="A2515" s="70"/>
      <c r="B2515" s="79" t="s">
        <v>1906</v>
      </c>
      <c r="C2515" s="80"/>
      <c r="D2515" s="80"/>
      <c r="E2515" s="80"/>
      <c r="F2515" s="80"/>
      <c r="G2515" s="16" t="s">
        <v>1905</v>
      </c>
    </row>
    <row r="2516" spans="1:25" ht="12.6" customHeight="1" x14ac:dyDescent="0.3">
      <c r="A2516" s="80"/>
      <c r="B2516" s="80"/>
      <c r="C2516" s="80"/>
      <c r="D2516" s="80"/>
      <c r="E2516" s="80"/>
      <c r="F2516" s="80"/>
      <c r="G2516" s="16" t="s">
        <v>1324</v>
      </c>
    </row>
    <row r="2517" spans="1:25" ht="12.6" customHeight="1" x14ac:dyDescent="0.3">
      <c r="A2517" s="70"/>
      <c r="B2517" s="79" t="s">
        <v>1908</v>
      </c>
      <c r="C2517" s="80"/>
      <c r="D2517" s="80"/>
      <c r="E2517" s="80"/>
      <c r="F2517" s="80"/>
      <c r="G2517" s="16" t="s">
        <v>1907</v>
      </c>
    </row>
    <row r="2518" spans="1:25" ht="12.6" customHeight="1" x14ac:dyDescent="0.3">
      <c r="A2518" s="80"/>
      <c r="B2518" s="80"/>
      <c r="C2518" s="80"/>
      <c r="D2518" s="80"/>
      <c r="E2518" s="80"/>
      <c r="F2518" s="80"/>
      <c r="G2518" s="16" t="s">
        <v>1324</v>
      </c>
    </row>
    <row r="2519" spans="1:25" ht="12.6" customHeight="1" x14ac:dyDescent="0.3">
      <c r="A2519" s="70" t="s">
        <v>1524</v>
      </c>
      <c r="B2519" s="101" t="str">
        <f>" 노 무 비  :   "&amp;TEXT(I2519,"#,##0"&amp;IF(I2519&lt;&gt;INT(I2519),".###",""))&amp;" / Q  = "&amp;TEXT(C2519,"#,##0.0")&amp;""</f>
        <v xml:space="preserve"> 노 무 비  :   55,700 / Q  = 1,754.3</v>
      </c>
      <c r="C2519" s="103">
        <f>E2519+D2519+F2519</f>
        <v>1754.3</v>
      </c>
      <c r="D2519" s="103">
        <f>IF(H2519=0,0,ROUNDDOWN(J2519*H2519,1))</f>
        <v>1754.3</v>
      </c>
      <c r="E2519" s="103">
        <f>IF(H2519=0,0,ROUNDDOWN(K2519*H2519,1))</f>
        <v>0</v>
      </c>
      <c r="F2519" s="103">
        <f>IF(H2519=0,0,ROUNDDOWN(L2519*H2519,1))</f>
        <v>0</v>
      </c>
      <c r="G2519" s="16" t="s">
        <v>1909</v>
      </c>
      <c r="H2519" s="108">
        <v>3.1496063002200002E-2</v>
      </c>
      <c r="I2519" s="109">
        <f>K2519+J2519+L2519</f>
        <v>55700</v>
      </c>
      <c r="J2519" s="39">
        <f>중기목록표!F7</f>
        <v>55700</v>
      </c>
      <c r="M2519" s="20" t="s">
        <v>1179</v>
      </c>
      <c r="N2519" s="20" t="s">
        <v>1345</v>
      </c>
      <c r="X2519" s="110" t="str">
        <f>중기목록표!B7&amp;" / "&amp;중기목록표!C7</f>
        <v xml:space="preserve">굴삭기(0.7m3) / </v>
      </c>
      <c r="Y2519" s="19" t="str">
        <f ca="1">HYPERLINK("#"&amp;중기목록표!J2&amp;"!A"&amp;ROW(중기목록표!A7),"중기    4 →")</f>
        <v>중기    4 →</v>
      </c>
    </row>
    <row r="2520" spans="1:25" ht="12.6" customHeight="1" x14ac:dyDescent="0.3">
      <c r="A2520" s="80"/>
      <c r="B2520" s="80"/>
      <c r="C2520" s="80"/>
      <c r="D2520" s="80"/>
      <c r="E2520" s="80"/>
      <c r="F2520" s="80"/>
      <c r="G2520" s="16" t="s">
        <v>1324</v>
      </c>
    </row>
    <row r="2521" spans="1:25" ht="12.6" customHeight="1" x14ac:dyDescent="0.3">
      <c r="A2521" s="70" t="s">
        <v>1526</v>
      </c>
      <c r="B2521" s="101" t="str">
        <f>" 재 료 비  :   "&amp;TEXT(I2521,"#,##0"&amp;IF(I2521&lt;&gt;INT(I2521),".###",""))&amp;" / Q  = "&amp;TEXT(C2521,"#,##0.0")&amp;""</f>
        <v xml:space="preserve"> 재 료 비  :   18,001 / Q  = 566.9</v>
      </c>
      <c r="C2521" s="103">
        <f>E2521+D2521+F2521</f>
        <v>566.9</v>
      </c>
      <c r="D2521" s="103">
        <f>IF(H2521=0,0,ROUNDDOWN(J2521*H2521,1))</f>
        <v>0</v>
      </c>
      <c r="E2521" s="103">
        <f>IF(H2521=0,0,ROUNDDOWN(K2521*H2521,1))</f>
        <v>566.9</v>
      </c>
      <c r="F2521" s="103">
        <f>IF(H2521=0,0,ROUNDDOWN(L2521*H2521,1))</f>
        <v>0</v>
      </c>
      <c r="G2521" s="16" t="s">
        <v>1910</v>
      </c>
      <c r="H2521" s="108">
        <v>3.1496063002200002E-2</v>
      </c>
      <c r="I2521" s="109">
        <f>K2521+J2521+L2521</f>
        <v>18001</v>
      </c>
      <c r="K2521" s="39">
        <f>중기목록표!G7</f>
        <v>18001</v>
      </c>
      <c r="M2521" s="20" t="s">
        <v>1179</v>
      </c>
      <c r="N2521" s="20" t="s">
        <v>1345</v>
      </c>
      <c r="X2521" s="110" t="str">
        <f>중기목록표!B7&amp;" / "&amp;중기목록표!C7</f>
        <v xml:space="preserve">굴삭기(0.7m3) / </v>
      </c>
      <c r="Y2521" s="19" t="str">
        <f ca="1">HYPERLINK("#"&amp;중기목록표!J2&amp;"!A"&amp;ROW(중기목록표!A7),"중기    4 →")</f>
        <v>중기    4 →</v>
      </c>
    </row>
    <row r="2522" spans="1:25" ht="12.6" customHeight="1" x14ac:dyDescent="0.3">
      <c r="A2522" s="80"/>
      <c r="B2522" s="80"/>
      <c r="C2522" s="80"/>
      <c r="D2522" s="80"/>
      <c r="E2522" s="80"/>
      <c r="F2522" s="80"/>
      <c r="G2522" s="16" t="s">
        <v>1324</v>
      </c>
    </row>
    <row r="2523" spans="1:25" ht="12.6" customHeight="1" x14ac:dyDescent="0.3">
      <c r="A2523" s="70" t="s">
        <v>1528</v>
      </c>
      <c r="B2523" s="101" t="str">
        <f>" 경    비  :   "&amp;TEXT(I2523,"#,##0"&amp;IF(I2523&lt;&gt;INT(I2523),".###",""))&amp;" / Q  = "&amp;TEXT(C2523,"#,##0.0")&amp;""</f>
        <v xml:space="preserve"> 경    비  :   23,128 / Q  = 728.4</v>
      </c>
      <c r="C2523" s="103">
        <f>E2523+D2523+F2523</f>
        <v>728.4</v>
      </c>
      <c r="D2523" s="103">
        <f>IF(H2523=0,0,ROUNDDOWN(J2523*H2523,1))</f>
        <v>0</v>
      </c>
      <c r="E2523" s="103">
        <f>IF(H2523=0,0,ROUNDDOWN(K2523*H2523,1))</f>
        <v>0</v>
      </c>
      <c r="F2523" s="103">
        <f>IF(H2523=0,0,ROUNDDOWN(L2523*H2523,1))</f>
        <v>728.4</v>
      </c>
      <c r="G2523" s="16" t="s">
        <v>1911</v>
      </c>
      <c r="H2523" s="108">
        <v>3.1496063002200002E-2</v>
      </c>
      <c r="I2523" s="109">
        <f>K2523+J2523+L2523</f>
        <v>23128</v>
      </c>
      <c r="L2523" s="39">
        <f>중기목록표!H7</f>
        <v>23128</v>
      </c>
      <c r="M2523" s="20" t="s">
        <v>1179</v>
      </c>
      <c r="N2523" s="20" t="s">
        <v>1345</v>
      </c>
      <c r="X2523" s="110" t="str">
        <f>중기목록표!B7&amp;" / "&amp;중기목록표!C7</f>
        <v xml:space="preserve">굴삭기(0.7m3) / </v>
      </c>
      <c r="Y2523" s="19" t="str">
        <f ca="1">HYPERLINK("#"&amp;중기목록표!J2&amp;"!A"&amp;ROW(중기목록표!A7),"중기    4 →")</f>
        <v>중기    4 →</v>
      </c>
    </row>
    <row r="2524" spans="1:25" ht="12.6" customHeight="1" x14ac:dyDescent="0.3">
      <c r="A2524" s="80"/>
      <c r="B2524" s="80"/>
      <c r="C2524" s="80"/>
      <c r="D2524" s="80"/>
      <c r="E2524" s="80"/>
      <c r="F2524" s="80"/>
      <c r="G2524" s="16" t="s">
        <v>1324</v>
      </c>
    </row>
    <row r="2525" spans="1:25" ht="12.6" customHeight="1" x14ac:dyDescent="0.3">
      <c r="A2525" s="70"/>
      <c r="B2525" s="79" t="s">
        <v>1344</v>
      </c>
      <c r="C2525" s="104">
        <f>E2525+D2525+F2525</f>
        <v>3049.6</v>
      </c>
      <c r="D2525" s="104">
        <f>SUMIF(N2503:N2524,M2525,D2503:D2524)</f>
        <v>1754.3</v>
      </c>
      <c r="E2525" s="104">
        <f>SUMIF(N2503:N2524,M2525,E2503:E2524)</f>
        <v>566.9</v>
      </c>
      <c r="F2525" s="104">
        <f>SUMIF(N2503:N2524,M2525,F2503:F2524)</f>
        <v>728.4</v>
      </c>
      <c r="G2525" s="16" t="s">
        <v>1343</v>
      </c>
      <c r="M2525" s="20" t="s">
        <v>1345</v>
      </c>
      <c r="N2525" s="20" t="s">
        <v>1368</v>
      </c>
    </row>
    <row r="2526" spans="1:25" ht="12.6" customHeight="1" x14ac:dyDescent="0.3">
      <c r="A2526" s="80"/>
      <c r="B2526" s="80"/>
      <c r="C2526" s="102"/>
      <c r="D2526" s="102"/>
      <c r="E2526" s="102"/>
      <c r="F2526" s="102"/>
      <c r="G2526" s="16" t="s">
        <v>1324</v>
      </c>
    </row>
    <row r="2527" spans="1:25" ht="12.6" customHeight="1" x14ac:dyDescent="0.3">
      <c r="A2527" s="70"/>
      <c r="B2527" s="79" t="s">
        <v>1913</v>
      </c>
      <c r="C2527" s="80"/>
      <c r="D2527" s="80"/>
      <c r="E2527" s="80"/>
      <c r="F2527" s="80"/>
      <c r="G2527" s="16" t="s">
        <v>1912</v>
      </c>
    </row>
    <row r="2528" spans="1:25" ht="12.6" customHeight="1" x14ac:dyDescent="0.3">
      <c r="A2528" s="80"/>
      <c r="B2528" s="80"/>
      <c r="C2528" s="80"/>
      <c r="D2528" s="80"/>
      <c r="E2528" s="80"/>
      <c r="F2528" s="80"/>
      <c r="G2528" s="16" t="s">
        <v>1324</v>
      </c>
    </row>
    <row r="2529" spans="1:7" ht="12.6" customHeight="1" x14ac:dyDescent="0.3">
      <c r="A2529" s="70"/>
      <c r="B2529" s="79" t="s">
        <v>1915</v>
      </c>
      <c r="C2529" s="80"/>
      <c r="D2529" s="80"/>
      <c r="E2529" s="80"/>
      <c r="F2529" s="80"/>
      <c r="G2529" s="16" t="s">
        <v>1914</v>
      </c>
    </row>
    <row r="2530" spans="1:7" ht="12.6" customHeight="1" x14ac:dyDescent="0.3">
      <c r="A2530" s="80"/>
      <c r="B2530" s="80"/>
      <c r="C2530" s="80"/>
      <c r="D2530" s="80"/>
      <c r="E2530" s="80"/>
      <c r="F2530" s="80"/>
      <c r="G2530" s="16" t="s">
        <v>1324</v>
      </c>
    </row>
    <row r="2531" spans="1:7" ht="12.6" customHeight="1" x14ac:dyDescent="0.3">
      <c r="A2531" s="70"/>
      <c r="B2531" s="79" t="s">
        <v>1917</v>
      </c>
      <c r="C2531" s="80"/>
      <c r="D2531" s="80"/>
      <c r="E2531" s="80"/>
      <c r="F2531" s="80"/>
      <c r="G2531" s="16" t="s">
        <v>1916</v>
      </c>
    </row>
    <row r="2532" spans="1:7" ht="12.6" customHeight="1" x14ac:dyDescent="0.3">
      <c r="A2532" s="80"/>
      <c r="B2532" s="80"/>
      <c r="C2532" s="80"/>
      <c r="D2532" s="80"/>
      <c r="E2532" s="80"/>
      <c r="F2532" s="80"/>
      <c r="G2532" s="16" t="s">
        <v>1324</v>
      </c>
    </row>
    <row r="2533" spans="1:7" ht="12.6" customHeight="1" x14ac:dyDescent="0.3">
      <c r="A2533" s="70"/>
      <c r="B2533" s="79" t="s">
        <v>1919</v>
      </c>
      <c r="C2533" s="80"/>
      <c r="D2533" s="80"/>
      <c r="E2533" s="80"/>
      <c r="F2533" s="80"/>
      <c r="G2533" s="16" t="s">
        <v>1918</v>
      </c>
    </row>
    <row r="2534" spans="1:7" ht="12.6" customHeight="1" x14ac:dyDescent="0.3">
      <c r="A2534" s="80"/>
      <c r="B2534" s="80"/>
      <c r="C2534" s="80"/>
      <c r="D2534" s="80"/>
      <c r="E2534" s="80"/>
      <c r="F2534" s="80"/>
      <c r="G2534" s="16" t="s">
        <v>1324</v>
      </c>
    </row>
    <row r="2535" spans="1:7" ht="12.6" customHeight="1" x14ac:dyDescent="0.3">
      <c r="A2535" s="70"/>
      <c r="B2535" s="79" t="s">
        <v>1921</v>
      </c>
      <c r="C2535" s="80"/>
      <c r="D2535" s="80"/>
      <c r="E2535" s="80"/>
      <c r="F2535" s="80"/>
      <c r="G2535" s="16" t="s">
        <v>1920</v>
      </c>
    </row>
    <row r="2536" spans="1:7" ht="12.6" customHeight="1" x14ac:dyDescent="0.3">
      <c r="A2536" s="80"/>
      <c r="B2536" s="80"/>
      <c r="C2536" s="80"/>
      <c r="D2536" s="80"/>
      <c r="E2536" s="80"/>
      <c r="F2536" s="80"/>
      <c r="G2536" s="16" t="s">
        <v>1324</v>
      </c>
    </row>
    <row r="2537" spans="1:7" ht="12.6" customHeight="1" x14ac:dyDescent="0.3">
      <c r="A2537" s="70"/>
      <c r="B2537" s="79" t="s">
        <v>1409</v>
      </c>
      <c r="C2537" s="80"/>
      <c r="D2537" s="80"/>
      <c r="E2537" s="80"/>
      <c r="F2537" s="80"/>
      <c r="G2537" s="16" t="s">
        <v>1922</v>
      </c>
    </row>
    <row r="2538" spans="1:7" ht="12.6" customHeight="1" x14ac:dyDescent="0.3">
      <c r="A2538" s="80"/>
      <c r="B2538" s="80"/>
      <c r="C2538" s="80"/>
      <c r="D2538" s="80"/>
      <c r="E2538" s="80"/>
      <c r="F2538" s="80"/>
      <c r="G2538" s="16" t="s">
        <v>1324</v>
      </c>
    </row>
    <row r="2539" spans="1:7" ht="12.6" customHeight="1" x14ac:dyDescent="0.3">
      <c r="A2539" s="70"/>
      <c r="B2539" s="79" t="s">
        <v>1924</v>
      </c>
      <c r="C2539" s="80"/>
      <c r="D2539" s="80"/>
      <c r="E2539" s="80"/>
      <c r="F2539" s="80"/>
      <c r="G2539" s="16" t="s">
        <v>1923</v>
      </c>
    </row>
    <row r="2540" spans="1:7" ht="12.6" customHeight="1" x14ac:dyDescent="0.3">
      <c r="A2540" s="80"/>
      <c r="B2540" s="80"/>
      <c r="C2540" s="80"/>
      <c r="D2540" s="80"/>
      <c r="E2540" s="80"/>
      <c r="F2540" s="80"/>
      <c r="G2540" s="16" t="s">
        <v>1324</v>
      </c>
    </row>
    <row r="2541" spans="1:7" ht="12.6" customHeight="1" x14ac:dyDescent="0.3">
      <c r="A2541" s="70"/>
      <c r="B2541" s="79" t="s">
        <v>1926</v>
      </c>
      <c r="C2541" s="80"/>
      <c r="D2541" s="80"/>
      <c r="E2541" s="80"/>
      <c r="F2541" s="80"/>
      <c r="G2541" s="16" t="s">
        <v>1925</v>
      </c>
    </row>
    <row r="2542" spans="1:7" ht="12.6" customHeight="1" x14ac:dyDescent="0.3">
      <c r="A2542" s="80"/>
      <c r="B2542" s="80"/>
      <c r="C2542" s="80"/>
      <c r="D2542" s="80"/>
      <c r="E2542" s="80"/>
      <c r="F2542" s="80"/>
      <c r="G2542" s="16" t="s">
        <v>1324</v>
      </c>
    </row>
    <row r="2543" spans="1:7" ht="12.6" customHeight="1" x14ac:dyDescent="0.3">
      <c r="A2543" s="70"/>
      <c r="B2543" s="79" t="s">
        <v>2320</v>
      </c>
      <c r="C2543" s="80"/>
      <c r="D2543" s="80"/>
      <c r="E2543" s="80"/>
      <c r="F2543" s="80"/>
      <c r="G2543" s="16" t="s">
        <v>1927</v>
      </c>
    </row>
    <row r="2544" spans="1:7" ht="12.6" customHeight="1" x14ac:dyDescent="0.3">
      <c r="A2544" s="80"/>
      <c r="B2544" s="80"/>
      <c r="C2544" s="80"/>
      <c r="D2544" s="80"/>
      <c r="E2544" s="80"/>
      <c r="F2544" s="80"/>
      <c r="G2544" s="16" t="s">
        <v>1324</v>
      </c>
    </row>
    <row r="2545" spans="1:25" ht="12.6" customHeight="1" x14ac:dyDescent="0.3">
      <c r="A2545" s="70"/>
      <c r="B2545" s="79" t="s">
        <v>1930</v>
      </c>
      <c r="C2545" s="80"/>
      <c r="D2545" s="80"/>
      <c r="E2545" s="80"/>
      <c r="F2545" s="80"/>
      <c r="G2545" s="16" t="s">
        <v>1929</v>
      </c>
    </row>
    <row r="2546" spans="1:25" ht="12.6" customHeight="1" x14ac:dyDescent="0.3">
      <c r="A2546" s="80"/>
      <c r="B2546" s="80"/>
      <c r="C2546" s="80"/>
      <c r="D2546" s="80"/>
      <c r="E2546" s="80"/>
      <c r="F2546" s="80"/>
      <c r="G2546" s="16" t="s">
        <v>1324</v>
      </c>
    </row>
    <row r="2547" spans="1:25" ht="12.6" customHeight="1" x14ac:dyDescent="0.3">
      <c r="A2547" s="70"/>
      <c r="B2547" s="79" t="s">
        <v>1932</v>
      </c>
      <c r="C2547" s="80"/>
      <c r="D2547" s="80"/>
      <c r="E2547" s="80"/>
      <c r="F2547" s="80"/>
      <c r="G2547" s="16" t="s">
        <v>1931</v>
      </c>
    </row>
    <row r="2548" spans="1:25" ht="12.6" customHeight="1" x14ac:dyDescent="0.3">
      <c r="A2548" s="80"/>
      <c r="B2548" s="80"/>
      <c r="C2548" s="80"/>
      <c r="D2548" s="80"/>
      <c r="E2548" s="80"/>
      <c r="F2548" s="80"/>
      <c r="G2548" s="16" t="s">
        <v>1324</v>
      </c>
    </row>
    <row r="2549" spans="1:25" ht="12.6" customHeight="1" x14ac:dyDescent="0.3">
      <c r="A2549" s="70"/>
      <c r="B2549" s="79" t="s">
        <v>2321</v>
      </c>
      <c r="C2549" s="80"/>
      <c r="D2549" s="80"/>
      <c r="E2549" s="80"/>
      <c r="F2549" s="80"/>
      <c r="G2549" s="16" t="s">
        <v>1933</v>
      </c>
    </row>
    <row r="2550" spans="1:25" ht="12.6" customHeight="1" x14ac:dyDescent="0.3">
      <c r="A2550" s="80"/>
      <c r="B2550" s="80"/>
      <c r="C2550" s="80"/>
      <c r="D2550" s="80"/>
      <c r="E2550" s="80"/>
      <c r="F2550" s="80"/>
      <c r="G2550" s="16" t="s">
        <v>1324</v>
      </c>
    </row>
    <row r="2551" spans="1:25" ht="12.6" customHeight="1" x14ac:dyDescent="0.3">
      <c r="A2551" s="70"/>
      <c r="B2551" s="79" t="s">
        <v>2322</v>
      </c>
      <c r="C2551" s="80"/>
      <c r="D2551" s="80"/>
      <c r="E2551" s="80"/>
      <c r="F2551" s="80"/>
      <c r="G2551" s="16" t="s">
        <v>1935</v>
      </c>
    </row>
    <row r="2552" spans="1:25" ht="12.6" customHeight="1" x14ac:dyDescent="0.3">
      <c r="A2552" s="80"/>
      <c r="B2552" s="80"/>
      <c r="C2552" s="80"/>
      <c r="D2552" s="80"/>
      <c r="E2552" s="80"/>
      <c r="F2552" s="80"/>
      <c r="G2552" s="16" t="s">
        <v>1324</v>
      </c>
    </row>
    <row r="2553" spans="1:25" ht="12.6" customHeight="1" x14ac:dyDescent="0.3">
      <c r="A2553" s="70"/>
      <c r="B2553" s="79" t="s">
        <v>2323</v>
      </c>
      <c r="C2553" s="80"/>
      <c r="D2553" s="80"/>
      <c r="E2553" s="80"/>
      <c r="F2553" s="80"/>
      <c r="G2553" s="16" t="s">
        <v>1937</v>
      </c>
    </row>
    <row r="2554" spans="1:25" ht="12.6" customHeight="1" x14ac:dyDescent="0.3">
      <c r="A2554" s="80"/>
      <c r="B2554" s="80"/>
      <c r="C2554" s="80"/>
      <c r="D2554" s="80"/>
      <c r="E2554" s="80"/>
      <c r="F2554" s="80"/>
      <c r="G2554" s="16" t="s">
        <v>1324</v>
      </c>
    </row>
    <row r="2555" spans="1:25" ht="12.6" customHeight="1" x14ac:dyDescent="0.3">
      <c r="A2555" s="70" t="s">
        <v>1940</v>
      </c>
      <c r="B2555" s="101" t="str">
        <f>" 노 무 비  :   "&amp;TEXT(I2555,"#,##0"&amp;IF(I2555&lt;&gt;INT(I2555),".###",""))&amp;" / Q1  = "&amp;TEXT(C2555,"#,##0.0")&amp;""</f>
        <v xml:space="preserve"> 노 무 비  :   55,700 / Q1  = 2,983.3</v>
      </c>
      <c r="C2555" s="103">
        <f>E2555+D2555+F2555</f>
        <v>2983.3</v>
      </c>
      <c r="D2555" s="103">
        <f>IF(H2555=0,0,ROUNDDOWN(J2555*H2555,1))</f>
        <v>2983.3</v>
      </c>
      <c r="E2555" s="103">
        <f>IF(H2555=0,0,ROUNDDOWN(K2555*H2555,1))</f>
        <v>0</v>
      </c>
      <c r="F2555" s="103">
        <f>IF(H2555=0,0,ROUNDDOWN(L2555*H2555,1))</f>
        <v>0</v>
      </c>
      <c r="G2555" s="16" t="s">
        <v>1939</v>
      </c>
      <c r="H2555" s="108">
        <v>5.3561863963E-2</v>
      </c>
      <c r="I2555" s="109">
        <f>K2555+J2555+L2555</f>
        <v>55700</v>
      </c>
      <c r="J2555" s="39">
        <f>중기목록표!F11</f>
        <v>55700</v>
      </c>
      <c r="M2555" s="20" t="s">
        <v>1941</v>
      </c>
      <c r="N2555" s="20" t="s">
        <v>1345</v>
      </c>
      <c r="X2555" s="110" t="str">
        <f>중기목록표!B11&amp;" / "&amp;중기목록표!C11</f>
        <v xml:space="preserve">덤프트럭15ton(토사) / </v>
      </c>
      <c r="Y2555" s="19" t="str">
        <f ca="1">HYPERLINK("#"&amp;중기목록표!J2&amp;"!A"&amp;ROW(중기목록표!A11),"중기    8 →")</f>
        <v>중기    8 →</v>
      </c>
    </row>
    <row r="2556" spans="1:25" ht="12.6" customHeight="1" x14ac:dyDescent="0.3">
      <c r="A2556" s="80"/>
      <c r="B2556" s="80"/>
      <c r="C2556" s="80"/>
      <c r="D2556" s="80"/>
      <c r="E2556" s="80"/>
      <c r="F2556" s="80"/>
      <c r="G2556" s="16" t="s">
        <v>1324</v>
      </c>
    </row>
    <row r="2557" spans="1:25" ht="12.6" customHeight="1" x14ac:dyDescent="0.3">
      <c r="A2557" s="70" t="s">
        <v>1943</v>
      </c>
      <c r="B2557" s="101" t="str">
        <f>" 재 료 비  :   "&amp;TEXT(I2557,"#,##0"&amp;IF(I2557&lt;&gt;INT(I2557),".###",""))&amp;" / Q1 * OH = "&amp;TEXT(C2557,"#,##0.0")&amp;""</f>
        <v xml:space="preserve"> 재 료 비  :   27,910 / Q1 * OH = 478.3</v>
      </c>
      <c r="C2557" s="103">
        <f>E2557+D2557+F2557</f>
        <v>478.3</v>
      </c>
      <c r="D2557" s="103">
        <f>IF(H2557=0,0,ROUNDDOWN(J2557*H2557,1))</f>
        <v>0</v>
      </c>
      <c r="E2557" s="103">
        <f>IF(H2557=0,0,ROUNDDOWN(K2557*H2557,1))</f>
        <v>478.3</v>
      </c>
      <c r="F2557" s="103">
        <f>IF(H2557=0,0,ROUNDDOWN(L2557*H2557,1))</f>
        <v>0</v>
      </c>
      <c r="G2557" s="16" t="s">
        <v>1942</v>
      </c>
      <c r="H2557" s="108">
        <v>1.7139796475E-2</v>
      </c>
      <c r="I2557" s="109">
        <f>K2557+J2557+L2557</f>
        <v>27910</v>
      </c>
      <c r="K2557" s="39">
        <f>중기목록표!G11</f>
        <v>27910</v>
      </c>
      <c r="M2557" s="20" t="s">
        <v>1941</v>
      </c>
      <c r="N2557" s="20" t="s">
        <v>1345</v>
      </c>
      <c r="X2557" s="110" t="str">
        <f>중기목록표!B11&amp;" / "&amp;중기목록표!C11</f>
        <v xml:space="preserve">덤프트럭15ton(토사) / </v>
      </c>
      <c r="Y2557" s="19" t="str">
        <f ca="1">HYPERLINK("#"&amp;중기목록표!J2&amp;"!A"&amp;ROW(중기목록표!A11),"중기    8 →")</f>
        <v>중기    8 →</v>
      </c>
    </row>
    <row r="2558" spans="1:25" ht="12.6" customHeight="1" x14ac:dyDescent="0.3">
      <c r="A2558" s="80"/>
      <c r="B2558" s="80"/>
      <c r="C2558" s="80"/>
      <c r="D2558" s="80"/>
      <c r="E2558" s="80"/>
      <c r="F2558" s="80"/>
      <c r="G2558" s="16" t="s">
        <v>1324</v>
      </c>
    </row>
    <row r="2559" spans="1:25" ht="12.6" customHeight="1" x14ac:dyDescent="0.3">
      <c r="A2559" s="70" t="s">
        <v>1945</v>
      </c>
      <c r="B2559" s="101" t="str">
        <f>" 경    비  :   "&amp;TEXT(I2559,"#,##0"&amp;IF(I2559&lt;&gt;INT(I2559),".###",""))&amp;" / Q1  = "&amp;TEXT(C2559,"#,##0.0")&amp;""</f>
        <v xml:space="preserve"> 경    비  :   19,631 / Q1  = 1,051.4</v>
      </c>
      <c r="C2559" s="103">
        <f>E2559+D2559+F2559</f>
        <v>1051.4000000000001</v>
      </c>
      <c r="D2559" s="103">
        <f>IF(H2559=0,0,ROUNDDOWN(J2559*H2559,1))</f>
        <v>0</v>
      </c>
      <c r="E2559" s="103">
        <f>IF(H2559=0,0,ROUNDDOWN(K2559*H2559,1))</f>
        <v>0</v>
      </c>
      <c r="F2559" s="103">
        <f>IF(H2559=0,0,ROUNDDOWN(L2559*H2559,1))</f>
        <v>1051.4000000000001</v>
      </c>
      <c r="G2559" s="16" t="s">
        <v>1944</v>
      </c>
      <c r="H2559" s="108">
        <v>5.3561863963E-2</v>
      </c>
      <c r="I2559" s="109">
        <f>K2559+J2559+L2559</f>
        <v>19631</v>
      </c>
      <c r="L2559" s="39">
        <f>중기목록표!H11</f>
        <v>19631</v>
      </c>
      <c r="M2559" s="20" t="s">
        <v>1941</v>
      </c>
      <c r="N2559" s="20" t="s">
        <v>1345</v>
      </c>
      <c r="X2559" s="110" t="str">
        <f>중기목록표!B11&amp;" / "&amp;중기목록표!C11</f>
        <v xml:space="preserve">덤프트럭15ton(토사) / </v>
      </c>
      <c r="Y2559" s="19" t="str">
        <f ca="1">HYPERLINK("#"&amp;중기목록표!J2&amp;"!A"&amp;ROW(중기목록표!A11),"중기    8 →")</f>
        <v>중기    8 →</v>
      </c>
    </row>
    <row r="2560" spans="1:25" ht="12.6" customHeight="1" x14ac:dyDescent="0.3">
      <c r="A2560" s="80"/>
      <c r="B2560" s="80"/>
      <c r="C2560" s="80"/>
      <c r="D2560" s="80"/>
      <c r="E2560" s="80"/>
      <c r="F2560" s="80"/>
      <c r="G2560" s="16" t="s">
        <v>1324</v>
      </c>
    </row>
    <row r="2561" spans="1:25" ht="12.6" customHeight="1" x14ac:dyDescent="0.3">
      <c r="A2561" s="70"/>
      <c r="B2561" s="79" t="s">
        <v>1344</v>
      </c>
      <c r="C2561" s="104">
        <f>E2561+D2561+F2561</f>
        <v>4513</v>
      </c>
      <c r="D2561" s="104">
        <f>SUMIF(N2526:N2560,M2561,D2526:D2560)</f>
        <v>2983.3</v>
      </c>
      <c r="E2561" s="104">
        <f>SUMIF(N2526:N2560,M2561,E2526:E2560)</f>
        <v>478.3</v>
      </c>
      <c r="F2561" s="104">
        <f>SUMIF(N2526:N2560,M2561,F2526:F2560)</f>
        <v>1051.4000000000001</v>
      </c>
      <c r="G2561" s="16" t="s">
        <v>1603</v>
      </c>
      <c r="M2561" s="20" t="s">
        <v>1345</v>
      </c>
      <c r="N2561" s="20" t="s">
        <v>1368</v>
      </c>
    </row>
    <row r="2562" spans="1:25" ht="12.6" customHeight="1" x14ac:dyDescent="0.3">
      <c r="A2562" s="80"/>
      <c r="B2562" s="80"/>
      <c r="C2562" s="102"/>
      <c r="D2562" s="102"/>
      <c r="E2562" s="102"/>
      <c r="F2562" s="102"/>
      <c r="G2562" s="16" t="s">
        <v>1324</v>
      </c>
    </row>
    <row r="2563" spans="1:25" ht="12.6" customHeight="1" x14ac:dyDescent="0.3">
      <c r="A2563" s="80"/>
      <c r="B2563" s="80"/>
      <c r="C2563" s="80"/>
      <c r="D2563" s="80"/>
      <c r="E2563" s="80"/>
      <c r="F2563" s="80"/>
      <c r="G2563" s="16" t="s">
        <v>1324</v>
      </c>
    </row>
    <row r="2564" spans="1:25" ht="12.6" customHeight="1" x14ac:dyDescent="0.3">
      <c r="A2564" s="70"/>
      <c r="B2564" s="79" t="s">
        <v>1947</v>
      </c>
      <c r="C2564" s="80"/>
      <c r="D2564" s="80"/>
      <c r="E2564" s="80"/>
      <c r="F2564" s="80"/>
      <c r="G2564" s="16" t="s">
        <v>1946</v>
      </c>
    </row>
    <row r="2565" spans="1:25" ht="12.6" customHeight="1" x14ac:dyDescent="0.3">
      <c r="A2565" s="80"/>
      <c r="B2565" s="80"/>
      <c r="C2565" s="80"/>
      <c r="D2565" s="80"/>
      <c r="E2565" s="80"/>
      <c r="F2565" s="80"/>
      <c r="G2565" s="16" t="s">
        <v>1324</v>
      </c>
    </row>
    <row r="2566" spans="1:25" ht="12.6" customHeight="1" x14ac:dyDescent="0.3">
      <c r="A2566" s="70"/>
      <c r="B2566" s="79" t="s">
        <v>1949</v>
      </c>
      <c r="C2566" s="80"/>
      <c r="D2566" s="80"/>
      <c r="E2566" s="80"/>
      <c r="F2566" s="80"/>
      <c r="G2566" s="16" t="s">
        <v>1948</v>
      </c>
    </row>
    <row r="2567" spans="1:25" ht="12.6" customHeight="1" x14ac:dyDescent="0.3">
      <c r="A2567" s="80"/>
      <c r="B2567" s="80"/>
      <c r="C2567" s="80"/>
      <c r="D2567" s="80"/>
      <c r="E2567" s="80"/>
      <c r="F2567" s="80"/>
      <c r="G2567" s="16" t="s">
        <v>1324</v>
      </c>
    </row>
    <row r="2568" spans="1:25" ht="12.6" customHeight="1" x14ac:dyDescent="0.3">
      <c r="A2568" s="70"/>
      <c r="B2568" s="79" t="s">
        <v>1951</v>
      </c>
      <c r="C2568" s="80"/>
      <c r="D2568" s="80"/>
      <c r="E2568" s="80"/>
      <c r="F2568" s="80"/>
      <c r="G2568" s="16" t="s">
        <v>1950</v>
      </c>
    </row>
    <row r="2569" spans="1:25" ht="12.6" customHeight="1" x14ac:dyDescent="0.3">
      <c r="A2569" s="80"/>
      <c r="B2569" s="80"/>
      <c r="C2569" s="80"/>
      <c r="D2569" s="80"/>
      <c r="E2569" s="80"/>
      <c r="F2569" s="80"/>
      <c r="G2569" s="16" t="s">
        <v>1324</v>
      </c>
    </row>
    <row r="2570" spans="1:25" ht="12.6" customHeight="1" x14ac:dyDescent="0.3">
      <c r="A2570" s="70"/>
      <c r="B2570" s="79" t="s">
        <v>1953</v>
      </c>
      <c r="C2570" s="80"/>
      <c r="D2570" s="80"/>
      <c r="E2570" s="80"/>
      <c r="F2570" s="80"/>
      <c r="G2570" s="16" t="s">
        <v>1952</v>
      </c>
    </row>
    <row r="2571" spans="1:25" ht="12.6" customHeight="1" x14ac:dyDescent="0.3">
      <c r="A2571" s="80"/>
      <c r="B2571" s="80"/>
      <c r="C2571" s="80"/>
      <c r="D2571" s="80"/>
      <c r="E2571" s="80"/>
      <c r="F2571" s="80"/>
      <c r="G2571" s="16" t="s">
        <v>1324</v>
      </c>
    </row>
    <row r="2572" spans="1:25" ht="12.6" customHeight="1" x14ac:dyDescent="0.3">
      <c r="A2572" s="70" t="s">
        <v>1524</v>
      </c>
      <c r="B2572" s="101" t="str">
        <f>" 노 무 비  :   "&amp;TEXT(I2572,"#,##0"&amp;IF(I2572&lt;&gt;INT(I2572),".###",""))&amp;" / Q / 3 = "&amp;TEXT(C2572,"#,##0.0")&amp;""</f>
        <v xml:space="preserve"> 노 무 비  :   55,700 / Q / 3 = 291.4</v>
      </c>
      <c r="C2572" s="103">
        <f>E2572+D2572+F2572</f>
        <v>291.39999999999998</v>
      </c>
      <c r="D2572" s="103">
        <f>IF(H2572=0,0,ROUNDDOWN(J2572*H2572,1))</f>
        <v>291.39999999999998</v>
      </c>
      <c r="E2572" s="103">
        <f>IF(H2572=0,0,ROUNDDOWN(K2572*H2572,1))</f>
        <v>0</v>
      </c>
      <c r="F2572" s="103">
        <f>IF(H2572=0,0,ROUNDDOWN(L2572*H2572,1))</f>
        <v>0</v>
      </c>
      <c r="G2572" s="16" t="s">
        <v>1954</v>
      </c>
      <c r="H2572" s="108">
        <v>5.2328623858E-3</v>
      </c>
      <c r="I2572" s="109">
        <f>K2572+J2572+L2572</f>
        <v>55700</v>
      </c>
      <c r="J2572" s="39">
        <f>중기목록표!F7</f>
        <v>55700</v>
      </c>
      <c r="M2572" s="20" t="s">
        <v>1179</v>
      </c>
      <c r="N2572" s="20" t="s">
        <v>1345</v>
      </c>
      <c r="X2572" s="110" t="str">
        <f>중기목록표!B7&amp;" / "&amp;중기목록표!C7</f>
        <v xml:space="preserve">굴삭기(0.7m3) / </v>
      </c>
      <c r="Y2572" s="19" t="str">
        <f ca="1">HYPERLINK("#"&amp;중기목록표!J2&amp;"!A"&amp;ROW(중기목록표!A7),"중기    4 →")</f>
        <v>중기    4 →</v>
      </c>
    </row>
    <row r="2573" spans="1:25" ht="12.6" customHeight="1" x14ac:dyDescent="0.3">
      <c r="A2573" s="80"/>
      <c r="B2573" s="80"/>
      <c r="C2573" s="80"/>
      <c r="D2573" s="80"/>
      <c r="E2573" s="80"/>
      <c r="F2573" s="80"/>
      <c r="G2573" s="16" t="s">
        <v>1324</v>
      </c>
    </row>
    <row r="2574" spans="1:25" ht="12.6" customHeight="1" x14ac:dyDescent="0.3">
      <c r="A2574" s="70" t="s">
        <v>1526</v>
      </c>
      <c r="B2574" s="101" t="str">
        <f>" 재 료 비  :   "&amp;TEXT(I2574,"#,##0"&amp;IF(I2574&lt;&gt;INT(I2574),".###",""))&amp;" / Q / 3 = "&amp;TEXT(C2574,"#,##0.0")&amp;""</f>
        <v xml:space="preserve"> 재 료 비  :   18,001 / Q / 3 = 94.1</v>
      </c>
      <c r="C2574" s="103">
        <f>E2574+D2574+F2574</f>
        <v>94.1</v>
      </c>
      <c r="D2574" s="103">
        <f>IF(H2574=0,0,ROUNDDOWN(J2574*H2574,1))</f>
        <v>0</v>
      </c>
      <c r="E2574" s="103">
        <f>IF(H2574=0,0,ROUNDDOWN(K2574*H2574,1))</f>
        <v>94.1</v>
      </c>
      <c r="F2574" s="103">
        <f>IF(H2574=0,0,ROUNDDOWN(L2574*H2574,1))</f>
        <v>0</v>
      </c>
      <c r="G2574" s="16" t="s">
        <v>1955</v>
      </c>
      <c r="H2574" s="108">
        <v>5.2328623858E-3</v>
      </c>
      <c r="I2574" s="109">
        <f>K2574+J2574+L2574</f>
        <v>18001</v>
      </c>
      <c r="K2574" s="39">
        <f>중기목록표!G7</f>
        <v>18001</v>
      </c>
      <c r="M2574" s="20" t="s">
        <v>1179</v>
      </c>
      <c r="N2574" s="20" t="s">
        <v>1345</v>
      </c>
      <c r="X2574" s="110" t="str">
        <f>중기목록표!B7&amp;" / "&amp;중기목록표!C7</f>
        <v xml:space="preserve">굴삭기(0.7m3) / </v>
      </c>
      <c r="Y2574" s="19" t="str">
        <f ca="1">HYPERLINK("#"&amp;중기목록표!J2&amp;"!A"&amp;ROW(중기목록표!A7),"중기    4 →")</f>
        <v>중기    4 →</v>
      </c>
    </row>
    <row r="2575" spans="1:25" ht="12.6" customHeight="1" x14ac:dyDescent="0.3">
      <c r="A2575" s="80"/>
      <c r="B2575" s="80"/>
      <c r="C2575" s="80"/>
      <c r="D2575" s="80"/>
      <c r="E2575" s="80"/>
      <c r="F2575" s="80"/>
      <c r="G2575" s="16" t="s">
        <v>1324</v>
      </c>
    </row>
    <row r="2576" spans="1:25" ht="12.6" customHeight="1" x14ac:dyDescent="0.3">
      <c r="A2576" s="70" t="s">
        <v>1528</v>
      </c>
      <c r="B2576" s="101" t="str">
        <f>" 경    비  :   "&amp;TEXT(I2576,"#,##0"&amp;IF(I2576&lt;&gt;INT(I2576),".###",""))&amp;" / Q / 3 = "&amp;TEXT(C2576,"#,##0.0")&amp;""</f>
        <v xml:space="preserve"> 경    비  :   23,128 / Q / 3 = 121.0</v>
      </c>
      <c r="C2576" s="103">
        <f>E2576+D2576+F2576</f>
        <v>121</v>
      </c>
      <c r="D2576" s="103">
        <f>IF(H2576=0,0,ROUNDDOWN(J2576*H2576,1))</f>
        <v>0</v>
      </c>
      <c r="E2576" s="103">
        <f>IF(H2576=0,0,ROUNDDOWN(K2576*H2576,1))</f>
        <v>0</v>
      </c>
      <c r="F2576" s="103">
        <f>IF(H2576=0,0,ROUNDDOWN(L2576*H2576,1))</f>
        <v>121</v>
      </c>
      <c r="G2576" s="16" t="s">
        <v>1956</v>
      </c>
      <c r="H2576" s="108">
        <v>5.2328623858E-3</v>
      </c>
      <c r="I2576" s="109">
        <f>K2576+J2576+L2576</f>
        <v>23128</v>
      </c>
      <c r="L2576" s="39">
        <f>중기목록표!H7</f>
        <v>23128</v>
      </c>
      <c r="M2576" s="20" t="s">
        <v>1179</v>
      </c>
      <c r="N2576" s="20" t="s">
        <v>1345</v>
      </c>
      <c r="X2576" s="110" t="str">
        <f>중기목록표!B7&amp;" / "&amp;중기목록표!C7</f>
        <v xml:space="preserve">굴삭기(0.7m3) / </v>
      </c>
      <c r="Y2576" s="19" t="str">
        <f ca="1">HYPERLINK("#"&amp;중기목록표!J2&amp;"!A"&amp;ROW(중기목록표!A7),"중기    4 →")</f>
        <v>중기    4 →</v>
      </c>
    </row>
    <row r="2577" spans="1:14" ht="12.6" customHeight="1" x14ac:dyDescent="0.3">
      <c r="A2577" s="80"/>
      <c r="B2577" s="80"/>
      <c r="C2577" s="80"/>
      <c r="D2577" s="80"/>
      <c r="E2577" s="80"/>
      <c r="F2577" s="80"/>
      <c r="G2577" s="16" t="s">
        <v>1324</v>
      </c>
    </row>
    <row r="2578" spans="1:14" ht="12.6" customHeight="1" x14ac:dyDescent="0.3">
      <c r="A2578" s="70"/>
      <c r="B2578" s="79" t="s">
        <v>1344</v>
      </c>
      <c r="C2578" s="104">
        <f>E2578+D2578+F2578</f>
        <v>506.5</v>
      </c>
      <c r="D2578" s="104">
        <f>SUMIF(N2562:N2577,M2578,D2562:D2577)</f>
        <v>291.39999999999998</v>
      </c>
      <c r="E2578" s="104">
        <f>SUMIF(N2562:N2577,M2578,E2562:E2577)</f>
        <v>94.1</v>
      </c>
      <c r="F2578" s="104">
        <f>SUMIF(N2562:N2577,M2578,F2562:F2577)</f>
        <v>121</v>
      </c>
      <c r="G2578" s="16" t="s">
        <v>1343</v>
      </c>
      <c r="M2578" s="20" t="s">
        <v>1345</v>
      </c>
      <c r="N2578" s="20" t="s">
        <v>1368</v>
      </c>
    </row>
    <row r="2579" spans="1:14" ht="12.6" customHeight="1" x14ac:dyDescent="0.3">
      <c r="A2579" s="80"/>
      <c r="B2579" s="80"/>
      <c r="C2579" s="102"/>
      <c r="D2579" s="102"/>
      <c r="E2579" s="102"/>
      <c r="F2579" s="102"/>
      <c r="G2579" s="16" t="s">
        <v>1324</v>
      </c>
    </row>
    <row r="2580" spans="1:14" ht="12.6" customHeight="1" x14ac:dyDescent="0.3">
      <c r="A2580" s="70"/>
      <c r="B2580" s="79" t="s">
        <v>1171</v>
      </c>
      <c r="C2580" s="104">
        <f>E2580+D2580+F2580</f>
        <v>8069.1</v>
      </c>
      <c r="D2580" s="104">
        <f>SUMIF(N2503:N2579,M2580,D2503:D2579)</f>
        <v>5029</v>
      </c>
      <c r="E2580" s="104">
        <f>SUMIF(N2503:N2579,M2580,E2503:E2579)</f>
        <v>1139.3</v>
      </c>
      <c r="F2580" s="104">
        <f>SUMIF(N2503:N2579,M2580,F2503:F2579)</f>
        <v>1900.8000000000002</v>
      </c>
      <c r="G2580" s="16" t="s">
        <v>1367</v>
      </c>
      <c r="M2580" s="20" t="s">
        <v>1368</v>
      </c>
      <c r="N2580" s="20" t="s">
        <v>1129</v>
      </c>
    </row>
    <row r="2581" spans="1:14" ht="12.6" customHeight="1" x14ac:dyDescent="0.3">
      <c r="A2581" s="80"/>
      <c r="B2581" s="80"/>
      <c r="C2581" s="102"/>
      <c r="D2581" s="102"/>
      <c r="E2581" s="102"/>
      <c r="F2581" s="102"/>
    </row>
    <row r="2582" spans="1:14" ht="12.6" customHeight="1" x14ac:dyDescent="0.3">
      <c r="A2582" s="80"/>
      <c r="B2582" s="80"/>
      <c r="C2582" s="80"/>
      <c r="D2582" s="80"/>
      <c r="E2582" s="80"/>
      <c r="F2582" s="80"/>
    </row>
    <row r="2583" spans="1:14" ht="12.6" customHeight="1" x14ac:dyDescent="0.3">
      <c r="A2583" s="80"/>
      <c r="B2583" s="80"/>
      <c r="C2583" s="80"/>
      <c r="D2583" s="80"/>
      <c r="E2583" s="80"/>
      <c r="F2583" s="80"/>
    </row>
    <row r="2584" spans="1:14" ht="12.6" customHeight="1" x14ac:dyDescent="0.3">
      <c r="A2584" s="80"/>
      <c r="B2584" s="80"/>
      <c r="C2584" s="80"/>
      <c r="D2584" s="80"/>
      <c r="E2584" s="80"/>
      <c r="F2584" s="80"/>
    </row>
    <row r="2585" spans="1:14" ht="12.6" customHeight="1" x14ac:dyDescent="0.3">
      <c r="A2585" s="80"/>
      <c r="B2585" s="80"/>
      <c r="C2585" s="80"/>
      <c r="D2585" s="80"/>
      <c r="E2585" s="80"/>
      <c r="F2585" s="80"/>
    </row>
    <row r="2586" spans="1:14" ht="12.6" customHeight="1" x14ac:dyDescent="0.3">
      <c r="A2586" s="80"/>
      <c r="B2586" s="80"/>
      <c r="C2586" s="80"/>
      <c r="D2586" s="80"/>
      <c r="E2586" s="80"/>
      <c r="F2586" s="80"/>
    </row>
    <row r="2587" spans="1:14" ht="12.6" customHeight="1" x14ac:dyDescent="0.3">
      <c r="A2587" s="80"/>
      <c r="B2587" s="80"/>
      <c r="C2587" s="80"/>
      <c r="D2587" s="80"/>
      <c r="E2587" s="80"/>
      <c r="F2587" s="80"/>
    </row>
    <row r="2588" spans="1:14" ht="12.6" customHeight="1" x14ac:dyDescent="0.3">
      <c r="A2588" s="80"/>
      <c r="B2588" s="80"/>
      <c r="C2588" s="80"/>
      <c r="D2588" s="80"/>
      <c r="E2588" s="80"/>
      <c r="F2588" s="80"/>
    </row>
    <row r="2589" spans="1:14" ht="12.6" customHeight="1" x14ac:dyDescent="0.3">
      <c r="A2589" s="80"/>
      <c r="B2589" s="80"/>
      <c r="C2589" s="80"/>
      <c r="D2589" s="80"/>
      <c r="E2589" s="80"/>
      <c r="F2589" s="80"/>
    </row>
    <row r="2590" spans="1:14" ht="12.6" customHeight="1" x14ac:dyDescent="0.3">
      <c r="A2590" s="80"/>
      <c r="B2590" s="80"/>
      <c r="C2590" s="80"/>
      <c r="D2590" s="80"/>
      <c r="E2590" s="80"/>
      <c r="F2590" s="80"/>
    </row>
    <row r="2591" spans="1:14" ht="12.6" customHeight="1" x14ac:dyDescent="0.3">
      <c r="A2591" s="80"/>
      <c r="B2591" s="80"/>
      <c r="C2591" s="80"/>
      <c r="D2591" s="80"/>
      <c r="E2591" s="80"/>
      <c r="F2591" s="80"/>
    </row>
    <row r="2592" spans="1:14" ht="12.6" customHeight="1" x14ac:dyDescent="0.3">
      <c r="A2592" s="80"/>
      <c r="B2592" s="80"/>
      <c r="C2592" s="80"/>
      <c r="D2592" s="80"/>
      <c r="E2592" s="80"/>
      <c r="F2592" s="80"/>
    </row>
    <row r="2593" spans="1:14" ht="12.6" customHeight="1" x14ac:dyDescent="0.3">
      <c r="A2593" s="80"/>
      <c r="B2593" s="80"/>
      <c r="C2593" s="80"/>
      <c r="D2593" s="80"/>
      <c r="E2593" s="80"/>
      <c r="F2593" s="80"/>
    </row>
    <row r="2594" spans="1:14" ht="12.6" customHeight="1" x14ac:dyDescent="0.3">
      <c r="A2594" s="80"/>
      <c r="B2594" s="80"/>
      <c r="C2594" s="80"/>
      <c r="D2594" s="80"/>
      <c r="E2594" s="80"/>
      <c r="F2594" s="80"/>
    </row>
    <row r="2595" spans="1:14" ht="12.6" customHeight="1" x14ac:dyDescent="0.3">
      <c r="A2595" s="80"/>
      <c r="B2595" s="80"/>
      <c r="C2595" s="80"/>
      <c r="D2595" s="80"/>
      <c r="E2595" s="80"/>
      <c r="F2595" s="80"/>
    </row>
    <row r="2596" spans="1:14" ht="12.6" customHeight="1" x14ac:dyDescent="0.3">
      <c r="A2596" s="80"/>
      <c r="B2596" s="80"/>
      <c r="C2596" s="80"/>
      <c r="D2596" s="80"/>
      <c r="E2596" s="80"/>
      <c r="F2596" s="80"/>
    </row>
    <row r="2597" spans="1:14" ht="12.6" customHeight="1" x14ac:dyDescent="0.3">
      <c r="A2597" s="80"/>
      <c r="B2597" s="80"/>
      <c r="C2597" s="80"/>
      <c r="D2597" s="80"/>
      <c r="E2597" s="80"/>
      <c r="F2597" s="80"/>
    </row>
    <row r="2598" spans="1:14" ht="12.6" customHeight="1" x14ac:dyDescent="0.3">
      <c r="A2598" s="80"/>
      <c r="B2598" s="80"/>
      <c r="C2598" s="80"/>
      <c r="D2598" s="80"/>
      <c r="E2598" s="80"/>
      <c r="F2598" s="80"/>
    </row>
    <row r="2599" spans="1:14" ht="12.6" customHeight="1" x14ac:dyDescent="0.3">
      <c r="A2599" s="80"/>
      <c r="B2599" s="80"/>
      <c r="C2599" s="80"/>
      <c r="D2599" s="80"/>
      <c r="E2599" s="80"/>
      <c r="F2599" s="80"/>
    </row>
    <row r="2600" spans="1:14" ht="12.6" customHeight="1" x14ac:dyDescent="0.3">
      <c r="A2600" s="80"/>
      <c r="B2600" s="80"/>
      <c r="C2600" s="80"/>
      <c r="D2600" s="80"/>
      <c r="E2600" s="80"/>
      <c r="F2600" s="80"/>
    </row>
    <row r="2601" spans="1:14" ht="12.6" customHeight="1" x14ac:dyDescent="0.3">
      <c r="A2601" s="80"/>
      <c r="B2601" s="80"/>
      <c r="C2601" s="80"/>
      <c r="D2601" s="80"/>
      <c r="E2601" s="80"/>
      <c r="F2601" s="80"/>
    </row>
    <row r="2602" spans="1:14" ht="12.6" customHeight="1" x14ac:dyDescent="0.3">
      <c r="A2602" s="58"/>
      <c r="B2602" s="58"/>
      <c r="C2602" s="58"/>
      <c r="D2602" s="58"/>
      <c r="E2602" s="58"/>
      <c r="F2602" s="58"/>
    </row>
    <row r="2603" spans="1:14" ht="12.6" customHeight="1" x14ac:dyDescent="0.3">
      <c r="A2603" s="141" t="s">
        <v>1171</v>
      </c>
      <c r="B2603" s="142"/>
      <c r="C2603" s="55">
        <f>E2603+D2603+F2603</f>
        <v>8068</v>
      </c>
      <c r="D2603" s="54">
        <f>ROUNDDOWN(SUMIF(N2503:N2580,M2603,D2503:D2580),0)</f>
        <v>5029</v>
      </c>
      <c r="E2603" s="63">
        <f>ROUNDDOWN(SUMIF(N2503:N2580,M2603,E2503:E2580),0)</f>
        <v>1139</v>
      </c>
      <c r="F2603" s="55">
        <f>ROUNDDOWN(SUMIF(N2503:N2580,M2603,F2503:F2580),0)</f>
        <v>1900</v>
      </c>
      <c r="M2603" s="20" t="s">
        <v>1129</v>
      </c>
      <c r="N2603" s="20" t="s">
        <v>1172</v>
      </c>
    </row>
    <row r="2604" spans="1:14" ht="12.6" customHeight="1" x14ac:dyDescent="0.3">
      <c r="A2604" s="141" t="s">
        <v>1173</v>
      </c>
      <c r="B2604" s="142"/>
      <c r="C2604" s="55">
        <f>E2604+D2604+F2604</f>
        <v>7139</v>
      </c>
      <c r="D2604" s="54">
        <f>ROUNDDOWN(D2603*H2604/100,0)</f>
        <v>4450</v>
      </c>
      <c r="E2604" s="63">
        <f>ROUNDDOWN(E2603*H2604/100,0)</f>
        <v>1008</v>
      </c>
      <c r="F2604" s="55">
        <f>ROUNDDOWN(F2603*H2604/100,0)</f>
        <v>1681</v>
      </c>
      <c r="H2604" s="67">
        <v>88.5</v>
      </c>
      <c r="M2604" s="20" t="s">
        <v>1172</v>
      </c>
    </row>
    <row r="2605" spans="1:14" ht="12.6" customHeight="1" x14ac:dyDescent="0.3">
      <c r="A2605" s="99" t="s">
        <v>313</v>
      </c>
      <c r="B2605" s="100" t="s">
        <v>313</v>
      </c>
      <c r="C2605" s="147">
        <f>C2743</f>
        <v>7856</v>
      </c>
      <c r="D2605" s="147">
        <f>D2743</f>
        <v>4941</v>
      </c>
      <c r="E2605" s="147">
        <f>E2743</f>
        <v>1075</v>
      </c>
      <c r="F2605" s="147">
        <f>F2743</f>
        <v>1840</v>
      </c>
      <c r="G2605" s="36" t="str">
        <f>HYPERLINK("#G"&amp;ROW(G2713),"_x0005_`BDCOD|D02289_x0007_`POSS|"&amp;ROW(G2607)&amp;"_x0007_`POSE|"&amp;ROW(G2713)&amp;"_x0007_`")</f>
        <v>_x0005_`BDCOD|D02289_x0007_`POSS|2607_x0007_`POSE|2713_x0007_`</v>
      </c>
    </row>
    <row r="2606" spans="1:14" ht="12.6" customHeight="1" x14ac:dyDescent="0.3">
      <c r="A2606" s="85"/>
      <c r="B2606" s="100" t="s">
        <v>312</v>
      </c>
      <c r="C2606" s="137"/>
      <c r="D2606" s="137"/>
      <c r="E2606" s="137"/>
      <c r="F2606" s="137"/>
      <c r="M2606" s="20" t="s">
        <v>311</v>
      </c>
    </row>
    <row r="2607" spans="1:14" ht="12.6" customHeight="1" x14ac:dyDescent="0.3">
      <c r="A2607" s="70"/>
      <c r="B2607" s="79" t="s">
        <v>1894</v>
      </c>
      <c r="C2607" s="102"/>
      <c r="D2607" s="102"/>
      <c r="E2607" s="102"/>
      <c r="F2607" s="102"/>
      <c r="G2607" s="16" t="s">
        <v>1893</v>
      </c>
    </row>
    <row r="2608" spans="1:14" ht="12.6" customHeight="1" x14ac:dyDescent="0.3">
      <c r="A2608" s="80"/>
      <c r="B2608" s="80"/>
      <c r="C2608" s="80"/>
      <c r="D2608" s="80"/>
      <c r="E2608" s="80"/>
      <c r="F2608" s="80"/>
      <c r="G2608" s="16" t="s">
        <v>1324</v>
      </c>
    </row>
    <row r="2609" spans="1:25" ht="12.6" customHeight="1" x14ac:dyDescent="0.3">
      <c r="A2609" s="70"/>
      <c r="B2609" s="79" t="s">
        <v>1896</v>
      </c>
      <c r="C2609" s="80"/>
      <c r="D2609" s="80"/>
      <c r="E2609" s="80"/>
      <c r="F2609" s="80"/>
      <c r="G2609" s="16" t="s">
        <v>1895</v>
      </c>
    </row>
    <row r="2610" spans="1:25" ht="12.6" customHeight="1" x14ac:dyDescent="0.3">
      <c r="A2610" s="80"/>
      <c r="B2610" s="80"/>
      <c r="C2610" s="80"/>
      <c r="D2610" s="80"/>
      <c r="E2610" s="80"/>
      <c r="F2610" s="80"/>
      <c r="G2610" s="16" t="s">
        <v>1324</v>
      </c>
    </row>
    <row r="2611" spans="1:25" ht="12.6" customHeight="1" x14ac:dyDescent="0.3">
      <c r="A2611" s="70"/>
      <c r="B2611" s="79" t="s">
        <v>2325</v>
      </c>
      <c r="C2611" s="80"/>
      <c r="D2611" s="80"/>
      <c r="E2611" s="80"/>
      <c r="F2611" s="80"/>
      <c r="G2611" s="16" t="s">
        <v>2324</v>
      </c>
    </row>
    <row r="2612" spans="1:25" ht="12.6" customHeight="1" x14ac:dyDescent="0.3">
      <c r="A2612" s="80"/>
      <c r="B2612" s="80"/>
      <c r="C2612" s="80"/>
      <c r="D2612" s="80"/>
      <c r="E2612" s="80"/>
      <c r="F2612" s="80"/>
      <c r="G2612" s="16" t="s">
        <v>1324</v>
      </c>
    </row>
    <row r="2613" spans="1:25" ht="12.6" customHeight="1" x14ac:dyDescent="0.3">
      <c r="A2613" s="70"/>
      <c r="B2613" s="79" t="s">
        <v>1900</v>
      </c>
      <c r="C2613" s="80"/>
      <c r="D2613" s="80"/>
      <c r="E2613" s="80"/>
      <c r="F2613" s="80"/>
      <c r="G2613" s="16" t="s">
        <v>1899</v>
      </c>
    </row>
    <row r="2614" spans="1:25" ht="12.6" customHeight="1" x14ac:dyDescent="0.3">
      <c r="A2614" s="80"/>
      <c r="B2614" s="80"/>
      <c r="C2614" s="80"/>
      <c r="D2614" s="80"/>
      <c r="E2614" s="80"/>
      <c r="F2614" s="80"/>
      <c r="G2614" s="16" t="s">
        <v>1324</v>
      </c>
    </row>
    <row r="2615" spans="1:25" ht="12.6" customHeight="1" x14ac:dyDescent="0.3">
      <c r="A2615" s="70"/>
      <c r="B2615" s="79" t="s">
        <v>1960</v>
      </c>
      <c r="C2615" s="80"/>
      <c r="D2615" s="80"/>
      <c r="E2615" s="80"/>
      <c r="F2615" s="80"/>
      <c r="G2615" s="16" t="s">
        <v>1959</v>
      </c>
    </row>
    <row r="2616" spans="1:25" ht="12.6" customHeight="1" x14ac:dyDescent="0.3">
      <c r="A2616" s="80"/>
      <c r="B2616" s="80"/>
      <c r="C2616" s="80"/>
      <c r="D2616" s="80"/>
      <c r="E2616" s="80"/>
      <c r="F2616" s="80"/>
      <c r="G2616" s="16" t="s">
        <v>1324</v>
      </c>
    </row>
    <row r="2617" spans="1:25" ht="12.6" customHeight="1" x14ac:dyDescent="0.3">
      <c r="A2617" s="70"/>
      <c r="B2617" s="79" t="s">
        <v>1962</v>
      </c>
      <c r="C2617" s="80"/>
      <c r="D2617" s="80"/>
      <c r="E2617" s="80"/>
      <c r="F2617" s="80"/>
      <c r="G2617" s="16" t="s">
        <v>1961</v>
      </c>
    </row>
    <row r="2618" spans="1:25" ht="12.6" customHeight="1" x14ac:dyDescent="0.3">
      <c r="A2618" s="80"/>
      <c r="B2618" s="80"/>
      <c r="C2618" s="80"/>
      <c r="D2618" s="80"/>
      <c r="E2618" s="80"/>
      <c r="F2618" s="80"/>
      <c r="G2618" s="16" t="s">
        <v>1324</v>
      </c>
    </row>
    <row r="2619" spans="1:25" ht="12.6" customHeight="1" x14ac:dyDescent="0.3">
      <c r="A2619" s="70"/>
      <c r="B2619" s="79" t="s">
        <v>1964</v>
      </c>
      <c r="C2619" s="80"/>
      <c r="D2619" s="80"/>
      <c r="E2619" s="80"/>
      <c r="F2619" s="80"/>
      <c r="G2619" s="16" t="s">
        <v>1963</v>
      </c>
    </row>
    <row r="2620" spans="1:25" ht="12.6" customHeight="1" x14ac:dyDescent="0.3">
      <c r="A2620" s="80"/>
      <c r="B2620" s="80"/>
      <c r="C2620" s="80"/>
      <c r="D2620" s="80"/>
      <c r="E2620" s="80"/>
      <c r="F2620" s="80"/>
      <c r="G2620" s="16" t="s">
        <v>1324</v>
      </c>
    </row>
    <row r="2621" spans="1:25" ht="12.6" customHeight="1" x14ac:dyDescent="0.3">
      <c r="A2621" s="70"/>
      <c r="B2621" s="79" t="s">
        <v>1965</v>
      </c>
      <c r="C2621" s="80"/>
      <c r="D2621" s="80"/>
      <c r="E2621" s="80"/>
      <c r="F2621" s="80"/>
      <c r="G2621" s="16" t="s">
        <v>1952</v>
      </c>
    </row>
    <row r="2622" spans="1:25" ht="12.6" customHeight="1" x14ac:dyDescent="0.3">
      <c r="A2622" s="80"/>
      <c r="B2622" s="80"/>
      <c r="C2622" s="80"/>
      <c r="D2622" s="80"/>
      <c r="E2622" s="80"/>
      <c r="F2622" s="80"/>
      <c r="G2622" s="16" t="s">
        <v>1324</v>
      </c>
    </row>
    <row r="2623" spans="1:25" ht="12.6" customHeight="1" x14ac:dyDescent="0.3">
      <c r="A2623" s="70" t="s">
        <v>1394</v>
      </c>
      <c r="B2623" s="101" t="str">
        <f>" 노 무 비  :  "&amp;TEXT(I2623,"#,##0"&amp;IF(I2623&lt;&gt;INT(I2623),".###",""))&amp;" / Q  = "&amp;TEXT(C2623,"#,##0.0")&amp;""</f>
        <v xml:space="preserve"> 노 무 비  :  55,700 / Q  = 2,178.3</v>
      </c>
      <c r="C2623" s="103">
        <f>E2623+D2623+F2623</f>
        <v>2178.3000000000002</v>
      </c>
      <c r="D2623" s="103">
        <f>IF(H2623=0,0,ROUNDDOWN(J2623*H2623,1))</f>
        <v>2178.3000000000002</v>
      </c>
      <c r="E2623" s="103">
        <f>IF(H2623=0,0,ROUNDDOWN(K2623*H2623,1))</f>
        <v>0</v>
      </c>
      <c r="F2623" s="103">
        <f>IF(H2623=0,0,ROUNDDOWN(L2623*H2623,1))</f>
        <v>0</v>
      </c>
      <c r="G2623" s="16" t="s">
        <v>1966</v>
      </c>
      <c r="H2623" s="108">
        <v>3.9108330084399998E-2</v>
      </c>
      <c r="I2623" s="109">
        <f>K2623+J2623+L2623</f>
        <v>55700</v>
      </c>
      <c r="J2623" s="39">
        <f>중기목록표!F9</f>
        <v>55700</v>
      </c>
      <c r="M2623" s="20" t="s">
        <v>1395</v>
      </c>
      <c r="N2623" s="20" t="s">
        <v>1345</v>
      </c>
      <c r="X2623" s="110" t="str">
        <f>중기목록표!B9&amp;" / "&amp;중기목록표!C9</f>
        <v>굴삭기(0.7m3) / 0.7㎥,(암석)</v>
      </c>
      <c r="Y2623" s="19" t="str">
        <f ca="1">HYPERLINK("#"&amp;중기목록표!J2&amp;"!A"&amp;ROW(중기목록표!A9),"중기    6 →")</f>
        <v>중기    6 →</v>
      </c>
    </row>
    <row r="2624" spans="1:25" ht="12.6" customHeight="1" x14ac:dyDescent="0.3">
      <c r="A2624" s="80"/>
      <c r="B2624" s="80"/>
      <c r="C2624" s="80"/>
      <c r="D2624" s="80"/>
      <c r="E2624" s="80"/>
      <c r="F2624" s="80"/>
      <c r="G2624" s="16" t="s">
        <v>1324</v>
      </c>
    </row>
    <row r="2625" spans="1:25" ht="12.6" customHeight="1" x14ac:dyDescent="0.3">
      <c r="A2625" s="70" t="s">
        <v>1397</v>
      </c>
      <c r="B2625" s="101" t="str">
        <f>" 재 료 비  :  "&amp;TEXT(I2625,"#,##0"&amp;IF(I2625&lt;&gt;INT(I2625),".###",""))&amp;" / Q  = "&amp;TEXT(C2625,"#,##0.0")&amp;""</f>
        <v xml:space="preserve"> 재 료 비  :  18,001 / Q  = 703.9</v>
      </c>
      <c r="C2625" s="103">
        <f>E2625+D2625+F2625</f>
        <v>703.9</v>
      </c>
      <c r="D2625" s="103">
        <f>IF(H2625=0,0,ROUNDDOWN(J2625*H2625,1))</f>
        <v>0</v>
      </c>
      <c r="E2625" s="103">
        <f>IF(H2625=0,0,ROUNDDOWN(K2625*H2625,1))</f>
        <v>703.9</v>
      </c>
      <c r="F2625" s="103">
        <f>IF(H2625=0,0,ROUNDDOWN(L2625*H2625,1))</f>
        <v>0</v>
      </c>
      <c r="G2625" s="16" t="s">
        <v>1967</v>
      </c>
      <c r="H2625" s="108">
        <v>3.9108330084399998E-2</v>
      </c>
      <c r="I2625" s="109">
        <f>K2625+J2625+L2625</f>
        <v>18001</v>
      </c>
      <c r="K2625" s="39">
        <f>중기목록표!G9</f>
        <v>18001</v>
      </c>
      <c r="M2625" s="20" t="s">
        <v>1395</v>
      </c>
      <c r="N2625" s="20" t="s">
        <v>1345</v>
      </c>
      <c r="X2625" s="110" t="str">
        <f>중기목록표!B9&amp;" / "&amp;중기목록표!C9</f>
        <v>굴삭기(0.7m3) / 0.7㎥,(암석)</v>
      </c>
      <c r="Y2625" s="19" t="str">
        <f ca="1">HYPERLINK("#"&amp;중기목록표!J2&amp;"!A"&amp;ROW(중기목록표!A9),"중기    6 →")</f>
        <v>중기    6 →</v>
      </c>
    </row>
    <row r="2626" spans="1:25" ht="12.6" customHeight="1" x14ac:dyDescent="0.3">
      <c r="A2626" s="80"/>
      <c r="B2626" s="80"/>
      <c r="C2626" s="80"/>
      <c r="D2626" s="80"/>
      <c r="E2626" s="80"/>
      <c r="F2626" s="80"/>
      <c r="G2626" s="16" t="s">
        <v>1324</v>
      </c>
    </row>
    <row r="2627" spans="1:25" ht="12.6" customHeight="1" x14ac:dyDescent="0.3">
      <c r="A2627" s="70" t="s">
        <v>1399</v>
      </c>
      <c r="B2627" s="101" t="str">
        <f>" 경    비  :  "&amp;TEXT(I2627,"#,##0"&amp;IF(I2627&lt;&gt;INT(I2627),".###",""))&amp;" / Q  = "&amp;TEXT(C2627,"#,##0.0")&amp;""</f>
        <v xml:space="preserve"> 경    비  :  26,677 / Q  = 1,043.2</v>
      </c>
      <c r="C2627" s="103">
        <f>E2627+D2627+F2627</f>
        <v>1043.2</v>
      </c>
      <c r="D2627" s="103">
        <f>IF(H2627=0,0,ROUNDDOWN(J2627*H2627,1))</f>
        <v>0</v>
      </c>
      <c r="E2627" s="103">
        <f>IF(H2627=0,0,ROUNDDOWN(K2627*H2627,1))</f>
        <v>0</v>
      </c>
      <c r="F2627" s="103">
        <f>IF(H2627=0,0,ROUNDDOWN(L2627*H2627,1))</f>
        <v>1043.2</v>
      </c>
      <c r="G2627" s="16" t="s">
        <v>1968</v>
      </c>
      <c r="H2627" s="108">
        <v>3.9108330084399998E-2</v>
      </c>
      <c r="I2627" s="109">
        <f>K2627+J2627+L2627</f>
        <v>26677</v>
      </c>
      <c r="L2627" s="39">
        <f>중기목록표!H9</f>
        <v>26677</v>
      </c>
      <c r="M2627" s="20" t="s">
        <v>1395</v>
      </c>
      <c r="N2627" s="20" t="s">
        <v>1345</v>
      </c>
      <c r="X2627" s="110" t="str">
        <f>중기목록표!B9&amp;" / "&amp;중기목록표!C9</f>
        <v>굴삭기(0.7m3) / 0.7㎥,(암석)</v>
      </c>
      <c r="Y2627" s="19" t="str">
        <f ca="1">HYPERLINK("#"&amp;중기목록표!J2&amp;"!A"&amp;ROW(중기목록표!A9),"중기    6 →")</f>
        <v>중기    6 →</v>
      </c>
    </row>
    <row r="2628" spans="1:25" ht="12.6" customHeight="1" x14ac:dyDescent="0.3">
      <c r="A2628" s="80"/>
      <c r="B2628" s="80"/>
      <c r="C2628" s="80"/>
      <c r="D2628" s="80"/>
      <c r="E2628" s="80"/>
      <c r="F2628" s="80"/>
      <c r="G2628" s="16" t="s">
        <v>1324</v>
      </c>
    </row>
    <row r="2629" spans="1:25" ht="12.6" customHeight="1" x14ac:dyDescent="0.3">
      <c r="A2629" s="70"/>
      <c r="B2629" s="79" t="s">
        <v>1344</v>
      </c>
      <c r="C2629" s="104">
        <f>E2629+D2629+F2629</f>
        <v>3925.4000000000005</v>
      </c>
      <c r="D2629" s="104">
        <f>SUMIF(N2607:N2628,M2629,D2607:D2628)</f>
        <v>2178.3000000000002</v>
      </c>
      <c r="E2629" s="104">
        <f>SUMIF(N2607:N2628,M2629,E2607:E2628)</f>
        <v>703.9</v>
      </c>
      <c r="F2629" s="104">
        <f>SUMIF(N2607:N2628,M2629,F2607:F2628)</f>
        <v>1043.2</v>
      </c>
      <c r="G2629" s="16" t="s">
        <v>1343</v>
      </c>
      <c r="M2629" s="20" t="s">
        <v>1345</v>
      </c>
      <c r="N2629" s="20" t="s">
        <v>1368</v>
      </c>
    </row>
    <row r="2630" spans="1:25" ht="12.6" customHeight="1" x14ac:dyDescent="0.3">
      <c r="A2630" s="80"/>
      <c r="B2630" s="80"/>
      <c r="C2630" s="102"/>
      <c r="D2630" s="102"/>
      <c r="E2630" s="102"/>
      <c r="F2630" s="102"/>
      <c r="G2630" s="16" t="s">
        <v>1324</v>
      </c>
    </row>
    <row r="2631" spans="1:25" ht="12.6" customHeight="1" x14ac:dyDescent="0.3">
      <c r="A2631" s="70"/>
      <c r="B2631" s="79" t="s">
        <v>1970</v>
      </c>
      <c r="C2631" s="80"/>
      <c r="D2631" s="80"/>
      <c r="E2631" s="80"/>
      <c r="F2631" s="80"/>
      <c r="G2631" s="16" t="s">
        <v>1969</v>
      </c>
    </row>
    <row r="2632" spans="1:25" ht="12.6" customHeight="1" x14ac:dyDescent="0.3">
      <c r="A2632" s="80"/>
      <c r="B2632" s="80"/>
      <c r="C2632" s="80"/>
      <c r="D2632" s="80"/>
      <c r="E2632" s="80"/>
      <c r="F2632" s="80"/>
      <c r="G2632" s="16" t="s">
        <v>1324</v>
      </c>
    </row>
    <row r="2633" spans="1:25" ht="12.6" customHeight="1" x14ac:dyDescent="0.3">
      <c r="A2633" s="70"/>
      <c r="B2633" s="79" t="s">
        <v>1972</v>
      </c>
      <c r="C2633" s="80"/>
      <c r="D2633" s="80"/>
      <c r="E2633" s="80"/>
      <c r="F2633" s="80"/>
      <c r="G2633" s="16" t="s">
        <v>1971</v>
      </c>
    </row>
    <row r="2634" spans="1:25" ht="12.6" customHeight="1" x14ac:dyDescent="0.3">
      <c r="A2634" s="80"/>
      <c r="B2634" s="80"/>
      <c r="C2634" s="80"/>
      <c r="D2634" s="80"/>
      <c r="E2634" s="80"/>
      <c r="F2634" s="80"/>
      <c r="G2634" s="16" t="s">
        <v>1324</v>
      </c>
    </row>
    <row r="2635" spans="1:25" ht="12.6" customHeight="1" x14ac:dyDescent="0.3">
      <c r="A2635" s="70"/>
      <c r="B2635" s="79" t="s">
        <v>1974</v>
      </c>
      <c r="C2635" s="80"/>
      <c r="D2635" s="80"/>
      <c r="E2635" s="80"/>
      <c r="F2635" s="80"/>
      <c r="G2635" s="16" t="s">
        <v>1973</v>
      </c>
    </row>
    <row r="2636" spans="1:25" ht="12.6" customHeight="1" x14ac:dyDescent="0.3">
      <c r="A2636" s="80"/>
      <c r="B2636" s="80"/>
      <c r="C2636" s="80"/>
      <c r="D2636" s="80"/>
      <c r="E2636" s="80"/>
      <c r="F2636" s="80"/>
      <c r="G2636" s="16" t="s">
        <v>1324</v>
      </c>
    </row>
    <row r="2637" spans="1:25" ht="12.6" customHeight="1" x14ac:dyDescent="0.3">
      <c r="A2637" s="70"/>
      <c r="B2637" s="79" t="s">
        <v>1976</v>
      </c>
      <c r="C2637" s="80"/>
      <c r="D2637" s="80"/>
      <c r="E2637" s="80"/>
      <c r="F2637" s="80"/>
      <c r="G2637" s="16" t="s">
        <v>1975</v>
      </c>
    </row>
    <row r="2638" spans="1:25" ht="12.6" customHeight="1" x14ac:dyDescent="0.3">
      <c r="A2638" s="80"/>
      <c r="B2638" s="80"/>
      <c r="C2638" s="80"/>
      <c r="D2638" s="80"/>
      <c r="E2638" s="80"/>
      <c r="F2638" s="80"/>
      <c r="G2638" s="16" t="s">
        <v>1324</v>
      </c>
    </row>
    <row r="2639" spans="1:25" ht="12.6" customHeight="1" x14ac:dyDescent="0.3">
      <c r="A2639" s="70"/>
      <c r="B2639" s="79" t="s">
        <v>1409</v>
      </c>
      <c r="C2639" s="80"/>
      <c r="D2639" s="80"/>
      <c r="E2639" s="80"/>
      <c r="F2639" s="80"/>
      <c r="G2639" s="16" t="s">
        <v>1922</v>
      </c>
    </row>
    <row r="2640" spans="1:25" ht="12.6" customHeight="1" x14ac:dyDescent="0.3">
      <c r="A2640" s="80"/>
      <c r="B2640" s="80"/>
      <c r="C2640" s="80"/>
      <c r="D2640" s="80"/>
      <c r="E2640" s="80"/>
      <c r="F2640" s="80"/>
      <c r="G2640" s="16" t="s">
        <v>1324</v>
      </c>
    </row>
    <row r="2641" spans="1:7" ht="12.6" customHeight="1" x14ac:dyDescent="0.3">
      <c r="A2641" s="70"/>
      <c r="B2641" s="79" t="s">
        <v>1978</v>
      </c>
      <c r="C2641" s="80"/>
      <c r="D2641" s="80"/>
      <c r="E2641" s="80"/>
      <c r="F2641" s="80"/>
      <c r="G2641" s="16" t="s">
        <v>1977</v>
      </c>
    </row>
    <row r="2642" spans="1:7" ht="12.6" customHeight="1" x14ac:dyDescent="0.3">
      <c r="A2642" s="80"/>
      <c r="B2642" s="80"/>
      <c r="C2642" s="80"/>
      <c r="D2642" s="80"/>
      <c r="E2642" s="80"/>
      <c r="F2642" s="80"/>
      <c r="G2642" s="16" t="s">
        <v>1324</v>
      </c>
    </row>
    <row r="2643" spans="1:7" ht="12.6" customHeight="1" x14ac:dyDescent="0.3">
      <c r="A2643" s="70"/>
      <c r="B2643" s="79" t="s">
        <v>1980</v>
      </c>
      <c r="C2643" s="80"/>
      <c r="D2643" s="80"/>
      <c r="E2643" s="80"/>
      <c r="F2643" s="80"/>
      <c r="G2643" s="16" t="s">
        <v>1979</v>
      </c>
    </row>
    <row r="2644" spans="1:7" ht="12.6" customHeight="1" x14ac:dyDescent="0.3">
      <c r="A2644" s="80"/>
      <c r="B2644" s="80"/>
      <c r="C2644" s="80"/>
      <c r="D2644" s="80"/>
      <c r="E2644" s="80"/>
      <c r="F2644" s="80"/>
      <c r="G2644" s="16" t="s">
        <v>1324</v>
      </c>
    </row>
    <row r="2645" spans="1:7" ht="12.6" customHeight="1" x14ac:dyDescent="0.3">
      <c r="A2645" s="70"/>
      <c r="B2645" s="79" t="s">
        <v>2326</v>
      </c>
      <c r="C2645" s="80"/>
      <c r="D2645" s="80"/>
      <c r="E2645" s="80"/>
      <c r="F2645" s="80"/>
      <c r="G2645" s="16" t="s">
        <v>1927</v>
      </c>
    </row>
    <row r="2646" spans="1:7" ht="12.6" customHeight="1" x14ac:dyDescent="0.3">
      <c r="A2646" s="80"/>
      <c r="B2646" s="80"/>
      <c r="C2646" s="80"/>
      <c r="D2646" s="80"/>
      <c r="E2646" s="80"/>
      <c r="F2646" s="80"/>
      <c r="G2646" s="16" t="s">
        <v>1324</v>
      </c>
    </row>
    <row r="2647" spans="1:7" ht="12.6" customHeight="1" x14ac:dyDescent="0.3">
      <c r="A2647" s="70"/>
      <c r="B2647" s="79" t="s">
        <v>1930</v>
      </c>
      <c r="C2647" s="80"/>
      <c r="D2647" s="80"/>
      <c r="E2647" s="80"/>
      <c r="F2647" s="80"/>
      <c r="G2647" s="16" t="s">
        <v>1929</v>
      </c>
    </row>
    <row r="2648" spans="1:7" ht="12.6" customHeight="1" x14ac:dyDescent="0.3">
      <c r="A2648" s="80"/>
      <c r="B2648" s="80"/>
      <c r="C2648" s="80"/>
      <c r="D2648" s="80"/>
      <c r="E2648" s="80"/>
      <c r="F2648" s="80"/>
      <c r="G2648" s="16" t="s">
        <v>1324</v>
      </c>
    </row>
    <row r="2649" spans="1:7" ht="12.6" customHeight="1" x14ac:dyDescent="0.3">
      <c r="A2649" s="70"/>
      <c r="B2649" s="79" t="s">
        <v>1983</v>
      </c>
      <c r="C2649" s="80"/>
      <c r="D2649" s="80"/>
      <c r="E2649" s="80"/>
      <c r="F2649" s="80"/>
      <c r="G2649" s="16" t="s">
        <v>1982</v>
      </c>
    </row>
    <row r="2650" spans="1:7" ht="12.6" customHeight="1" x14ac:dyDescent="0.3">
      <c r="A2650" s="80"/>
      <c r="B2650" s="80"/>
      <c r="C2650" s="80"/>
      <c r="D2650" s="80"/>
      <c r="E2650" s="80"/>
      <c r="F2650" s="80"/>
      <c r="G2650" s="16" t="s">
        <v>1324</v>
      </c>
    </row>
    <row r="2651" spans="1:7" ht="12.6" customHeight="1" x14ac:dyDescent="0.3">
      <c r="A2651" s="70"/>
      <c r="B2651" s="79" t="s">
        <v>2327</v>
      </c>
      <c r="C2651" s="80"/>
      <c r="D2651" s="80"/>
      <c r="E2651" s="80"/>
      <c r="F2651" s="80"/>
      <c r="G2651" s="16" t="s">
        <v>1984</v>
      </c>
    </row>
    <row r="2652" spans="1:7" ht="12.6" customHeight="1" x14ac:dyDescent="0.3">
      <c r="A2652" s="80"/>
      <c r="B2652" s="80"/>
      <c r="C2652" s="80"/>
      <c r="D2652" s="80"/>
      <c r="E2652" s="80"/>
      <c r="F2652" s="80"/>
      <c r="G2652" s="16" t="s">
        <v>1324</v>
      </c>
    </row>
    <row r="2653" spans="1:7" ht="12.6" customHeight="1" x14ac:dyDescent="0.3">
      <c r="A2653" s="70"/>
      <c r="B2653" s="79" t="s">
        <v>2328</v>
      </c>
      <c r="C2653" s="80"/>
      <c r="D2653" s="80"/>
      <c r="E2653" s="80"/>
      <c r="F2653" s="80"/>
      <c r="G2653" s="16" t="s">
        <v>1986</v>
      </c>
    </row>
    <row r="2654" spans="1:7" ht="12.6" customHeight="1" x14ac:dyDescent="0.3">
      <c r="A2654" s="80"/>
      <c r="B2654" s="80"/>
      <c r="C2654" s="80"/>
      <c r="D2654" s="80"/>
      <c r="E2654" s="80"/>
      <c r="F2654" s="80"/>
      <c r="G2654" s="16" t="s">
        <v>1324</v>
      </c>
    </row>
    <row r="2655" spans="1:7" ht="12.6" customHeight="1" x14ac:dyDescent="0.3">
      <c r="A2655" s="70"/>
      <c r="B2655" s="79" t="s">
        <v>2329</v>
      </c>
      <c r="C2655" s="80"/>
      <c r="D2655" s="80"/>
      <c r="E2655" s="80"/>
      <c r="F2655" s="80"/>
      <c r="G2655" s="16" t="s">
        <v>1988</v>
      </c>
    </row>
    <row r="2656" spans="1:7" ht="12.6" customHeight="1" x14ac:dyDescent="0.3">
      <c r="A2656" s="80"/>
      <c r="B2656" s="80"/>
      <c r="C2656" s="80"/>
      <c r="D2656" s="80"/>
      <c r="E2656" s="80"/>
      <c r="F2656" s="80"/>
      <c r="G2656" s="16" t="s">
        <v>1324</v>
      </c>
    </row>
    <row r="2657" spans="1:25" ht="12.6" customHeight="1" x14ac:dyDescent="0.3">
      <c r="A2657" s="70" t="s">
        <v>1991</v>
      </c>
      <c r="B2657" s="101" t="str">
        <f>" 노 무 비  :  "&amp;TEXT(I2657,"#,##0"&amp;IF(I2657&lt;&gt;INT(I2657),".###",""))&amp;" / Q1  = "&amp;TEXT(C2657,"#,##0.0")&amp;""</f>
        <v xml:space="preserve"> 노 무 비  :  55,700 / Q1  = 3,190.1</v>
      </c>
      <c r="C2657" s="103">
        <f>E2657+D2657+F2657</f>
        <v>3190.1</v>
      </c>
      <c r="D2657" s="103">
        <f>IF(H2657=0,0,ROUNDDOWN(J2657*H2657,1))</f>
        <v>3190.1</v>
      </c>
      <c r="E2657" s="103">
        <f>IF(H2657=0,0,ROUNDDOWN(K2657*H2657,1))</f>
        <v>0</v>
      </c>
      <c r="F2657" s="103">
        <f>IF(H2657=0,0,ROUNDDOWN(L2657*H2657,1))</f>
        <v>0</v>
      </c>
      <c r="G2657" s="16" t="s">
        <v>1990</v>
      </c>
      <c r="H2657" s="108">
        <v>5.7273768624099997E-2</v>
      </c>
      <c r="I2657" s="109">
        <f>K2657+J2657+L2657</f>
        <v>55700</v>
      </c>
      <c r="J2657" s="39">
        <f>중기목록표!F13</f>
        <v>55700</v>
      </c>
      <c r="M2657" s="20" t="s">
        <v>1992</v>
      </c>
      <c r="N2657" s="20" t="s">
        <v>1999</v>
      </c>
      <c r="X2657" s="110" t="str">
        <f>중기목록표!B13&amp;" / "&amp;중기목록표!C13</f>
        <v>덤프트럭15ton(암) / 할증율:1.25</v>
      </c>
      <c r="Y2657" s="19" t="str">
        <f ca="1">HYPERLINK("#"&amp;중기목록표!J2&amp;"!A"&amp;ROW(중기목록표!A13),"중기   10 →")</f>
        <v>중기   10 →</v>
      </c>
    </row>
    <row r="2658" spans="1:25" ht="12.6" customHeight="1" x14ac:dyDescent="0.3">
      <c r="A2658" s="80"/>
      <c r="B2658" s="80"/>
      <c r="C2658" s="80"/>
      <c r="D2658" s="80"/>
      <c r="E2658" s="80"/>
      <c r="F2658" s="80"/>
      <c r="G2658" s="16" t="s">
        <v>1324</v>
      </c>
    </row>
    <row r="2659" spans="1:25" ht="12.6" customHeight="1" x14ac:dyDescent="0.3">
      <c r="A2659" s="70" t="s">
        <v>1994</v>
      </c>
      <c r="B2659" s="101" t="str">
        <f>" 재 료 비  :  "&amp;TEXT(I2659,"#,##0"&amp;IF(I2659&lt;&gt;INT(I2659),".###",""))&amp;" / Q1 * OH = "&amp;TEXT(C2659,"#,##0.0")&amp;""</f>
        <v xml:space="preserve"> 재 료 비  :  27,910 / Q1 * OH = 287.7</v>
      </c>
      <c r="C2659" s="103">
        <f>E2659+D2659+F2659</f>
        <v>287.7</v>
      </c>
      <c r="D2659" s="103">
        <f>IF(H2659=0,0,ROUNDDOWN(J2659*H2659,1))</f>
        <v>0</v>
      </c>
      <c r="E2659" s="103">
        <f>IF(H2659=0,0,ROUNDDOWN(K2659*H2659,1))</f>
        <v>287.7</v>
      </c>
      <c r="F2659" s="103">
        <f>IF(H2659=0,0,ROUNDDOWN(L2659*H2659,1))</f>
        <v>0</v>
      </c>
      <c r="G2659" s="16" t="s">
        <v>1993</v>
      </c>
      <c r="H2659" s="108">
        <v>1.0309278360599999E-2</v>
      </c>
      <c r="I2659" s="109">
        <f>K2659+J2659+L2659</f>
        <v>27910</v>
      </c>
      <c r="K2659" s="39">
        <f>중기목록표!G13</f>
        <v>27910</v>
      </c>
      <c r="M2659" s="20" t="s">
        <v>1992</v>
      </c>
      <c r="N2659" s="20" t="s">
        <v>1999</v>
      </c>
      <c r="X2659" s="110" t="str">
        <f>중기목록표!B13&amp;" / "&amp;중기목록표!C13</f>
        <v>덤프트럭15ton(암) / 할증율:1.25</v>
      </c>
      <c r="Y2659" s="19" t="str">
        <f ca="1">HYPERLINK("#"&amp;중기목록표!J2&amp;"!A"&amp;ROW(중기목록표!A13),"중기   10 →")</f>
        <v>중기   10 →</v>
      </c>
    </row>
    <row r="2660" spans="1:25" ht="12.6" customHeight="1" x14ac:dyDescent="0.3">
      <c r="A2660" s="80"/>
      <c r="B2660" s="80"/>
      <c r="C2660" s="80"/>
      <c r="D2660" s="80"/>
      <c r="E2660" s="80"/>
      <c r="F2660" s="80"/>
      <c r="G2660" s="16" t="s">
        <v>1324</v>
      </c>
    </row>
    <row r="2661" spans="1:25" ht="12.6" customHeight="1" x14ac:dyDescent="0.3">
      <c r="A2661" s="70" t="s">
        <v>1996</v>
      </c>
      <c r="B2661" s="101" t="str">
        <f>" 경    비  :  "&amp;TEXT(I2661,"#,##0"&amp;IF(I2661&lt;&gt;INT(I2661),".###",""))&amp;" / Q1  = "&amp;TEXT(C2661,"#,##0.0")&amp;""</f>
        <v xml:space="preserve"> 경    비  :  23,077 / Q1  = 1,321.7</v>
      </c>
      <c r="C2661" s="103">
        <f>E2661+D2661+F2661</f>
        <v>1321.7</v>
      </c>
      <c r="D2661" s="103">
        <f>IF(H2661=0,0,ROUNDDOWN(J2661*H2661,1))</f>
        <v>0</v>
      </c>
      <c r="E2661" s="103">
        <f>IF(H2661=0,0,ROUNDDOWN(K2661*H2661,1))</f>
        <v>0</v>
      </c>
      <c r="F2661" s="103">
        <f>IF(H2661=0,0,ROUNDDOWN(L2661*H2661,1))</f>
        <v>1321.7</v>
      </c>
      <c r="G2661" s="16" t="s">
        <v>1995</v>
      </c>
      <c r="H2661" s="108">
        <v>5.7273768624099997E-2</v>
      </c>
      <c r="I2661" s="109">
        <f>K2661+J2661+L2661</f>
        <v>23077</v>
      </c>
      <c r="L2661" s="39">
        <f>중기목록표!H13</f>
        <v>23077</v>
      </c>
      <c r="M2661" s="20" t="s">
        <v>1992</v>
      </c>
      <c r="N2661" s="20" t="s">
        <v>1999</v>
      </c>
      <c r="X2661" s="110" t="str">
        <f>중기목록표!B13&amp;" / "&amp;중기목록표!C13</f>
        <v>덤프트럭15ton(암) / 할증율:1.25</v>
      </c>
      <c r="Y2661" s="19" t="str">
        <f ca="1">HYPERLINK("#"&amp;중기목록표!J2&amp;"!A"&amp;ROW(중기목록표!A13),"중기   10 →")</f>
        <v>중기   10 →</v>
      </c>
    </row>
    <row r="2662" spans="1:25" ht="12.6" customHeight="1" x14ac:dyDescent="0.3">
      <c r="A2662" s="80"/>
      <c r="B2662" s="80"/>
      <c r="C2662" s="80"/>
      <c r="D2662" s="80"/>
      <c r="E2662" s="80"/>
      <c r="F2662" s="80"/>
      <c r="G2662" s="16" t="s">
        <v>1324</v>
      </c>
    </row>
    <row r="2663" spans="1:25" ht="12.6" customHeight="1" x14ac:dyDescent="0.3">
      <c r="A2663" s="70"/>
      <c r="B2663" s="79" t="s">
        <v>1998</v>
      </c>
      <c r="C2663" s="106">
        <f>E2663+D2663+F2663</f>
        <v>4799.5</v>
      </c>
      <c r="D2663" s="106">
        <f>SUMIF(N2630:N2662,M2663,D2630:D2662)</f>
        <v>3190.1</v>
      </c>
      <c r="E2663" s="106">
        <f>SUMIF(N2630:N2662,M2663,E2630:E2662)</f>
        <v>287.7</v>
      </c>
      <c r="F2663" s="106">
        <f>SUMIF(N2630:N2662,M2663,F2630:F2662)</f>
        <v>1321.7</v>
      </c>
      <c r="G2663" s="16" t="s">
        <v>1997</v>
      </c>
      <c r="M2663" s="20" t="s">
        <v>1999</v>
      </c>
    </row>
    <row r="2664" spans="1:25" ht="12.6" customHeight="1" x14ac:dyDescent="0.3">
      <c r="A2664" s="80"/>
      <c r="B2664" s="80"/>
      <c r="C2664" s="107"/>
      <c r="D2664" s="107"/>
      <c r="E2664" s="107"/>
      <c r="F2664" s="107"/>
      <c r="G2664" s="16" t="s">
        <v>1324</v>
      </c>
    </row>
    <row r="2665" spans="1:25" ht="12.6" customHeight="1" x14ac:dyDescent="0.3">
      <c r="A2665" s="70"/>
      <c r="B2665" s="79" t="s">
        <v>2001</v>
      </c>
      <c r="C2665" s="80"/>
      <c r="D2665" s="80"/>
      <c r="E2665" s="80"/>
      <c r="F2665" s="80"/>
      <c r="G2665" s="16" t="s">
        <v>2000</v>
      </c>
    </row>
    <row r="2666" spans="1:25" ht="12.6" customHeight="1" x14ac:dyDescent="0.3">
      <c r="A2666" s="80"/>
      <c r="B2666" s="80"/>
      <c r="C2666" s="80"/>
      <c r="D2666" s="80"/>
      <c r="E2666" s="80"/>
      <c r="F2666" s="80"/>
      <c r="G2666" s="16" t="s">
        <v>1324</v>
      </c>
    </row>
    <row r="2667" spans="1:25" ht="12.6" customHeight="1" x14ac:dyDescent="0.3">
      <c r="A2667" s="70"/>
      <c r="B2667" s="79" t="s">
        <v>1974</v>
      </c>
      <c r="C2667" s="80"/>
      <c r="D2667" s="80"/>
      <c r="E2667" s="80"/>
      <c r="F2667" s="80"/>
      <c r="G2667" s="16" t="s">
        <v>1973</v>
      </c>
    </row>
    <row r="2668" spans="1:25" ht="12.6" customHeight="1" x14ac:dyDescent="0.3">
      <c r="A2668" s="80"/>
      <c r="B2668" s="80"/>
      <c r="C2668" s="80"/>
      <c r="D2668" s="80"/>
      <c r="E2668" s="80"/>
      <c r="F2668" s="80"/>
      <c r="G2668" s="16" t="s">
        <v>1324</v>
      </c>
    </row>
    <row r="2669" spans="1:25" ht="12.6" customHeight="1" x14ac:dyDescent="0.3">
      <c r="A2669" s="70"/>
      <c r="B2669" s="79" t="s">
        <v>2003</v>
      </c>
      <c r="C2669" s="80"/>
      <c r="D2669" s="80"/>
      <c r="E2669" s="80"/>
      <c r="F2669" s="80"/>
      <c r="G2669" s="16" t="s">
        <v>2002</v>
      </c>
    </row>
    <row r="2670" spans="1:25" ht="12.6" customHeight="1" x14ac:dyDescent="0.3">
      <c r="A2670" s="80"/>
      <c r="B2670" s="80"/>
      <c r="C2670" s="80"/>
      <c r="D2670" s="80"/>
      <c r="E2670" s="80"/>
      <c r="F2670" s="80"/>
      <c r="G2670" s="16" t="s">
        <v>1324</v>
      </c>
    </row>
    <row r="2671" spans="1:25" ht="12.6" customHeight="1" x14ac:dyDescent="0.3">
      <c r="A2671" s="70"/>
      <c r="B2671" s="79" t="s">
        <v>1409</v>
      </c>
      <c r="C2671" s="80"/>
      <c r="D2671" s="80"/>
      <c r="E2671" s="80"/>
      <c r="F2671" s="80"/>
      <c r="G2671" s="16" t="s">
        <v>1922</v>
      </c>
    </row>
    <row r="2672" spans="1:25" ht="12.6" customHeight="1" x14ac:dyDescent="0.3">
      <c r="A2672" s="80"/>
      <c r="B2672" s="80"/>
      <c r="C2672" s="80"/>
      <c r="D2672" s="80"/>
      <c r="E2672" s="80"/>
      <c r="F2672" s="80"/>
      <c r="G2672" s="16" t="s">
        <v>1324</v>
      </c>
    </row>
    <row r="2673" spans="1:7" ht="12.6" customHeight="1" x14ac:dyDescent="0.3">
      <c r="A2673" s="70"/>
      <c r="B2673" s="79" t="s">
        <v>2004</v>
      </c>
      <c r="C2673" s="80"/>
      <c r="D2673" s="80"/>
      <c r="E2673" s="80"/>
      <c r="F2673" s="80"/>
      <c r="G2673" s="16" t="s">
        <v>1977</v>
      </c>
    </row>
    <row r="2674" spans="1:7" ht="12.6" customHeight="1" x14ac:dyDescent="0.3">
      <c r="A2674" s="80"/>
      <c r="B2674" s="80"/>
      <c r="C2674" s="80"/>
      <c r="D2674" s="80"/>
      <c r="E2674" s="80"/>
      <c r="F2674" s="80"/>
      <c r="G2674" s="16" t="s">
        <v>1324</v>
      </c>
    </row>
    <row r="2675" spans="1:7" ht="12.6" customHeight="1" x14ac:dyDescent="0.3">
      <c r="A2675" s="70"/>
      <c r="B2675" s="79" t="s">
        <v>2005</v>
      </c>
      <c r="C2675" s="80"/>
      <c r="D2675" s="80"/>
      <c r="E2675" s="80"/>
      <c r="F2675" s="80"/>
      <c r="G2675" s="16" t="s">
        <v>1979</v>
      </c>
    </row>
    <row r="2676" spans="1:7" ht="12.6" customHeight="1" x14ac:dyDescent="0.3">
      <c r="A2676" s="80"/>
      <c r="B2676" s="80"/>
      <c r="C2676" s="80"/>
      <c r="D2676" s="80"/>
      <c r="E2676" s="80"/>
      <c r="F2676" s="80"/>
      <c r="G2676" s="16" t="s">
        <v>1324</v>
      </c>
    </row>
    <row r="2677" spans="1:7" ht="12.6" customHeight="1" x14ac:dyDescent="0.3">
      <c r="A2677" s="70"/>
      <c r="B2677" s="79" t="s">
        <v>2326</v>
      </c>
      <c r="C2677" s="80"/>
      <c r="D2677" s="80"/>
      <c r="E2677" s="80"/>
      <c r="F2677" s="80"/>
      <c r="G2677" s="16" t="s">
        <v>1927</v>
      </c>
    </row>
    <row r="2678" spans="1:7" ht="12.6" customHeight="1" x14ac:dyDescent="0.3">
      <c r="A2678" s="80"/>
      <c r="B2678" s="80"/>
      <c r="C2678" s="80"/>
      <c r="D2678" s="80"/>
      <c r="E2678" s="80"/>
      <c r="F2678" s="80"/>
      <c r="G2678" s="16" t="s">
        <v>1324</v>
      </c>
    </row>
    <row r="2679" spans="1:7" ht="12.6" customHeight="1" x14ac:dyDescent="0.3">
      <c r="A2679" s="70"/>
      <c r="B2679" s="79" t="s">
        <v>1930</v>
      </c>
      <c r="C2679" s="80"/>
      <c r="D2679" s="80"/>
      <c r="E2679" s="80"/>
      <c r="F2679" s="80"/>
      <c r="G2679" s="16" t="s">
        <v>1929</v>
      </c>
    </row>
    <row r="2680" spans="1:7" ht="12.6" customHeight="1" x14ac:dyDescent="0.3">
      <c r="A2680" s="80"/>
      <c r="B2680" s="80"/>
      <c r="C2680" s="80"/>
      <c r="D2680" s="80"/>
      <c r="E2680" s="80"/>
      <c r="F2680" s="80"/>
      <c r="G2680" s="16" t="s">
        <v>1324</v>
      </c>
    </row>
    <row r="2681" spans="1:7" ht="12.6" customHeight="1" x14ac:dyDescent="0.3">
      <c r="A2681" s="70"/>
      <c r="B2681" s="79" t="s">
        <v>1983</v>
      </c>
      <c r="C2681" s="80"/>
      <c r="D2681" s="80"/>
      <c r="E2681" s="80"/>
      <c r="F2681" s="80"/>
      <c r="G2681" s="16" t="s">
        <v>1982</v>
      </c>
    </row>
    <row r="2682" spans="1:7" ht="12.6" customHeight="1" x14ac:dyDescent="0.3">
      <c r="A2682" s="80"/>
      <c r="B2682" s="80"/>
      <c r="C2682" s="80"/>
      <c r="D2682" s="80"/>
      <c r="E2682" s="80"/>
      <c r="F2682" s="80"/>
      <c r="G2682" s="16" t="s">
        <v>1324</v>
      </c>
    </row>
    <row r="2683" spans="1:7" ht="12.6" customHeight="1" x14ac:dyDescent="0.3">
      <c r="A2683" s="70"/>
      <c r="B2683" s="79" t="s">
        <v>2330</v>
      </c>
      <c r="C2683" s="80"/>
      <c r="D2683" s="80"/>
      <c r="E2683" s="80"/>
      <c r="F2683" s="80"/>
      <c r="G2683" s="16" t="s">
        <v>1984</v>
      </c>
    </row>
    <row r="2684" spans="1:7" ht="12.6" customHeight="1" x14ac:dyDescent="0.3">
      <c r="A2684" s="80"/>
      <c r="B2684" s="80"/>
      <c r="C2684" s="80"/>
      <c r="D2684" s="80"/>
      <c r="E2684" s="80"/>
      <c r="F2684" s="80"/>
      <c r="G2684" s="16" t="s">
        <v>1324</v>
      </c>
    </row>
    <row r="2685" spans="1:7" ht="12.6" customHeight="1" x14ac:dyDescent="0.3">
      <c r="A2685" s="70"/>
      <c r="B2685" s="79" t="s">
        <v>2331</v>
      </c>
      <c r="C2685" s="80"/>
      <c r="D2685" s="80"/>
      <c r="E2685" s="80"/>
      <c r="F2685" s="80"/>
      <c r="G2685" s="16" t="s">
        <v>2007</v>
      </c>
    </row>
    <row r="2686" spans="1:7" ht="12.6" customHeight="1" x14ac:dyDescent="0.3">
      <c r="A2686" s="80"/>
      <c r="B2686" s="80"/>
      <c r="C2686" s="80"/>
      <c r="D2686" s="80"/>
      <c r="E2686" s="80"/>
      <c r="F2686" s="80"/>
      <c r="G2686" s="16" t="s">
        <v>1324</v>
      </c>
    </row>
    <row r="2687" spans="1:7" ht="12.6" customHeight="1" x14ac:dyDescent="0.3">
      <c r="A2687" s="70"/>
      <c r="B2687" s="79" t="s">
        <v>2332</v>
      </c>
      <c r="C2687" s="80"/>
      <c r="D2687" s="80"/>
      <c r="E2687" s="80"/>
      <c r="F2687" s="80"/>
      <c r="G2687" s="16" t="s">
        <v>2009</v>
      </c>
    </row>
    <row r="2688" spans="1:7" ht="12.6" customHeight="1" x14ac:dyDescent="0.3">
      <c r="A2688" s="80"/>
      <c r="B2688" s="80"/>
      <c r="C2688" s="80"/>
      <c r="D2688" s="80"/>
      <c r="E2688" s="80"/>
      <c r="F2688" s="80"/>
      <c r="G2688" s="16" t="s">
        <v>1324</v>
      </c>
    </row>
    <row r="2689" spans="1:25" ht="12.6" customHeight="1" x14ac:dyDescent="0.3">
      <c r="A2689" s="70" t="s">
        <v>2012</v>
      </c>
      <c r="B2689" s="101" t="str">
        <f>" 노 무 비  :  "&amp;TEXT(I2689,"#,##0"&amp;IF(I2689&lt;&gt;INT(I2689),".###",""))&amp;" / Q2 = "&amp;TEXT(C2689,"#,##0.0")&amp;""</f>
        <v xml:space="preserve"> 노 무 비  :  47,231 / Q2 = 2,985.5</v>
      </c>
      <c r="C2689" s="103">
        <f>E2689+D2689+F2689</f>
        <v>2985.5</v>
      </c>
      <c r="D2689" s="103">
        <f>IF(H2689=0,0,ROUNDDOWN(J2689*H2689,1))</f>
        <v>2985.5</v>
      </c>
      <c r="E2689" s="103">
        <f>IF(H2689=0,0,ROUNDDOWN(K2689*H2689,1))</f>
        <v>0</v>
      </c>
      <c r="F2689" s="103">
        <f>IF(H2689=0,0,ROUNDDOWN(L2689*H2689,1))</f>
        <v>0</v>
      </c>
      <c r="G2689" s="16" t="s">
        <v>2011</v>
      </c>
      <c r="H2689" s="108">
        <v>6.3211125168099999E-2</v>
      </c>
      <c r="I2689" s="109">
        <f>K2689+J2689+L2689</f>
        <v>47231</v>
      </c>
      <c r="J2689" s="39">
        <f>중기목록표!F12</f>
        <v>47231</v>
      </c>
      <c r="M2689" s="20" t="s">
        <v>2013</v>
      </c>
      <c r="N2689" s="20" t="s">
        <v>1345</v>
      </c>
      <c r="X2689" s="110" t="str">
        <f>중기목록표!B12&amp;" / "&amp;중기목록표!C12</f>
        <v>덤프트럭10.5ton(암) / 할증율:1.25</v>
      </c>
      <c r="Y2689" s="19" t="str">
        <f ca="1">HYPERLINK("#"&amp;중기목록표!J2&amp;"!A"&amp;ROW(중기목록표!A12),"중기    9 →")</f>
        <v>중기    9 →</v>
      </c>
    </row>
    <row r="2690" spans="1:25" ht="12.6" customHeight="1" x14ac:dyDescent="0.3">
      <c r="A2690" s="80"/>
      <c r="B2690" s="80"/>
      <c r="C2690" s="80"/>
      <c r="D2690" s="80"/>
      <c r="E2690" s="80"/>
      <c r="F2690" s="80"/>
      <c r="G2690" s="16" t="s">
        <v>1324</v>
      </c>
    </row>
    <row r="2691" spans="1:25" ht="12.6" customHeight="1" x14ac:dyDescent="0.3">
      <c r="A2691" s="70" t="s">
        <v>2015</v>
      </c>
      <c r="B2691" s="101" t="str">
        <f>" 재 료 비  :  "&amp;TEXT(I2691,"#,##0"&amp;IF(I2691&lt;&gt;INT(I2691),".###",""))&amp;" / Q2 * OH = "&amp;TEXT(C2691,"#,##0.0")&amp;""</f>
        <v xml:space="preserve"> 재 료 비  :  24,750 / Q2 * OH = 375.4</v>
      </c>
      <c r="C2691" s="103">
        <f>E2691+D2691+F2691</f>
        <v>375.4</v>
      </c>
      <c r="D2691" s="103">
        <f>IF(H2691=0,0,ROUNDDOWN(J2691*H2691,1))</f>
        <v>0</v>
      </c>
      <c r="E2691" s="103">
        <f>IF(H2691=0,0,ROUNDDOWN(K2691*H2691,1))</f>
        <v>375.4</v>
      </c>
      <c r="F2691" s="103">
        <f>IF(H2691=0,0,ROUNDDOWN(L2691*H2691,1))</f>
        <v>0</v>
      </c>
      <c r="G2691" s="16" t="s">
        <v>2014</v>
      </c>
      <c r="H2691" s="108">
        <v>1.5170670048E-2</v>
      </c>
      <c r="I2691" s="109">
        <f>K2691+J2691+L2691</f>
        <v>24750</v>
      </c>
      <c r="K2691" s="39">
        <f>중기목록표!G12</f>
        <v>24750</v>
      </c>
      <c r="M2691" s="20" t="s">
        <v>2013</v>
      </c>
      <c r="N2691" s="20" t="s">
        <v>1345</v>
      </c>
      <c r="X2691" s="110" t="str">
        <f>중기목록표!B12&amp;" / "&amp;중기목록표!C12</f>
        <v>덤프트럭10.5ton(암) / 할증율:1.25</v>
      </c>
      <c r="Y2691" s="19" t="str">
        <f ca="1">HYPERLINK("#"&amp;중기목록표!J2&amp;"!A"&amp;ROW(중기목록표!A12),"중기    9 →")</f>
        <v>중기    9 →</v>
      </c>
    </row>
    <row r="2692" spans="1:25" ht="12.6" customHeight="1" x14ac:dyDescent="0.3">
      <c r="A2692" s="80"/>
      <c r="B2692" s="80"/>
      <c r="C2692" s="80"/>
      <c r="D2692" s="80"/>
      <c r="E2692" s="80"/>
      <c r="F2692" s="80"/>
      <c r="G2692" s="16" t="s">
        <v>1324</v>
      </c>
    </row>
    <row r="2693" spans="1:25" ht="12.6" customHeight="1" x14ac:dyDescent="0.3">
      <c r="A2693" s="70" t="s">
        <v>2017</v>
      </c>
      <c r="B2693" s="101" t="str">
        <f>" 경    비  :  "&amp;TEXT(I2693,"#,##0"&amp;IF(I2693&lt;&gt;INT(I2693),".###",""))&amp;" / Q2 = "&amp;TEXT(C2693,"#,##0.0")&amp;""</f>
        <v xml:space="preserve"> 경    비  :  13,222 / Q2 = 835.7</v>
      </c>
      <c r="C2693" s="103">
        <f>E2693+D2693+F2693</f>
        <v>835.7</v>
      </c>
      <c r="D2693" s="103">
        <f>IF(H2693=0,0,ROUNDDOWN(J2693*H2693,1))</f>
        <v>0</v>
      </c>
      <c r="E2693" s="103">
        <f>IF(H2693=0,0,ROUNDDOWN(K2693*H2693,1))</f>
        <v>0</v>
      </c>
      <c r="F2693" s="103">
        <f>IF(H2693=0,0,ROUNDDOWN(L2693*H2693,1))</f>
        <v>835.7</v>
      </c>
      <c r="G2693" s="16" t="s">
        <v>2016</v>
      </c>
      <c r="H2693" s="108">
        <v>6.3211125168099999E-2</v>
      </c>
      <c r="I2693" s="109">
        <f>K2693+J2693+L2693</f>
        <v>13222</v>
      </c>
      <c r="L2693" s="39">
        <f>중기목록표!H12</f>
        <v>13222</v>
      </c>
      <c r="M2693" s="20" t="s">
        <v>2013</v>
      </c>
      <c r="N2693" s="20" t="s">
        <v>1345</v>
      </c>
      <c r="X2693" s="110" t="str">
        <f>중기목록표!B12&amp;" / "&amp;중기목록표!C12</f>
        <v>덤프트럭10.5ton(암) / 할증율:1.25</v>
      </c>
      <c r="Y2693" s="19" t="str">
        <f ca="1">HYPERLINK("#"&amp;중기목록표!J2&amp;"!A"&amp;ROW(중기목록표!A12),"중기    9 →")</f>
        <v>중기    9 →</v>
      </c>
    </row>
    <row r="2694" spans="1:25" ht="12.6" customHeight="1" x14ac:dyDescent="0.3">
      <c r="A2694" s="80"/>
      <c r="B2694" s="80"/>
      <c r="C2694" s="80"/>
      <c r="D2694" s="80"/>
      <c r="E2694" s="80"/>
      <c r="F2694" s="80"/>
      <c r="G2694" s="16" t="s">
        <v>1324</v>
      </c>
    </row>
    <row r="2695" spans="1:25" ht="12.6" customHeight="1" x14ac:dyDescent="0.3">
      <c r="A2695" s="70"/>
      <c r="B2695" s="79" t="s">
        <v>1344</v>
      </c>
      <c r="C2695" s="104">
        <f>E2695+D2695+F2695</f>
        <v>4196.6000000000004</v>
      </c>
      <c r="D2695" s="104">
        <f>SUMIF(N2664:N2694,M2695,D2664:D2694)</f>
        <v>2985.5</v>
      </c>
      <c r="E2695" s="104">
        <f>SUMIF(N2664:N2694,M2695,E2664:E2694)</f>
        <v>375.4</v>
      </c>
      <c r="F2695" s="104">
        <f>SUMIF(N2664:N2694,M2695,F2664:F2694)</f>
        <v>835.7</v>
      </c>
      <c r="G2695" s="16" t="s">
        <v>1603</v>
      </c>
      <c r="M2695" s="20" t="s">
        <v>1345</v>
      </c>
      <c r="N2695" s="20" t="s">
        <v>1368</v>
      </c>
    </row>
    <row r="2696" spans="1:25" ht="12.6" customHeight="1" x14ac:dyDescent="0.3">
      <c r="A2696" s="80"/>
      <c r="B2696" s="80"/>
      <c r="C2696" s="102"/>
      <c r="D2696" s="102"/>
      <c r="E2696" s="102"/>
      <c r="F2696" s="102"/>
      <c r="G2696" s="16" t="s">
        <v>1324</v>
      </c>
    </row>
    <row r="2697" spans="1:25" ht="12.6" customHeight="1" x14ac:dyDescent="0.3">
      <c r="A2697" s="70"/>
      <c r="B2697" s="79" t="s">
        <v>1947</v>
      </c>
      <c r="C2697" s="80"/>
      <c r="D2697" s="80"/>
      <c r="E2697" s="80"/>
      <c r="F2697" s="80"/>
      <c r="G2697" s="16" t="s">
        <v>1946</v>
      </c>
    </row>
    <row r="2698" spans="1:25" ht="12.6" customHeight="1" x14ac:dyDescent="0.3">
      <c r="A2698" s="80"/>
      <c r="B2698" s="80"/>
      <c r="C2698" s="80"/>
      <c r="D2698" s="80"/>
      <c r="E2698" s="80"/>
      <c r="F2698" s="80"/>
      <c r="G2698" s="16" t="s">
        <v>1324</v>
      </c>
    </row>
    <row r="2699" spans="1:25" ht="12.6" customHeight="1" x14ac:dyDescent="0.3">
      <c r="A2699" s="70"/>
      <c r="B2699" s="79" t="s">
        <v>1949</v>
      </c>
      <c r="C2699" s="80"/>
      <c r="D2699" s="80"/>
      <c r="E2699" s="80"/>
      <c r="F2699" s="80"/>
      <c r="G2699" s="16" t="s">
        <v>1948</v>
      </c>
    </row>
    <row r="2700" spans="1:25" ht="12.6" customHeight="1" x14ac:dyDescent="0.3">
      <c r="A2700" s="80"/>
      <c r="B2700" s="80"/>
      <c r="C2700" s="80"/>
      <c r="D2700" s="80"/>
      <c r="E2700" s="80"/>
      <c r="F2700" s="80"/>
      <c r="G2700" s="16" t="s">
        <v>1324</v>
      </c>
    </row>
    <row r="2701" spans="1:25" ht="12.6" customHeight="1" x14ac:dyDescent="0.3">
      <c r="A2701" s="70"/>
      <c r="B2701" s="79" t="s">
        <v>2019</v>
      </c>
      <c r="C2701" s="80"/>
      <c r="D2701" s="80"/>
      <c r="E2701" s="80"/>
      <c r="F2701" s="80"/>
      <c r="G2701" s="16" t="s">
        <v>2018</v>
      </c>
    </row>
    <row r="2702" spans="1:25" ht="12.6" customHeight="1" x14ac:dyDescent="0.3">
      <c r="A2702" s="80"/>
      <c r="B2702" s="80"/>
      <c r="C2702" s="80"/>
      <c r="D2702" s="80"/>
      <c r="E2702" s="80"/>
      <c r="F2702" s="80"/>
      <c r="G2702" s="16" t="s">
        <v>1324</v>
      </c>
    </row>
    <row r="2703" spans="1:25" ht="12.6" customHeight="1" x14ac:dyDescent="0.3">
      <c r="A2703" s="70"/>
      <c r="B2703" s="79" t="s">
        <v>2021</v>
      </c>
      <c r="C2703" s="80"/>
      <c r="D2703" s="80"/>
      <c r="E2703" s="80"/>
      <c r="F2703" s="80"/>
      <c r="G2703" s="16" t="s">
        <v>2020</v>
      </c>
    </row>
    <row r="2704" spans="1:25" ht="12.6" customHeight="1" x14ac:dyDescent="0.3">
      <c r="A2704" s="80"/>
      <c r="B2704" s="80"/>
      <c r="C2704" s="80"/>
      <c r="D2704" s="80"/>
      <c r="E2704" s="80"/>
      <c r="F2704" s="80"/>
      <c r="G2704" s="16" t="s">
        <v>1324</v>
      </c>
    </row>
    <row r="2705" spans="1:25" ht="12.6" customHeight="1" x14ac:dyDescent="0.3">
      <c r="A2705" s="70" t="s">
        <v>1394</v>
      </c>
      <c r="B2705" s="101" t="str">
        <f>" 노 무 비  :  "&amp;TEXT(I2705,"#,##0"&amp;IF(I2705&lt;&gt;INT(I2705),".###",""))&amp;" / Q3/ 3 = "&amp;TEXT(C2705,"#,##0.0")&amp;""</f>
        <v xml:space="preserve"> 노 무 비  :  55,700 / Q3/ 3 = 421.0</v>
      </c>
      <c r="C2705" s="103">
        <f>E2705+D2705+F2705</f>
        <v>421</v>
      </c>
      <c r="D2705" s="103">
        <f>IF(H2705=0,0,ROUNDDOWN(J2705*H2705,1))</f>
        <v>421</v>
      </c>
      <c r="E2705" s="103">
        <f>IF(H2705=0,0,ROUNDDOWN(K2705*H2705,1))</f>
        <v>0</v>
      </c>
      <c r="F2705" s="103">
        <f>IF(H2705=0,0,ROUNDDOWN(L2705*H2705,1))</f>
        <v>0</v>
      </c>
      <c r="G2705" s="16" t="s">
        <v>2022</v>
      </c>
      <c r="H2705" s="108">
        <v>7.5585789973000002E-3</v>
      </c>
      <c r="I2705" s="109">
        <f>K2705+J2705+L2705</f>
        <v>55700</v>
      </c>
      <c r="J2705" s="39">
        <f>중기목록표!F9</f>
        <v>55700</v>
      </c>
      <c r="M2705" s="20" t="s">
        <v>1395</v>
      </c>
      <c r="N2705" s="20" t="s">
        <v>1345</v>
      </c>
      <c r="X2705" s="110" t="str">
        <f>중기목록표!B9&amp;" / "&amp;중기목록표!C9</f>
        <v>굴삭기(0.7m3) / 0.7㎥,(암석)</v>
      </c>
      <c r="Y2705" s="19" t="str">
        <f ca="1">HYPERLINK("#"&amp;중기목록표!J2&amp;"!A"&amp;ROW(중기목록표!A9),"중기    6 →")</f>
        <v>중기    6 →</v>
      </c>
    </row>
    <row r="2706" spans="1:25" ht="12.6" customHeight="1" x14ac:dyDescent="0.3">
      <c r="A2706" s="80"/>
      <c r="B2706" s="80"/>
      <c r="C2706" s="80"/>
      <c r="D2706" s="80"/>
      <c r="E2706" s="80"/>
      <c r="F2706" s="80"/>
      <c r="G2706" s="16" t="s">
        <v>1324</v>
      </c>
    </row>
    <row r="2707" spans="1:25" ht="12.6" customHeight="1" x14ac:dyDescent="0.3">
      <c r="A2707" s="70" t="s">
        <v>1397</v>
      </c>
      <c r="B2707" s="101" t="str">
        <f>" 재 료 비  :  "&amp;TEXT(I2707,"#,##0"&amp;IF(I2707&lt;&gt;INT(I2707),".###",""))&amp;" / Q3/ 3 = "&amp;TEXT(C2707,"#,##0.0")&amp;""</f>
        <v xml:space="preserve"> 재 료 비  :  18,001 / Q3/ 3 = 136.0</v>
      </c>
      <c r="C2707" s="103">
        <f>E2707+D2707+F2707</f>
        <v>136</v>
      </c>
      <c r="D2707" s="103">
        <f>IF(H2707=0,0,ROUNDDOWN(J2707*H2707,1))</f>
        <v>0</v>
      </c>
      <c r="E2707" s="103">
        <f>IF(H2707=0,0,ROUNDDOWN(K2707*H2707,1))</f>
        <v>136</v>
      </c>
      <c r="F2707" s="103">
        <f>IF(H2707=0,0,ROUNDDOWN(L2707*H2707,1))</f>
        <v>0</v>
      </c>
      <c r="G2707" s="16" t="s">
        <v>2023</v>
      </c>
      <c r="H2707" s="108">
        <v>7.5585789973000002E-3</v>
      </c>
      <c r="I2707" s="109">
        <f>K2707+J2707+L2707</f>
        <v>18001</v>
      </c>
      <c r="K2707" s="39">
        <f>중기목록표!G9</f>
        <v>18001</v>
      </c>
      <c r="M2707" s="20" t="s">
        <v>1395</v>
      </c>
      <c r="N2707" s="20" t="s">
        <v>1345</v>
      </c>
      <c r="X2707" s="110" t="str">
        <f>중기목록표!B9&amp;" / "&amp;중기목록표!C9</f>
        <v>굴삭기(0.7m3) / 0.7㎥,(암석)</v>
      </c>
      <c r="Y2707" s="19" t="str">
        <f ca="1">HYPERLINK("#"&amp;중기목록표!J2&amp;"!A"&amp;ROW(중기목록표!A9),"중기    6 →")</f>
        <v>중기    6 →</v>
      </c>
    </row>
    <row r="2708" spans="1:25" ht="12.6" customHeight="1" x14ac:dyDescent="0.3">
      <c r="A2708" s="80"/>
      <c r="B2708" s="80"/>
      <c r="C2708" s="80"/>
      <c r="D2708" s="80"/>
      <c r="E2708" s="80"/>
      <c r="F2708" s="80"/>
      <c r="G2708" s="16" t="s">
        <v>1324</v>
      </c>
    </row>
    <row r="2709" spans="1:25" ht="12.6" customHeight="1" x14ac:dyDescent="0.3">
      <c r="A2709" s="70" t="s">
        <v>1399</v>
      </c>
      <c r="B2709" s="101" t="str">
        <f>" 경    비  :  "&amp;TEXT(I2709,"#,##0"&amp;IF(I2709&lt;&gt;INT(I2709),".###",""))&amp;" / Q3/ 3 = "&amp;TEXT(C2709,"#,##0.0")&amp;""</f>
        <v xml:space="preserve"> 경    비  :  26,677 / Q3/ 3 = 201.6</v>
      </c>
      <c r="C2709" s="103">
        <f>E2709+D2709+F2709</f>
        <v>201.6</v>
      </c>
      <c r="D2709" s="103">
        <f>IF(H2709=0,0,ROUNDDOWN(J2709*H2709,1))</f>
        <v>0</v>
      </c>
      <c r="E2709" s="103">
        <f>IF(H2709=0,0,ROUNDDOWN(K2709*H2709,1))</f>
        <v>0</v>
      </c>
      <c r="F2709" s="103">
        <f>IF(H2709=0,0,ROUNDDOWN(L2709*H2709,1))</f>
        <v>201.6</v>
      </c>
      <c r="G2709" s="16" t="s">
        <v>2024</v>
      </c>
      <c r="H2709" s="108">
        <v>7.5585789973000002E-3</v>
      </c>
      <c r="I2709" s="109">
        <f>K2709+J2709+L2709</f>
        <v>26677</v>
      </c>
      <c r="L2709" s="39">
        <f>중기목록표!H9</f>
        <v>26677</v>
      </c>
      <c r="M2709" s="20" t="s">
        <v>1395</v>
      </c>
      <c r="N2709" s="20" t="s">
        <v>1345</v>
      </c>
      <c r="X2709" s="110" t="str">
        <f>중기목록표!B9&amp;" / "&amp;중기목록표!C9</f>
        <v>굴삭기(0.7m3) / 0.7㎥,(암석)</v>
      </c>
      <c r="Y2709" s="19" t="str">
        <f ca="1">HYPERLINK("#"&amp;중기목록표!J2&amp;"!A"&amp;ROW(중기목록표!A9),"중기    6 →")</f>
        <v>중기    6 →</v>
      </c>
    </row>
    <row r="2710" spans="1:25" ht="12.6" customHeight="1" x14ac:dyDescent="0.3">
      <c r="A2710" s="80"/>
      <c r="B2710" s="80"/>
      <c r="C2710" s="80"/>
      <c r="D2710" s="80"/>
      <c r="E2710" s="80"/>
      <c r="F2710" s="80"/>
      <c r="G2710" s="16" t="s">
        <v>1324</v>
      </c>
    </row>
    <row r="2711" spans="1:25" ht="12.6" customHeight="1" x14ac:dyDescent="0.3">
      <c r="A2711" s="70"/>
      <c r="B2711" s="79" t="s">
        <v>1344</v>
      </c>
      <c r="C2711" s="104">
        <f>E2711+D2711+F2711</f>
        <v>758.6</v>
      </c>
      <c r="D2711" s="104">
        <f>SUMIF(N2696:N2710,M2711,D2696:D2710)</f>
        <v>421</v>
      </c>
      <c r="E2711" s="104">
        <f>SUMIF(N2696:N2710,M2711,E2696:E2710)</f>
        <v>136</v>
      </c>
      <c r="F2711" s="104">
        <f>SUMIF(N2696:N2710,M2711,F2696:F2710)</f>
        <v>201.6</v>
      </c>
      <c r="G2711" s="16" t="s">
        <v>1343</v>
      </c>
      <c r="M2711" s="20" t="s">
        <v>1345</v>
      </c>
      <c r="N2711" s="20" t="s">
        <v>1368</v>
      </c>
    </row>
    <row r="2712" spans="1:25" ht="12.6" customHeight="1" x14ac:dyDescent="0.3">
      <c r="A2712" s="80"/>
      <c r="B2712" s="80"/>
      <c r="C2712" s="102"/>
      <c r="D2712" s="102"/>
      <c r="E2712" s="102"/>
      <c r="F2712" s="102"/>
      <c r="G2712" s="16" t="s">
        <v>1324</v>
      </c>
    </row>
    <row r="2713" spans="1:25" ht="12.6" customHeight="1" x14ac:dyDescent="0.3">
      <c r="A2713" s="70"/>
      <c r="B2713" s="79" t="s">
        <v>1171</v>
      </c>
      <c r="C2713" s="104">
        <f>E2713+D2713+F2713</f>
        <v>8880.6</v>
      </c>
      <c r="D2713" s="104">
        <f>SUMIF(N2607:N2712,M2713,D2607:D2712)</f>
        <v>5584.8</v>
      </c>
      <c r="E2713" s="104">
        <f>SUMIF(N2607:N2712,M2713,E2607:E2712)</f>
        <v>1215.3</v>
      </c>
      <c r="F2713" s="104">
        <f>SUMIF(N2607:N2712,M2713,F2607:F2712)</f>
        <v>2080.5</v>
      </c>
      <c r="G2713" s="16" t="s">
        <v>1367</v>
      </c>
      <c r="M2713" s="20" t="s">
        <v>1368</v>
      </c>
      <c r="N2713" s="20" t="s">
        <v>1129</v>
      </c>
    </row>
    <row r="2714" spans="1:25" ht="12.6" customHeight="1" x14ac:dyDescent="0.3">
      <c r="A2714" s="80"/>
      <c r="B2714" s="80"/>
      <c r="C2714" s="102"/>
      <c r="D2714" s="102"/>
      <c r="E2714" s="102"/>
      <c r="F2714" s="102"/>
    </row>
    <row r="2715" spans="1:25" ht="12.6" customHeight="1" x14ac:dyDescent="0.3">
      <c r="A2715" s="80"/>
      <c r="B2715" s="80"/>
      <c r="C2715" s="80"/>
      <c r="D2715" s="80"/>
      <c r="E2715" s="80"/>
      <c r="F2715" s="80"/>
    </row>
    <row r="2716" spans="1:25" ht="12.6" customHeight="1" x14ac:dyDescent="0.3">
      <c r="A2716" s="80"/>
      <c r="B2716" s="80"/>
      <c r="C2716" s="80"/>
      <c r="D2716" s="80"/>
      <c r="E2716" s="80"/>
      <c r="F2716" s="80"/>
    </row>
    <row r="2717" spans="1:25" ht="12.6" customHeight="1" x14ac:dyDescent="0.3">
      <c r="A2717" s="80"/>
      <c r="B2717" s="80"/>
      <c r="C2717" s="80"/>
      <c r="D2717" s="80"/>
      <c r="E2717" s="80"/>
      <c r="F2717" s="80"/>
    </row>
    <row r="2718" spans="1:25" ht="12.6" customHeight="1" x14ac:dyDescent="0.3">
      <c r="A2718" s="80"/>
      <c r="B2718" s="80"/>
      <c r="C2718" s="80"/>
      <c r="D2718" s="80"/>
      <c r="E2718" s="80"/>
      <c r="F2718" s="80"/>
    </row>
    <row r="2719" spans="1:25" ht="12.6" customHeight="1" x14ac:dyDescent="0.3">
      <c r="A2719" s="80"/>
      <c r="B2719" s="80"/>
      <c r="C2719" s="80"/>
      <c r="D2719" s="80"/>
      <c r="E2719" s="80"/>
      <c r="F2719" s="80"/>
    </row>
    <row r="2720" spans="1:25" ht="12.6" customHeight="1" x14ac:dyDescent="0.3">
      <c r="A2720" s="80"/>
      <c r="B2720" s="80"/>
      <c r="C2720" s="80"/>
      <c r="D2720" s="80"/>
      <c r="E2720" s="80"/>
      <c r="F2720" s="80"/>
    </row>
    <row r="2721" spans="1:6" ht="12.6" customHeight="1" x14ac:dyDescent="0.3">
      <c r="A2721" s="80"/>
      <c r="B2721" s="80"/>
      <c r="C2721" s="80"/>
      <c r="D2721" s="80"/>
      <c r="E2721" s="80"/>
      <c r="F2721" s="80"/>
    </row>
    <row r="2722" spans="1:6" ht="12.6" customHeight="1" x14ac:dyDescent="0.3">
      <c r="A2722" s="80"/>
      <c r="B2722" s="80"/>
      <c r="C2722" s="80"/>
      <c r="D2722" s="80"/>
      <c r="E2722" s="80"/>
      <c r="F2722" s="80"/>
    </row>
    <row r="2723" spans="1:6" ht="12.6" customHeight="1" x14ac:dyDescent="0.3">
      <c r="A2723" s="80"/>
      <c r="B2723" s="80"/>
      <c r="C2723" s="80"/>
      <c r="D2723" s="80"/>
      <c r="E2723" s="80"/>
      <c r="F2723" s="80"/>
    </row>
    <row r="2724" spans="1:6" ht="12.6" customHeight="1" x14ac:dyDescent="0.3">
      <c r="A2724" s="80"/>
      <c r="B2724" s="80"/>
      <c r="C2724" s="80"/>
      <c r="D2724" s="80"/>
      <c r="E2724" s="80"/>
      <c r="F2724" s="80"/>
    </row>
    <row r="2725" spans="1:6" ht="12.6" customHeight="1" x14ac:dyDescent="0.3">
      <c r="A2725" s="80"/>
      <c r="B2725" s="80"/>
      <c r="C2725" s="80"/>
      <c r="D2725" s="80"/>
      <c r="E2725" s="80"/>
      <c r="F2725" s="80"/>
    </row>
    <row r="2726" spans="1:6" ht="12.6" customHeight="1" x14ac:dyDescent="0.3">
      <c r="A2726" s="80"/>
      <c r="B2726" s="80"/>
      <c r="C2726" s="80"/>
      <c r="D2726" s="80"/>
      <c r="E2726" s="80"/>
      <c r="F2726" s="80"/>
    </row>
    <row r="2727" spans="1:6" ht="12.6" customHeight="1" x14ac:dyDescent="0.3">
      <c r="A2727" s="80"/>
      <c r="B2727" s="80"/>
      <c r="C2727" s="80"/>
      <c r="D2727" s="80"/>
      <c r="E2727" s="80"/>
      <c r="F2727" s="80"/>
    </row>
    <row r="2728" spans="1:6" ht="12.6" customHeight="1" x14ac:dyDescent="0.3">
      <c r="A2728" s="80"/>
      <c r="B2728" s="80"/>
      <c r="C2728" s="80"/>
      <c r="D2728" s="80"/>
      <c r="E2728" s="80"/>
      <c r="F2728" s="80"/>
    </row>
    <row r="2729" spans="1:6" ht="12.6" customHeight="1" x14ac:dyDescent="0.3">
      <c r="A2729" s="80"/>
      <c r="B2729" s="80"/>
      <c r="C2729" s="80"/>
      <c r="D2729" s="80"/>
      <c r="E2729" s="80"/>
      <c r="F2729" s="80"/>
    </row>
    <row r="2730" spans="1:6" ht="12.6" customHeight="1" x14ac:dyDescent="0.3">
      <c r="A2730" s="80"/>
      <c r="B2730" s="80"/>
      <c r="C2730" s="80"/>
      <c r="D2730" s="80"/>
      <c r="E2730" s="80"/>
      <c r="F2730" s="80"/>
    </row>
    <row r="2731" spans="1:6" ht="12.6" customHeight="1" x14ac:dyDescent="0.3">
      <c r="A2731" s="80"/>
      <c r="B2731" s="80"/>
      <c r="C2731" s="80"/>
      <c r="D2731" s="80"/>
      <c r="E2731" s="80"/>
      <c r="F2731" s="80"/>
    </row>
    <row r="2732" spans="1:6" ht="12.6" customHeight="1" x14ac:dyDescent="0.3">
      <c r="A2732" s="80"/>
      <c r="B2732" s="80"/>
      <c r="C2732" s="80"/>
      <c r="D2732" s="80"/>
      <c r="E2732" s="80"/>
      <c r="F2732" s="80"/>
    </row>
    <row r="2733" spans="1:6" ht="12.6" customHeight="1" x14ac:dyDescent="0.3">
      <c r="A2733" s="80"/>
      <c r="B2733" s="80"/>
      <c r="C2733" s="80"/>
      <c r="D2733" s="80"/>
      <c r="E2733" s="80"/>
      <c r="F2733" s="80"/>
    </row>
    <row r="2734" spans="1:6" ht="12.6" customHeight="1" x14ac:dyDescent="0.3">
      <c r="A2734" s="80"/>
      <c r="B2734" s="80"/>
      <c r="C2734" s="80"/>
      <c r="D2734" s="80"/>
      <c r="E2734" s="80"/>
      <c r="F2734" s="80"/>
    </row>
    <row r="2735" spans="1:6" ht="12.6" customHeight="1" x14ac:dyDescent="0.3">
      <c r="A2735" s="80"/>
      <c r="B2735" s="80"/>
      <c r="C2735" s="80"/>
      <c r="D2735" s="80"/>
      <c r="E2735" s="80"/>
      <c r="F2735" s="80"/>
    </row>
    <row r="2736" spans="1:6" ht="12.6" customHeight="1" x14ac:dyDescent="0.3">
      <c r="A2736" s="80"/>
      <c r="B2736" s="80"/>
      <c r="C2736" s="80"/>
      <c r="D2736" s="80"/>
      <c r="E2736" s="80"/>
      <c r="F2736" s="80"/>
    </row>
    <row r="2737" spans="1:14" ht="12.6" customHeight="1" x14ac:dyDescent="0.3">
      <c r="A2737" s="80"/>
      <c r="B2737" s="80"/>
      <c r="C2737" s="80"/>
      <c r="D2737" s="80"/>
      <c r="E2737" s="80"/>
      <c r="F2737" s="80"/>
    </row>
    <row r="2738" spans="1:14" ht="12.6" customHeight="1" x14ac:dyDescent="0.3">
      <c r="A2738" s="80"/>
      <c r="B2738" s="80"/>
      <c r="C2738" s="80"/>
      <c r="D2738" s="80"/>
      <c r="E2738" s="80"/>
      <c r="F2738" s="80"/>
    </row>
    <row r="2739" spans="1:14" ht="12.6" customHeight="1" x14ac:dyDescent="0.3">
      <c r="A2739" s="80"/>
      <c r="B2739" s="80"/>
      <c r="C2739" s="80"/>
      <c r="D2739" s="80"/>
      <c r="E2739" s="80"/>
      <c r="F2739" s="80"/>
    </row>
    <row r="2740" spans="1:14" ht="12.6" customHeight="1" x14ac:dyDescent="0.3">
      <c r="A2740" s="80"/>
      <c r="B2740" s="80"/>
      <c r="C2740" s="80"/>
      <c r="D2740" s="80"/>
      <c r="E2740" s="80"/>
      <c r="F2740" s="80"/>
    </row>
    <row r="2741" spans="1:14" ht="12.6" customHeight="1" x14ac:dyDescent="0.3">
      <c r="A2741" s="58"/>
      <c r="B2741" s="58"/>
      <c r="C2741" s="58"/>
      <c r="D2741" s="58"/>
      <c r="E2741" s="58"/>
      <c r="F2741" s="58"/>
    </row>
    <row r="2742" spans="1:14" ht="12.6" customHeight="1" x14ac:dyDescent="0.3">
      <c r="A2742" s="141" t="s">
        <v>1171</v>
      </c>
      <c r="B2742" s="142"/>
      <c r="C2742" s="55">
        <f>E2742+D2742+F2742</f>
        <v>8879</v>
      </c>
      <c r="D2742" s="54">
        <f>ROUNDDOWN(SUMIF(N2607:N2713,M2742,D2607:D2713),0)</f>
        <v>5584</v>
      </c>
      <c r="E2742" s="63">
        <f>ROUNDDOWN(SUMIF(N2607:N2713,M2742,E2607:E2713),0)</f>
        <v>1215</v>
      </c>
      <c r="F2742" s="55">
        <f>ROUNDDOWN(SUMIF(N2607:N2713,M2742,F2607:F2713),0)</f>
        <v>2080</v>
      </c>
      <c r="M2742" s="20" t="s">
        <v>1129</v>
      </c>
      <c r="N2742" s="20" t="s">
        <v>1172</v>
      </c>
    </row>
    <row r="2743" spans="1:14" ht="12.6" customHeight="1" x14ac:dyDescent="0.3">
      <c r="A2743" s="141" t="s">
        <v>1173</v>
      </c>
      <c r="B2743" s="142"/>
      <c r="C2743" s="55">
        <f>E2743+D2743+F2743</f>
        <v>7856</v>
      </c>
      <c r="D2743" s="54">
        <f>ROUNDDOWN(D2742*H2743/100,0)</f>
        <v>4941</v>
      </c>
      <c r="E2743" s="63">
        <f>ROUNDDOWN(E2742*H2743/100,0)</f>
        <v>1075</v>
      </c>
      <c r="F2743" s="55">
        <f>ROUNDDOWN(F2742*H2743/100,0)</f>
        <v>1840</v>
      </c>
      <c r="H2743" s="67">
        <v>88.5</v>
      </c>
      <c r="M2743" s="20" t="s">
        <v>1172</v>
      </c>
    </row>
    <row r="2744" spans="1:14" ht="12.6" customHeight="1" x14ac:dyDescent="0.3">
      <c r="A2744" s="99" t="s">
        <v>317</v>
      </c>
      <c r="B2744" s="100" t="s">
        <v>317</v>
      </c>
      <c r="C2744" s="147">
        <f>C2882</f>
        <v>3457</v>
      </c>
      <c r="D2744" s="147">
        <f>D2882</f>
        <v>2213</v>
      </c>
      <c r="E2744" s="147">
        <f>E2882</f>
        <v>519</v>
      </c>
      <c r="F2744" s="147">
        <f>F2882</f>
        <v>725</v>
      </c>
      <c r="G2744" s="36" t="str">
        <f>HYPERLINK("#G"&amp;ROW(G2864),"_x0005_`BDCOD|D02290_x0007_`POSS|"&amp;ROW(G2746)&amp;"_x0007_`POSE|"&amp;ROW(G2864)&amp;"_x0007_`")</f>
        <v>_x0005_`BDCOD|D02290_x0007_`POSS|2746_x0007_`POSE|2864_x0007_`</v>
      </c>
    </row>
    <row r="2745" spans="1:14" ht="12.6" customHeight="1" x14ac:dyDescent="0.3">
      <c r="A2745" s="85"/>
      <c r="B2745" s="100" t="s">
        <v>316</v>
      </c>
      <c r="C2745" s="137"/>
      <c r="D2745" s="137"/>
      <c r="E2745" s="137"/>
      <c r="F2745" s="137"/>
      <c r="M2745" s="20" t="s">
        <v>315</v>
      </c>
    </row>
    <row r="2746" spans="1:14" ht="12.6" customHeight="1" x14ac:dyDescent="0.3">
      <c r="A2746" s="80"/>
      <c r="B2746" s="80"/>
      <c r="C2746" s="102"/>
      <c r="D2746" s="102"/>
      <c r="E2746" s="102"/>
      <c r="F2746" s="102"/>
      <c r="G2746" s="16" t="s">
        <v>1324</v>
      </c>
    </row>
    <row r="2747" spans="1:14" ht="12.6" customHeight="1" x14ac:dyDescent="0.3">
      <c r="A2747" s="70"/>
      <c r="B2747" s="79" t="s">
        <v>2334</v>
      </c>
      <c r="C2747" s="80"/>
      <c r="D2747" s="80"/>
      <c r="E2747" s="80"/>
      <c r="F2747" s="80"/>
      <c r="G2747" s="16" t="s">
        <v>2333</v>
      </c>
    </row>
    <row r="2748" spans="1:14" ht="12.6" customHeight="1" x14ac:dyDescent="0.3">
      <c r="A2748" s="80"/>
      <c r="B2748" s="80"/>
      <c r="C2748" s="80"/>
      <c r="D2748" s="80"/>
      <c r="E2748" s="80"/>
      <c r="F2748" s="80"/>
      <c r="G2748" s="16" t="s">
        <v>1324</v>
      </c>
    </row>
    <row r="2749" spans="1:14" ht="12.6" customHeight="1" x14ac:dyDescent="0.3">
      <c r="A2749" s="80"/>
      <c r="B2749" s="80"/>
      <c r="C2749" s="80"/>
      <c r="D2749" s="80"/>
      <c r="E2749" s="80"/>
      <c r="F2749" s="80"/>
      <c r="G2749" s="16" t="s">
        <v>1324</v>
      </c>
    </row>
    <row r="2750" spans="1:14" ht="12.6" customHeight="1" x14ac:dyDescent="0.3">
      <c r="A2750" s="70"/>
      <c r="B2750" s="79" t="s">
        <v>2336</v>
      </c>
      <c r="C2750" s="80"/>
      <c r="D2750" s="80"/>
      <c r="E2750" s="80"/>
      <c r="F2750" s="80"/>
      <c r="G2750" s="16" t="s">
        <v>2335</v>
      </c>
    </row>
    <row r="2751" spans="1:14" ht="12.6" customHeight="1" x14ac:dyDescent="0.3">
      <c r="A2751" s="80"/>
      <c r="B2751" s="80"/>
      <c r="C2751" s="80"/>
      <c r="D2751" s="80"/>
      <c r="E2751" s="80"/>
      <c r="F2751" s="80"/>
      <c r="G2751" s="16" t="s">
        <v>1324</v>
      </c>
    </row>
    <row r="2752" spans="1:14" ht="12.6" customHeight="1" x14ac:dyDescent="0.3">
      <c r="A2752" s="80"/>
      <c r="B2752" s="80"/>
      <c r="C2752" s="80"/>
      <c r="D2752" s="80"/>
      <c r="E2752" s="80"/>
      <c r="F2752" s="80"/>
      <c r="G2752" s="16" t="s">
        <v>1324</v>
      </c>
    </row>
    <row r="2753" spans="1:25" ht="12.6" customHeight="1" x14ac:dyDescent="0.3">
      <c r="A2753" s="70"/>
      <c r="B2753" s="79" t="s">
        <v>1900</v>
      </c>
      <c r="C2753" s="80"/>
      <c r="D2753" s="80"/>
      <c r="E2753" s="80"/>
      <c r="F2753" s="80"/>
      <c r="G2753" s="16" t="s">
        <v>1899</v>
      </c>
    </row>
    <row r="2754" spans="1:25" ht="12.6" customHeight="1" x14ac:dyDescent="0.3">
      <c r="A2754" s="80"/>
      <c r="B2754" s="80"/>
      <c r="C2754" s="80"/>
      <c r="D2754" s="80"/>
      <c r="E2754" s="80"/>
      <c r="F2754" s="80"/>
      <c r="G2754" s="16" t="s">
        <v>1324</v>
      </c>
    </row>
    <row r="2755" spans="1:25" ht="12.6" customHeight="1" x14ac:dyDescent="0.3">
      <c r="A2755" s="70"/>
      <c r="B2755" s="79" t="s">
        <v>2338</v>
      </c>
      <c r="C2755" s="80"/>
      <c r="D2755" s="80"/>
      <c r="E2755" s="80"/>
      <c r="F2755" s="80"/>
      <c r="G2755" s="16" t="s">
        <v>2337</v>
      </c>
    </row>
    <row r="2756" spans="1:25" ht="12.6" customHeight="1" x14ac:dyDescent="0.3">
      <c r="A2756" s="80"/>
      <c r="B2756" s="80"/>
      <c r="C2756" s="80"/>
      <c r="D2756" s="80"/>
      <c r="E2756" s="80"/>
      <c r="F2756" s="80"/>
      <c r="G2756" s="16" t="s">
        <v>1324</v>
      </c>
    </row>
    <row r="2757" spans="1:25" ht="12.6" customHeight="1" x14ac:dyDescent="0.3">
      <c r="A2757" s="70"/>
      <c r="B2757" s="79" t="s">
        <v>2340</v>
      </c>
      <c r="C2757" s="80"/>
      <c r="D2757" s="80"/>
      <c r="E2757" s="80"/>
      <c r="F2757" s="80"/>
      <c r="G2757" s="16" t="s">
        <v>2339</v>
      </c>
    </row>
    <row r="2758" spans="1:25" ht="12.6" customHeight="1" x14ac:dyDescent="0.3">
      <c r="A2758" s="80"/>
      <c r="B2758" s="80"/>
      <c r="C2758" s="80"/>
      <c r="D2758" s="80"/>
      <c r="E2758" s="80"/>
      <c r="F2758" s="80"/>
      <c r="G2758" s="16" t="s">
        <v>1324</v>
      </c>
    </row>
    <row r="2759" spans="1:25" ht="12.6" customHeight="1" x14ac:dyDescent="0.3">
      <c r="A2759" s="70"/>
      <c r="B2759" s="79" t="s">
        <v>2342</v>
      </c>
      <c r="C2759" s="80"/>
      <c r="D2759" s="80"/>
      <c r="E2759" s="80"/>
      <c r="F2759" s="80"/>
      <c r="G2759" s="16" t="s">
        <v>2341</v>
      </c>
    </row>
    <row r="2760" spans="1:25" ht="12.6" customHeight="1" x14ac:dyDescent="0.3">
      <c r="A2760" s="80"/>
      <c r="B2760" s="80"/>
      <c r="C2760" s="80"/>
      <c r="D2760" s="80"/>
      <c r="E2760" s="80"/>
      <c r="F2760" s="80"/>
      <c r="G2760" s="16" t="s">
        <v>1324</v>
      </c>
    </row>
    <row r="2761" spans="1:25" ht="12.6" customHeight="1" x14ac:dyDescent="0.3">
      <c r="A2761" s="70"/>
      <c r="B2761" s="79" t="s">
        <v>2344</v>
      </c>
      <c r="C2761" s="80"/>
      <c r="D2761" s="80"/>
      <c r="E2761" s="80"/>
      <c r="F2761" s="80"/>
      <c r="G2761" s="16" t="s">
        <v>2343</v>
      </c>
    </row>
    <row r="2762" spans="1:25" ht="12.6" customHeight="1" x14ac:dyDescent="0.3">
      <c r="A2762" s="80"/>
      <c r="B2762" s="80"/>
      <c r="C2762" s="80"/>
      <c r="D2762" s="80"/>
      <c r="E2762" s="80"/>
      <c r="F2762" s="80"/>
      <c r="G2762" s="16" t="s">
        <v>1324</v>
      </c>
    </row>
    <row r="2763" spans="1:25" ht="12.6" customHeight="1" x14ac:dyDescent="0.3">
      <c r="A2763" s="70"/>
      <c r="B2763" s="79" t="s">
        <v>2346</v>
      </c>
      <c r="C2763" s="80"/>
      <c r="D2763" s="80"/>
      <c r="E2763" s="80"/>
      <c r="F2763" s="80"/>
      <c r="G2763" s="16" t="s">
        <v>2345</v>
      </c>
    </row>
    <row r="2764" spans="1:25" ht="12.6" customHeight="1" x14ac:dyDescent="0.3">
      <c r="A2764" s="80"/>
      <c r="B2764" s="80"/>
      <c r="C2764" s="80"/>
      <c r="D2764" s="80"/>
      <c r="E2764" s="80"/>
      <c r="F2764" s="80"/>
      <c r="G2764" s="16" t="s">
        <v>1324</v>
      </c>
    </row>
    <row r="2765" spans="1:25" ht="12.6" customHeight="1" x14ac:dyDescent="0.3">
      <c r="A2765" s="70"/>
      <c r="B2765" s="79" t="s">
        <v>2348</v>
      </c>
      <c r="C2765" s="80"/>
      <c r="D2765" s="80"/>
      <c r="E2765" s="80"/>
      <c r="F2765" s="80"/>
      <c r="G2765" s="16" t="s">
        <v>2347</v>
      </c>
    </row>
    <row r="2766" spans="1:25" ht="12.6" customHeight="1" x14ac:dyDescent="0.3">
      <c r="A2766" s="80"/>
      <c r="B2766" s="80"/>
      <c r="C2766" s="80"/>
      <c r="D2766" s="80"/>
      <c r="E2766" s="80"/>
      <c r="F2766" s="80"/>
      <c r="G2766" s="16" t="s">
        <v>1324</v>
      </c>
    </row>
    <row r="2767" spans="1:25" ht="12.6" customHeight="1" x14ac:dyDescent="0.3">
      <c r="A2767" s="70" t="s">
        <v>1524</v>
      </c>
      <c r="B2767" s="101" t="str">
        <f>" 노 무 비  :   "&amp;TEXT(I2767,"#,##0"&amp;IF(I2767&lt;&gt;INT(I2767),".###",""))&amp;" / Q  = "&amp;TEXT(C2767,"#,##0.0")&amp;""</f>
        <v xml:space="preserve"> 노 무 비  :   55,700 / Q  = 1,052.5</v>
      </c>
      <c r="C2767" s="103">
        <f>E2767+D2767+F2767</f>
        <v>1052.5</v>
      </c>
      <c r="D2767" s="103">
        <f>IF(H2767=0,0,ROUNDDOWN(J2767*H2767,1))</f>
        <v>1052.5</v>
      </c>
      <c r="E2767" s="103">
        <f>IF(H2767=0,0,ROUNDDOWN(K2767*H2767,1))</f>
        <v>0</v>
      </c>
      <c r="F2767" s="103">
        <f>IF(H2767=0,0,ROUNDDOWN(L2767*H2767,1))</f>
        <v>0</v>
      </c>
      <c r="G2767" s="16" t="s">
        <v>1909</v>
      </c>
      <c r="H2767" s="108">
        <v>1.8896447478000001E-2</v>
      </c>
      <c r="I2767" s="109">
        <f>K2767+J2767+L2767</f>
        <v>55700</v>
      </c>
      <c r="J2767" s="39">
        <f>중기목록표!F7</f>
        <v>55700</v>
      </c>
      <c r="M2767" s="20" t="s">
        <v>1179</v>
      </c>
      <c r="N2767" s="20" t="s">
        <v>1345</v>
      </c>
      <c r="X2767" s="110" t="str">
        <f>중기목록표!B7&amp;" / "&amp;중기목록표!C7</f>
        <v xml:space="preserve">굴삭기(0.7m3) / </v>
      </c>
      <c r="Y2767" s="19" t="str">
        <f ca="1">HYPERLINK("#"&amp;중기목록표!J2&amp;"!A"&amp;ROW(중기목록표!A7),"중기    4 →")</f>
        <v>중기    4 →</v>
      </c>
    </row>
    <row r="2768" spans="1:25" ht="12.6" customHeight="1" x14ac:dyDescent="0.3">
      <c r="A2768" s="80"/>
      <c r="B2768" s="80"/>
      <c r="C2768" s="80"/>
      <c r="D2768" s="80"/>
      <c r="E2768" s="80"/>
      <c r="F2768" s="80"/>
      <c r="G2768" s="16" t="s">
        <v>1324</v>
      </c>
    </row>
    <row r="2769" spans="1:25" ht="12.6" customHeight="1" x14ac:dyDescent="0.3">
      <c r="A2769" s="70" t="s">
        <v>1526</v>
      </c>
      <c r="B2769" s="101" t="str">
        <f>" 재 료 비  :   "&amp;TEXT(I2769,"#,##0"&amp;IF(I2769&lt;&gt;INT(I2769),".###",""))&amp;" / Q  = "&amp;TEXT(C2769,"#,##0.0")&amp;""</f>
        <v xml:space="preserve"> 재 료 비  :   18,001 / Q  = 340.1</v>
      </c>
      <c r="C2769" s="103">
        <f>E2769+D2769+F2769</f>
        <v>340.1</v>
      </c>
      <c r="D2769" s="103">
        <f>IF(H2769=0,0,ROUNDDOWN(J2769*H2769,1))</f>
        <v>0</v>
      </c>
      <c r="E2769" s="103">
        <f>IF(H2769=0,0,ROUNDDOWN(K2769*H2769,1))</f>
        <v>340.1</v>
      </c>
      <c r="F2769" s="103">
        <f>IF(H2769=0,0,ROUNDDOWN(L2769*H2769,1))</f>
        <v>0</v>
      </c>
      <c r="G2769" s="16" t="s">
        <v>1910</v>
      </c>
      <c r="H2769" s="108">
        <v>1.8896447478000001E-2</v>
      </c>
      <c r="I2769" s="109">
        <f>K2769+J2769+L2769</f>
        <v>18001</v>
      </c>
      <c r="K2769" s="39">
        <f>중기목록표!G7</f>
        <v>18001</v>
      </c>
      <c r="M2769" s="20" t="s">
        <v>1179</v>
      </c>
      <c r="N2769" s="20" t="s">
        <v>1345</v>
      </c>
      <c r="X2769" s="110" t="str">
        <f>중기목록표!B7&amp;" / "&amp;중기목록표!C7</f>
        <v xml:space="preserve">굴삭기(0.7m3) / </v>
      </c>
      <c r="Y2769" s="19" t="str">
        <f ca="1">HYPERLINK("#"&amp;중기목록표!J2&amp;"!A"&amp;ROW(중기목록표!A7),"중기    4 →")</f>
        <v>중기    4 →</v>
      </c>
    </row>
    <row r="2770" spans="1:25" ht="12.6" customHeight="1" x14ac:dyDescent="0.3">
      <c r="A2770" s="80"/>
      <c r="B2770" s="80"/>
      <c r="C2770" s="80"/>
      <c r="D2770" s="80"/>
      <c r="E2770" s="80"/>
      <c r="F2770" s="80"/>
      <c r="G2770" s="16" t="s">
        <v>1324</v>
      </c>
    </row>
    <row r="2771" spans="1:25" ht="12.6" customHeight="1" x14ac:dyDescent="0.3">
      <c r="A2771" s="70" t="s">
        <v>1528</v>
      </c>
      <c r="B2771" s="101" t="str">
        <f>" 경    비  :   "&amp;TEXT(I2771,"#,##0"&amp;IF(I2771&lt;&gt;INT(I2771),".###",""))&amp;" / Q  = "&amp;TEXT(C2771,"#,##0.0")&amp;""</f>
        <v xml:space="preserve"> 경    비  :   23,128 / Q  = 437.0</v>
      </c>
      <c r="C2771" s="103">
        <f>E2771+D2771+F2771</f>
        <v>437</v>
      </c>
      <c r="D2771" s="103">
        <f>IF(H2771=0,0,ROUNDDOWN(J2771*H2771,1))</f>
        <v>0</v>
      </c>
      <c r="E2771" s="103">
        <f>IF(H2771=0,0,ROUNDDOWN(K2771*H2771,1))</f>
        <v>0</v>
      </c>
      <c r="F2771" s="103">
        <f>IF(H2771=0,0,ROUNDDOWN(L2771*H2771,1))</f>
        <v>437</v>
      </c>
      <c r="G2771" s="16" t="s">
        <v>1911</v>
      </c>
      <c r="H2771" s="108">
        <v>1.8896447478000001E-2</v>
      </c>
      <c r="I2771" s="109">
        <f>K2771+J2771+L2771</f>
        <v>23128</v>
      </c>
      <c r="L2771" s="39">
        <f>중기목록표!H7</f>
        <v>23128</v>
      </c>
      <c r="M2771" s="20" t="s">
        <v>1179</v>
      </c>
      <c r="N2771" s="20" t="s">
        <v>1345</v>
      </c>
      <c r="X2771" s="110" t="str">
        <f>중기목록표!B7&amp;" / "&amp;중기목록표!C7</f>
        <v xml:space="preserve">굴삭기(0.7m3) / </v>
      </c>
      <c r="Y2771" s="19" t="str">
        <f ca="1">HYPERLINK("#"&amp;중기목록표!J2&amp;"!A"&amp;ROW(중기목록표!A7),"중기    4 →")</f>
        <v>중기    4 →</v>
      </c>
    </row>
    <row r="2772" spans="1:25" ht="12.6" customHeight="1" x14ac:dyDescent="0.3">
      <c r="A2772" s="80"/>
      <c r="B2772" s="80"/>
      <c r="C2772" s="80"/>
      <c r="D2772" s="80"/>
      <c r="E2772" s="80"/>
      <c r="F2772" s="80"/>
      <c r="G2772" s="16" t="s">
        <v>1324</v>
      </c>
    </row>
    <row r="2773" spans="1:25" ht="12.6" customHeight="1" x14ac:dyDescent="0.3">
      <c r="A2773" s="70"/>
      <c r="B2773" s="79" t="s">
        <v>1344</v>
      </c>
      <c r="C2773" s="104">
        <f>E2773+D2773+F2773</f>
        <v>1829.6</v>
      </c>
      <c r="D2773" s="104">
        <f>SUMIF(N2746:N2772,M2773,D2746:D2772)</f>
        <v>1052.5</v>
      </c>
      <c r="E2773" s="104">
        <f>SUMIF(N2746:N2772,M2773,E2746:E2772)</f>
        <v>340.1</v>
      </c>
      <c r="F2773" s="104">
        <f>SUMIF(N2746:N2772,M2773,F2746:F2772)</f>
        <v>437</v>
      </c>
      <c r="G2773" s="16" t="s">
        <v>1343</v>
      </c>
      <c r="M2773" s="20" t="s">
        <v>1345</v>
      </c>
      <c r="N2773" s="20" t="s">
        <v>1368</v>
      </c>
    </row>
    <row r="2774" spans="1:25" ht="12.6" customHeight="1" x14ac:dyDescent="0.3">
      <c r="A2774" s="80"/>
      <c r="B2774" s="80"/>
      <c r="C2774" s="102"/>
      <c r="D2774" s="102"/>
      <c r="E2774" s="102"/>
      <c r="F2774" s="102"/>
      <c r="G2774" s="16" t="s">
        <v>1324</v>
      </c>
    </row>
    <row r="2775" spans="1:25" ht="12.6" customHeight="1" x14ac:dyDescent="0.3">
      <c r="A2775" s="80"/>
      <c r="B2775" s="80"/>
      <c r="C2775" s="80"/>
      <c r="D2775" s="80"/>
      <c r="E2775" s="80"/>
      <c r="F2775" s="80"/>
      <c r="G2775" s="16" t="s">
        <v>1324</v>
      </c>
    </row>
    <row r="2776" spans="1:25" ht="12.6" customHeight="1" x14ac:dyDescent="0.3">
      <c r="A2776" s="70"/>
      <c r="B2776" s="79" t="s">
        <v>2350</v>
      </c>
      <c r="C2776" s="80"/>
      <c r="D2776" s="80"/>
      <c r="E2776" s="80"/>
      <c r="F2776" s="80"/>
      <c r="G2776" s="16" t="s">
        <v>2349</v>
      </c>
    </row>
    <row r="2777" spans="1:25" ht="12.6" customHeight="1" x14ac:dyDescent="0.3">
      <c r="A2777" s="80"/>
      <c r="B2777" s="80"/>
      <c r="C2777" s="80"/>
      <c r="D2777" s="80"/>
      <c r="E2777" s="80"/>
      <c r="F2777" s="80"/>
      <c r="G2777" s="16" t="s">
        <v>1324</v>
      </c>
    </row>
    <row r="2778" spans="1:25" ht="12.6" customHeight="1" x14ac:dyDescent="0.3">
      <c r="A2778" s="70"/>
      <c r="B2778" s="79" t="s">
        <v>2352</v>
      </c>
      <c r="C2778" s="80"/>
      <c r="D2778" s="80"/>
      <c r="E2778" s="80"/>
      <c r="F2778" s="80"/>
      <c r="G2778" s="16" t="s">
        <v>2351</v>
      </c>
    </row>
    <row r="2779" spans="1:25" ht="12.6" customHeight="1" x14ac:dyDescent="0.3">
      <c r="A2779" s="80"/>
      <c r="B2779" s="80"/>
      <c r="C2779" s="80"/>
      <c r="D2779" s="80"/>
      <c r="E2779" s="80"/>
      <c r="F2779" s="80"/>
      <c r="G2779" s="16" t="s">
        <v>1324</v>
      </c>
    </row>
    <row r="2780" spans="1:25" ht="12.6" customHeight="1" x14ac:dyDescent="0.3">
      <c r="A2780" s="70"/>
      <c r="B2780" s="79" t="s">
        <v>1915</v>
      </c>
      <c r="C2780" s="80"/>
      <c r="D2780" s="80"/>
      <c r="E2780" s="80"/>
      <c r="F2780" s="80"/>
      <c r="G2780" s="16" t="s">
        <v>1914</v>
      </c>
    </row>
    <row r="2781" spans="1:25" ht="12.6" customHeight="1" x14ac:dyDescent="0.3">
      <c r="A2781" s="80"/>
      <c r="B2781" s="80"/>
      <c r="C2781" s="80"/>
      <c r="D2781" s="80"/>
      <c r="E2781" s="80"/>
      <c r="F2781" s="80"/>
      <c r="G2781" s="16" t="s">
        <v>1324</v>
      </c>
    </row>
    <row r="2782" spans="1:25" ht="12.6" customHeight="1" x14ac:dyDescent="0.3">
      <c r="A2782" s="70"/>
      <c r="B2782" s="79" t="s">
        <v>2354</v>
      </c>
      <c r="C2782" s="80"/>
      <c r="D2782" s="80"/>
      <c r="E2782" s="80"/>
      <c r="F2782" s="80"/>
      <c r="G2782" s="16" t="s">
        <v>2353</v>
      </c>
    </row>
    <row r="2783" spans="1:25" ht="12.6" customHeight="1" x14ac:dyDescent="0.3">
      <c r="A2783" s="80"/>
      <c r="B2783" s="80"/>
      <c r="C2783" s="80"/>
      <c r="D2783" s="80"/>
      <c r="E2783" s="80"/>
      <c r="F2783" s="80"/>
      <c r="G2783" s="16" t="s">
        <v>1324</v>
      </c>
    </row>
    <row r="2784" spans="1:25" ht="12.6" customHeight="1" x14ac:dyDescent="0.3">
      <c r="A2784" s="70"/>
      <c r="B2784" s="79" t="s">
        <v>2356</v>
      </c>
      <c r="C2784" s="80"/>
      <c r="D2784" s="80"/>
      <c r="E2784" s="80"/>
      <c r="F2784" s="80"/>
      <c r="G2784" s="16" t="s">
        <v>2355</v>
      </c>
    </row>
    <row r="2785" spans="1:7" ht="12.6" customHeight="1" x14ac:dyDescent="0.3">
      <c r="A2785" s="80"/>
      <c r="B2785" s="80"/>
      <c r="C2785" s="80"/>
      <c r="D2785" s="80"/>
      <c r="E2785" s="80"/>
      <c r="F2785" s="80"/>
      <c r="G2785" s="16" t="s">
        <v>1324</v>
      </c>
    </row>
    <row r="2786" spans="1:7" ht="12.6" customHeight="1" x14ac:dyDescent="0.3">
      <c r="A2786" s="70"/>
      <c r="B2786" s="79" t="s">
        <v>2358</v>
      </c>
      <c r="C2786" s="80"/>
      <c r="D2786" s="80"/>
      <c r="E2786" s="80"/>
      <c r="F2786" s="80"/>
      <c r="G2786" s="16" t="s">
        <v>2357</v>
      </c>
    </row>
    <row r="2787" spans="1:7" ht="12.6" customHeight="1" x14ac:dyDescent="0.3">
      <c r="A2787" s="80"/>
      <c r="B2787" s="80"/>
      <c r="C2787" s="80"/>
      <c r="D2787" s="80"/>
      <c r="E2787" s="80"/>
      <c r="F2787" s="80"/>
      <c r="G2787" s="16" t="s">
        <v>1324</v>
      </c>
    </row>
    <row r="2788" spans="1:7" ht="12.6" customHeight="1" x14ac:dyDescent="0.3">
      <c r="A2788" s="70"/>
      <c r="B2788" s="79" t="s">
        <v>2360</v>
      </c>
      <c r="C2788" s="80"/>
      <c r="D2788" s="80"/>
      <c r="E2788" s="80"/>
      <c r="F2788" s="80"/>
      <c r="G2788" s="16" t="s">
        <v>2359</v>
      </c>
    </row>
    <row r="2789" spans="1:7" ht="12.6" customHeight="1" x14ac:dyDescent="0.3">
      <c r="A2789" s="80"/>
      <c r="B2789" s="80"/>
      <c r="C2789" s="80"/>
      <c r="D2789" s="80"/>
      <c r="E2789" s="80"/>
      <c r="F2789" s="80"/>
      <c r="G2789" s="16" t="s">
        <v>1324</v>
      </c>
    </row>
    <row r="2790" spans="1:7" ht="12.6" customHeight="1" x14ac:dyDescent="0.3">
      <c r="A2790" s="70"/>
      <c r="B2790" s="79" t="s">
        <v>2362</v>
      </c>
      <c r="C2790" s="80"/>
      <c r="D2790" s="80"/>
      <c r="E2790" s="80"/>
      <c r="F2790" s="80"/>
      <c r="G2790" s="16" t="s">
        <v>2361</v>
      </c>
    </row>
    <row r="2791" spans="1:7" ht="12.6" customHeight="1" x14ac:dyDescent="0.3">
      <c r="A2791" s="80"/>
      <c r="B2791" s="80"/>
      <c r="C2791" s="80"/>
      <c r="D2791" s="80"/>
      <c r="E2791" s="80"/>
      <c r="F2791" s="80"/>
      <c r="G2791" s="16" t="s">
        <v>1324</v>
      </c>
    </row>
    <row r="2792" spans="1:7" ht="12.6" customHeight="1" x14ac:dyDescent="0.3">
      <c r="A2792" s="70"/>
      <c r="B2792" s="79" t="s">
        <v>2364</v>
      </c>
      <c r="C2792" s="80"/>
      <c r="D2792" s="80"/>
      <c r="E2792" s="80"/>
      <c r="F2792" s="80"/>
      <c r="G2792" s="16" t="s">
        <v>2363</v>
      </c>
    </row>
    <row r="2793" spans="1:7" ht="12.6" customHeight="1" x14ac:dyDescent="0.3">
      <c r="A2793" s="80"/>
      <c r="B2793" s="80"/>
      <c r="C2793" s="80"/>
      <c r="D2793" s="80"/>
      <c r="E2793" s="80"/>
      <c r="F2793" s="80"/>
      <c r="G2793" s="16" t="s">
        <v>1324</v>
      </c>
    </row>
    <row r="2794" spans="1:7" ht="12.6" customHeight="1" x14ac:dyDescent="0.3">
      <c r="A2794" s="70"/>
      <c r="B2794" s="79" t="s">
        <v>2366</v>
      </c>
      <c r="C2794" s="80"/>
      <c r="D2794" s="80"/>
      <c r="E2794" s="80"/>
      <c r="F2794" s="80"/>
      <c r="G2794" s="16" t="s">
        <v>2365</v>
      </c>
    </row>
    <row r="2795" spans="1:7" ht="12.6" customHeight="1" x14ac:dyDescent="0.3">
      <c r="A2795" s="80"/>
      <c r="B2795" s="80"/>
      <c r="C2795" s="80"/>
      <c r="D2795" s="80"/>
      <c r="E2795" s="80"/>
      <c r="F2795" s="80"/>
      <c r="G2795" s="16" t="s">
        <v>1324</v>
      </c>
    </row>
    <row r="2796" spans="1:7" ht="12.6" customHeight="1" x14ac:dyDescent="0.3">
      <c r="A2796" s="70"/>
      <c r="B2796" s="79" t="s">
        <v>2368</v>
      </c>
      <c r="C2796" s="80"/>
      <c r="D2796" s="80"/>
      <c r="E2796" s="80"/>
      <c r="F2796" s="80"/>
      <c r="G2796" s="16" t="s">
        <v>2367</v>
      </c>
    </row>
    <row r="2797" spans="1:7" ht="12.6" customHeight="1" x14ac:dyDescent="0.3">
      <c r="A2797" s="80"/>
      <c r="B2797" s="80"/>
      <c r="C2797" s="80"/>
      <c r="D2797" s="80"/>
      <c r="E2797" s="80"/>
      <c r="F2797" s="80"/>
      <c r="G2797" s="16" t="s">
        <v>1324</v>
      </c>
    </row>
    <row r="2798" spans="1:7" ht="12.6" customHeight="1" x14ac:dyDescent="0.3">
      <c r="A2798" s="70"/>
      <c r="B2798" s="79" t="s">
        <v>2370</v>
      </c>
      <c r="C2798" s="80"/>
      <c r="D2798" s="80"/>
      <c r="E2798" s="80"/>
      <c r="F2798" s="80"/>
      <c r="G2798" s="16" t="s">
        <v>2369</v>
      </c>
    </row>
    <row r="2799" spans="1:7" ht="12.6" customHeight="1" x14ac:dyDescent="0.3">
      <c r="A2799" s="80"/>
      <c r="B2799" s="80"/>
      <c r="C2799" s="80"/>
      <c r="D2799" s="80"/>
      <c r="E2799" s="80"/>
      <c r="F2799" s="80"/>
      <c r="G2799" s="16" t="s">
        <v>1324</v>
      </c>
    </row>
    <row r="2800" spans="1:7" ht="12.6" customHeight="1" x14ac:dyDescent="0.3">
      <c r="A2800" s="70"/>
      <c r="B2800" s="79" t="s">
        <v>2372</v>
      </c>
      <c r="C2800" s="80"/>
      <c r="D2800" s="80"/>
      <c r="E2800" s="80"/>
      <c r="F2800" s="80"/>
      <c r="G2800" s="16" t="s">
        <v>2371</v>
      </c>
    </row>
    <row r="2801" spans="1:25" ht="12.6" customHeight="1" x14ac:dyDescent="0.3">
      <c r="A2801" s="80"/>
      <c r="B2801" s="80"/>
      <c r="C2801" s="80"/>
      <c r="D2801" s="80"/>
      <c r="E2801" s="80"/>
      <c r="F2801" s="80"/>
      <c r="G2801" s="16" t="s">
        <v>1324</v>
      </c>
    </row>
    <row r="2802" spans="1:25" ht="12.6" customHeight="1" x14ac:dyDescent="0.3">
      <c r="A2802" s="70" t="s">
        <v>1940</v>
      </c>
      <c r="B2802" s="101" t="str">
        <f>" 노 무 비  :   "&amp;TEXT(I2802,"#,##0"&amp;IF(I2802&lt;&gt;INT(I2802),".###",""))&amp;" / Q1  = "&amp;TEXT(C2802,"#,##0.0")&amp;""</f>
        <v xml:space="preserve"> 노 무 비  :   55,700 / Q1  = 1,331.5</v>
      </c>
      <c r="C2802" s="103">
        <f>E2802+D2802+F2802</f>
        <v>1331.5</v>
      </c>
      <c r="D2802" s="103">
        <f>IF(H2802=0,0,ROUNDDOWN(J2802*H2802,1))</f>
        <v>1331.5</v>
      </c>
      <c r="E2802" s="103">
        <f>IF(H2802=0,0,ROUNDDOWN(K2802*H2802,1))</f>
        <v>0</v>
      </c>
      <c r="F2802" s="103">
        <f>IF(H2802=0,0,ROUNDDOWN(L2802*H2802,1))</f>
        <v>0</v>
      </c>
      <c r="G2802" s="16" t="s">
        <v>1939</v>
      </c>
      <c r="H2802" s="108">
        <v>2.3906287363699999E-2</v>
      </c>
      <c r="I2802" s="109">
        <f>K2802+J2802+L2802</f>
        <v>55700</v>
      </c>
      <c r="J2802" s="39">
        <f>중기목록표!F11</f>
        <v>55700</v>
      </c>
      <c r="M2802" s="20" t="s">
        <v>1941</v>
      </c>
      <c r="N2802" s="20" t="s">
        <v>1999</v>
      </c>
      <c r="X2802" s="110" t="str">
        <f>중기목록표!B11&amp;" / "&amp;중기목록표!C11</f>
        <v xml:space="preserve">덤프트럭15ton(토사) / </v>
      </c>
      <c r="Y2802" s="19" t="str">
        <f ca="1">HYPERLINK("#"&amp;중기목록표!J2&amp;"!A"&amp;ROW(중기목록표!A11),"중기    8 →")</f>
        <v>중기    8 →</v>
      </c>
    </row>
    <row r="2803" spans="1:25" ht="12.6" customHeight="1" x14ac:dyDescent="0.3">
      <c r="A2803" s="80"/>
      <c r="B2803" s="80"/>
      <c r="C2803" s="80"/>
      <c r="D2803" s="80"/>
      <c r="E2803" s="80"/>
      <c r="F2803" s="80"/>
      <c r="G2803" s="16" t="s">
        <v>1324</v>
      </c>
    </row>
    <row r="2804" spans="1:25" ht="12.6" customHeight="1" x14ac:dyDescent="0.3">
      <c r="A2804" s="70" t="s">
        <v>1943</v>
      </c>
      <c r="B2804" s="101" t="str">
        <f>" 재 료 비  :   "&amp;TEXT(I2804,"#,##0"&amp;IF(I2804&lt;&gt;INT(I2804),".###",""))&amp;" / Q1 *(Cm-t1)/Cm = "&amp;TEXT(C2804,"#,##0.0")&amp;""</f>
        <v xml:space="preserve"> 재 료 비  :   27,910 / Q1 *(Cm-t1)/Cm = 139.6</v>
      </c>
      <c r="C2804" s="103">
        <f>E2804+D2804+F2804</f>
        <v>139.6</v>
      </c>
      <c r="D2804" s="103">
        <f>IF(H2804=0,0,ROUNDDOWN(J2804*H2804,1))</f>
        <v>0</v>
      </c>
      <c r="E2804" s="103">
        <f>IF(H2804=0,0,ROUNDDOWN(K2804*H2804,1))</f>
        <v>139.6</v>
      </c>
      <c r="F2804" s="103">
        <f>IF(H2804=0,0,ROUNDDOWN(L2804*H2804,1))</f>
        <v>0</v>
      </c>
      <c r="G2804" s="16" t="s">
        <v>2373</v>
      </c>
      <c r="H2804" s="108">
        <v>5.0028607062999999E-3</v>
      </c>
      <c r="I2804" s="109">
        <f>K2804+J2804+L2804</f>
        <v>27910</v>
      </c>
      <c r="K2804" s="39">
        <f>중기목록표!G11</f>
        <v>27910</v>
      </c>
      <c r="M2804" s="20" t="s">
        <v>1941</v>
      </c>
      <c r="N2804" s="20" t="s">
        <v>1999</v>
      </c>
      <c r="X2804" s="110" t="str">
        <f>중기목록표!B11&amp;" / "&amp;중기목록표!C11</f>
        <v xml:space="preserve">덤프트럭15ton(토사) / </v>
      </c>
      <c r="Y2804" s="19" t="str">
        <f ca="1">HYPERLINK("#"&amp;중기목록표!J2&amp;"!A"&amp;ROW(중기목록표!A11),"중기    8 →")</f>
        <v>중기    8 →</v>
      </c>
    </row>
    <row r="2805" spans="1:25" ht="12.6" customHeight="1" x14ac:dyDescent="0.3">
      <c r="A2805" s="80"/>
      <c r="B2805" s="80"/>
      <c r="C2805" s="80"/>
      <c r="D2805" s="80"/>
      <c r="E2805" s="80"/>
      <c r="F2805" s="80"/>
      <c r="G2805" s="16" t="s">
        <v>1324</v>
      </c>
    </row>
    <row r="2806" spans="1:25" ht="12.6" customHeight="1" x14ac:dyDescent="0.3">
      <c r="A2806" s="70" t="s">
        <v>1945</v>
      </c>
      <c r="B2806" s="101" t="str">
        <f>" 경    비  :   "&amp;TEXT(I2806,"#,##0"&amp;IF(I2806&lt;&gt;INT(I2806),".###",""))&amp;" / Q1  = "&amp;TEXT(C2806,"#,##0.0")&amp;""</f>
        <v xml:space="preserve"> 경    비  :   19,631 / Q1  = 469.3</v>
      </c>
      <c r="C2806" s="103">
        <f>E2806+D2806+F2806</f>
        <v>469.3</v>
      </c>
      <c r="D2806" s="103">
        <f>IF(H2806=0,0,ROUNDDOWN(J2806*H2806,1))</f>
        <v>0</v>
      </c>
      <c r="E2806" s="103">
        <f>IF(H2806=0,0,ROUNDDOWN(K2806*H2806,1))</f>
        <v>0</v>
      </c>
      <c r="F2806" s="103">
        <f>IF(H2806=0,0,ROUNDDOWN(L2806*H2806,1))</f>
        <v>469.3</v>
      </c>
      <c r="G2806" s="16" t="s">
        <v>1944</v>
      </c>
      <c r="H2806" s="108">
        <v>2.3906287363699999E-2</v>
      </c>
      <c r="I2806" s="109">
        <f>K2806+J2806+L2806</f>
        <v>19631</v>
      </c>
      <c r="L2806" s="39">
        <f>중기목록표!H11</f>
        <v>19631</v>
      </c>
      <c r="M2806" s="20" t="s">
        <v>1941</v>
      </c>
      <c r="N2806" s="20" t="s">
        <v>1999</v>
      </c>
      <c r="X2806" s="110" t="str">
        <f>중기목록표!B11&amp;" / "&amp;중기목록표!C11</f>
        <v xml:space="preserve">덤프트럭15ton(토사) / </v>
      </c>
      <c r="Y2806" s="19" t="str">
        <f ca="1">HYPERLINK("#"&amp;중기목록표!J2&amp;"!A"&amp;ROW(중기목록표!A11),"중기    8 →")</f>
        <v>중기    8 →</v>
      </c>
    </row>
    <row r="2807" spans="1:25" ht="12.6" customHeight="1" x14ac:dyDescent="0.3">
      <c r="A2807" s="80"/>
      <c r="B2807" s="80"/>
      <c r="C2807" s="80"/>
      <c r="D2807" s="80"/>
      <c r="E2807" s="80"/>
      <c r="F2807" s="80"/>
      <c r="G2807" s="16" t="s">
        <v>1324</v>
      </c>
    </row>
    <row r="2808" spans="1:25" ht="12.6" customHeight="1" x14ac:dyDescent="0.3">
      <c r="A2808" s="70"/>
      <c r="B2808" s="79" t="s">
        <v>1998</v>
      </c>
      <c r="C2808" s="106">
        <f>E2808+D2808+F2808</f>
        <v>1940.3999999999999</v>
      </c>
      <c r="D2808" s="106">
        <f>SUMIF(N2774:N2807,M2808,D2774:D2807)</f>
        <v>1331.5</v>
      </c>
      <c r="E2808" s="106">
        <f>SUMIF(N2774:N2807,M2808,E2774:E2807)</f>
        <v>139.6</v>
      </c>
      <c r="F2808" s="106">
        <f>SUMIF(N2774:N2807,M2808,F2774:F2807)</f>
        <v>469.3</v>
      </c>
      <c r="G2808" s="16" t="s">
        <v>1997</v>
      </c>
      <c r="M2808" s="20" t="s">
        <v>1999</v>
      </c>
    </row>
    <row r="2809" spans="1:25" ht="12.6" customHeight="1" x14ac:dyDescent="0.3">
      <c r="A2809" s="80"/>
      <c r="B2809" s="80"/>
      <c r="C2809" s="107"/>
      <c r="D2809" s="107"/>
      <c r="E2809" s="107"/>
      <c r="F2809" s="107"/>
      <c r="G2809" s="16" t="s">
        <v>1327</v>
      </c>
    </row>
    <row r="2810" spans="1:25" ht="12.6" customHeight="1" x14ac:dyDescent="0.3">
      <c r="A2810" s="80"/>
      <c r="B2810" s="80"/>
      <c r="C2810" s="80"/>
      <c r="D2810" s="80"/>
      <c r="E2810" s="80"/>
      <c r="F2810" s="80"/>
      <c r="G2810" s="16" t="s">
        <v>1324</v>
      </c>
    </row>
    <row r="2811" spans="1:25" ht="12.6" customHeight="1" x14ac:dyDescent="0.3">
      <c r="A2811" s="70"/>
      <c r="B2811" s="79" t="s">
        <v>2375</v>
      </c>
      <c r="C2811" s="80"/>
      <c r="D2811" s="80"/>
      <c r="E2811" s="80"/>
      <c r="F2811" s="80"/>
      <c r="G2811" s="16" t="s">
        <v>2374</v>
      </c>
    </row>
    <row r="2812" spans="1:25" ht="12.6" customHeight="1" x14ac:dyDescent="0.3">
      <c r="A2812" s="80"/>
      <c r="B2812" s="80"/>
      <c r="C2812" s="80"/>
      <c r="D2812" s="80"/>
      <c r="E2812" s="80"/>
      <c r="F2812" s="80"/>
      <c r="G2812" s="16" t="s">
        <v>1324</v>
      </c>
    </row>
    <row r="2813" spans="1:25" ht="12.6" customHeight="1" x14ac:dyDescent="0.3">
      <c r="A2813" s="70"/>
      <c r="B2813" s="79" t="s">
        <v>2354</v>
      </c>
      <c r="C2813" s="80"/>
      <c r="D2813" s="80"/>
      <c r="E2813" s="80"/>
      <c r="F2813" s="80"/>
      <c r="G2813" s="16" t="s">
        <v>2353</v>
      </c>
    </row>
    <row r="2814" spans="1:25" ht="12.6" customHeight="1" x14ac:dyDescent="0.3">
      <c r="A2814" s="80"/>
      <c r="B2814" s="80"/>
      <c r="C2814" s="80"/>
      <c r="D2814" s="80"/>
      <c r="E2814" s="80"/>
      <c r="F2814" s="80"/>
      <c r="G2814" s="16" t="s">
        <v>1324</v>
      </c>
    </row>
    <row r="2815" spans="1:25" ht="12.6" customHeight="1" x14ac:dyDescent="0.3">
      <c r="A2815" s="70"/>
      <c r="B2815" s="79" t="s">
        <v>2356</v>
      </c>
      <c r="C2815" s="80"/>
      <c r="D2815" s="80"/>
      <c r="E2815" s="80"/>
      <c r="F2815" s="80"/>
      <c r="G2815" s="16" t="s">
        <v>2355</v>
      </c>
    </row>
    <row r="2816" spans="1:25" ht="12.6" customHeight="1" x14ac:dyDescent="0.3">
      <c r="A2816" s="80"/>
      <c r="B2816" s="80"/>
      <c r="C2816" s="80"/>
      <c r="D2816" s="80"/>
      <c r="E2816" s="80"/>
      <c r="F2816" s="80"/>
      <c r="G2816" s="16" t="s">
        <v>1324</v>
      </c>
    </row>
    <row r="2817" spans="1:7" ht="12.6" customHeight="1" x14ac:dyDescent="0.3">
      <c r="A2817" s="70"/>
      <c r="B2817" s="79" t="s">
        <v>2358</v>
      </c>
      <c r="C2817" s="80"/>
      <c r="D2817" s="80"/>
      <c r="E2817" s="80"/>
      <c r="F2817" s="80"/>
      <c r="G2817" s="16" t="s">
        <v>2357</v>
      </c>
    </row>
    <row r="2818" spans="1:7" ht="12.6" customHeight="1" x14ac:dyDescent="0.3">
      <c r="A2818" s="80"/>
      <c r="B2818" s="80"/>
      <c r="C2818" s="80"/>
      <c r="D2818" s="80"/>
      <c r="E2818" s="80"/>
      <c r="F2818" s="80"/>
      <c r="G2818" s="16" t="s">
        <v>1324</v>
      </c>
    </row>
    <row r="2819" spans="1:7" ht="12.6" customHeight="1" x14ac:dyDescent="0.3">
      <c r="A2819" s="70"/>
      <c r="B2819" s="79" t="s">
        <v>2377</v>
      </c>
      <c r="C2819" s="80"/>
      <c r="D2819" s="80"/>
      <c r="E2819" s="80"/>
      <c r="F2819" s="80"/>
      <c r="G2819" s="16" t="s">
        <v>2376</v>
      </c>
    </row>
    <row r="2820" spans="1:7" ht="12.6" customHeight="1" x14ac:dyDescent="0.3">
      <c r="A2820" s="80"/>
      <c r="B2820" s="80"/>
      <c r="C2820" s="80"/>
      <c r="D2820" s="80"/>
      <c r="E2820" s="80"/>
      <c r="F2820" s="80"/>
      <c r="G2820" s="16" t="s">
        <v>1324</v>
      </c>
    </row>
    <row r="2821" spans="1:7" ht="12.6" customHeight="1" x14ac:dyDescent="0.3">
      <c r="A2821" s="70"/>
      <c r="B2821" s="79" t="s">
        <v>2378</v>
      </c>
      <c r="C2821" s="80"/>
      <c r="D2821" s="80"/>
      <c r="E2821" s="80"/>
      <c r="F2821" s="80"/>
      <c r="G2821" s="16" t="s">
        <v>2361</v>
      </c>
    </row>
    <row r="2822" spans="1:7" ht="12.6" customHeight="1" x14ac:dyDescent="0.3">
      <c r="A2822" s="80"/>
      <c r="B2822" s="80"/>
      <c r="C2822" s="80"/>
      <c r="D2822" s="80"/>
      <c r="E2822" s="80"/>
      <c r="F2822" s="80"/>
      <c r="G2822" s="16" t="s">
        <v>1324</v>
      </c>
    </row>
    <row r="2823" spans="1:7" ht="12.6" customHeight="1" x14ac:dyDescent="0.3">
      <c r="A2823" s="70"/>
      <c r="B2823" s="79" t="s">
        <v>2379</v>
      </c>
      <c r="C2823" s="80"/>
      <c r="D2823" s="80"/>
      <c r="E2823" s="80"/>
      <c r="F2823" s="80"/>
      <c r="G2823" s="16" t="s">
        <v>2363</v>
      </c>
    </row>
    <row r="2824" spans="1:7" ht="12.6" customHeight="1" x14ac:dyDescent="0.3">
      <c r="A2824" s="80"/>
      <c r="B2824" s="80"/>
      <c r="C2824" s="80"/>
      <c r="D2824" s="80"/>
      <c r="E2824" s="80"/>
      <c r="F2824" s="80"/>
      <c r="G2824" s="16" t="s">
        <v>1324</v>
      </c>
    </row>
    <row r="2825" spans="1:7" ht="12.6" customHeight="1" x14ac:dyDescent="0.3">
      <c r="A2825" s="70"/>
      <c r="B2825" s="79" t="s">
        <v>2366</v>
      </c>
      <c r="C2825" s="80"/>
      <c r="D2825" s="80"/>
      <c r="E2825" s="80"/>
      <c r="F2825" s="80"/>
      <c r="G2825" s="16" t="s">
        <v>2365</v>
      </c>
    </row>
    <row r="2826" spans="1:7" ht="12.6" customHeight="1" x14ac:dyDescent="0.3">
      <c r="A2826" s="80"/>
      <c r="B2826" s="80"/>
      <c r="C2826" s="80"/>
      <c r="D2826" s="80"/>
      <c r="E2826" s="80"/>
      <c r="F2826" s="80"/>
      <c r="G2826" s="16" t="s">
        <v>1324</v>
      </c>
    </row>
    <row r="2827" spans="1:7" ht="12.6" customHeight="1" x14ac:dyDescent="0.3">
      <c r="A2827" s="70"/>
      <c r="B2827" s="79" t="s">
        <v>2368</v>
      </c>
      <c r="C2827" s="80"/>
      <c r="D2827" s="80"/>
      <c r="E2827" s="80"/>
      <c r="F2827" s="80"/>
      <c r="G2827" s="16" t="s">
        <v>2367</v>
      </c>
    </row>
    <row r="2828" spans="1:7" ht="12.6" customHeight="1" x14ac:dyDescent="0.3">
      <c r="A2828" s="80"/>
      <c r="B2828" s="80"/>
      <c r="C2828" s="80"/>
      <c r="D2828" s="80"/>
      <c r="E2828" s="80"/>
      <c r="F2828" s="80"/>
      <c r="G2828" s="16" t="s">
        <v>1324</v>
      </c>
    </row>
    <row r="2829" spans="1:7" ht="12.6" customHeight="1" x14ac:dyDescent="0.3">
      <c r="A2829" s="70"/>
      <c r="B2829" s="79" t="s">
        <v>2380</v>
      </c>
      <c r="C2829" s="80"/>
      <c r="D2829" s="80"/>
      <c r="E2829" s="80"/>
      <c r="F2829" s="80"/>
      <c r="G2829" s="16" t="s">
        <v>2369</v>
      </c>
    </row>
    <row r="2830" spans="1:7" ht="12.6" customHeight="1" x14ac:dyDescent="0.3">
      <c r="A2830" s="80"/>
      <c r="B2830" s="80"/>
      <c r="C2830" s="80"/>
      <c r="D2830" s="80"/>
      <c r="E2830" s="80"/>
      <c r="F2830" s="80"/>
      <c r="G2830" s="16" t="s">
        <v>1324</v>
      </c>
    </row>
    <row r="2831" spans="1:7" ht="12.6" customHeight="1" x14ac:dyDescent="0.3">
      <c r="A2831" s="70"/>
      <c r="B2831" s="79" t="s">
        <v>2382</v>
      </c>
      <c r="C2831" s="80"/>
      <c r="D2831" s="80"/>
      <c r="E2831" s="80"/>
      <c r="F2831" s="80"/>
      <c r="G2831" s="16" t="s">
        <v>2381</v>
      </c>
    </row>
    <row r="2832" spans="1:7" ht="12.6" customHeight="1" x14ac:dyDescent="0.3">
      <c r="A2832" s="80"/>
      <c r="B2832" s="80"/>
      <c r="C2832" s="80"/>
      <c r="D2832" s="80"/>
      <c r="E2832" s="80"/>
      <c r="F2832" s="80"/>
      <c r="G2832" s="16" t="s">
        <v>1324</v>
      </c>
    </row>
    <row r="2833" spans="1:25" ht="12.6" customHeight="1" x14ac:dyDescent="0.3">
      <c r="A2833" s="70" t="s">
        <v>2384</v>
      </c>
      <c r="B2833" s="101" t="str">
        <f>" 노 무 비  :   "&amp;TEXT(I2833,"#,##0"&amp;IF(I2833&lt;&gt;INT(I2833),".###",""))&amp;" / Q2  = "&amp;TEXT(C2833,"#,##0.0")&amp;""</f>
        <v xml:space="preserve"> 노 무 비  :   47,231 / Q2  = 1,230.2</v>
      </c>
      <c r="C2833" s="103">
        <f>E2833+D2833+F2833</f>
        <v>1230.2</v>
      </c>
      <c r="D2833" s="103">
        <f>IF(H2833=0,0,ROUNDDOWN(J2833*H2833,1))</f>
        <v>1230.2</v>
      </c>
      <c r="E2833" s="103">
        <f>IF(H2833=0,0,ROUNDDOWN(K2833*H2833,1))</f>
        <v>0</v>
      </c>
      <c r="F2833" s="103">
        <f>IF(H2833=0,0,ROUNDDOWN(L2833*H2833,1))</f>
        <v>0</v>
      </c>
      <c r="G2833" s="16" t="s">
        <v>2383</v>
      </c>
      <c r="H2833" s="108">
        <v>2.6048450127300001E-2</v>
      </c>
      <c r="I2833" s="109">
        <f>K2833+J2833+L2833</f>
        <v>47231</v>
      </c>
      <c r="J2833" s="39">
        <f>중기목록표!F27</f>
        <v>47231</v>
      </c>
      <c r="M2833" s="20" t="s">
        <v>2385</v>
      </c>
      <c r="N2833" s="20" t="s">
        <v>1345</v>
      </c>
      <c r="X2833" s="110" t="str">
        <f>중기목록표!B27&amp;" / "&amp;중기목록표!C27</f>
        <v>덤프트럭 / 10.5톤</v>
      </c>
      <c r="Y2833" s="19" t="str">
        <f ca="1">HYPERLINK("#"&amp;중기목록표!J2&amp;"!A"&amp;ROW(중기목록표!A27),"중기   24 →")</f>
        <v>중기   24 →</v>
      </c>
    </row>
    <row r="2834" spans="1:25" ht="12.6" customHeight="1" x14ac:dyDescent="0.3">
      <c r="A2834" s="80"/>
      <c r="B2834" s="80"/>
      <c r="C2834" s="80"/>
      <c r="D2834" s="80"/>
      <c r="E2834" s="80"/>
      <c r="F2834" s="80"/>
      <c r="G2834" s="16" t="s">
        <v>1324</v>
      </c>
    </row>
    <row r="2835" spans="1:25" ht="12.6" customHeight="1" x14ac:dyDescent="0.3">
      <c r="A2835" s="70" t="s">
        <v>2387</v>
      </c>
      <c r="B2835" s="101" t="str">
        <f>" 재 료 비  :   "&amp;TEXT(I2835,"#,##0"&amp;IF(I2835&lt;&gt;INT(I2835),".###",""))&amp;" / Q2 *(Cm-t1)/Cm = "&amp;TEXT(C2835,"#,##0.0")&amp;""</f>
        <v xml:space="preserve"> 재 료 비  :   24,770 / Q2 *(Cm-t1)/Cm = 177.0</v>
      </c>
      <c r="C2835" s="103">
        <f>E2835+D2835+F2835</f>
        <v>177</v>
      </c>
      <c r="D2835" s="103">
        <f>IF(H2835=0,0,ROUNDDOWN(J2835*H2835,1))</f>
        <v>0</v>
      </c>
      <c r="E2835" s="103">
        <f>IF(H2835=0,0,ROUNDDOWN(K2835*H2835,1))</f>
        <v>177</v>
      </c>
      <c r="F2835" s="103">
        <f>IF(H2835=0,0,ROUNDDOWN(L2835*H2835,1))</f>
        <v>0</v>
      </c>
      <c r="G2835" s="16" t="s">
        <v>2386</v>
      </c>
      <c r="H2835" s="108">
        <v>7.1477330994000002E-3</v>
      </c>
      <c r="I2835" s="109">
        <f>K2835+J2835+L2835</f>
        <v>24770</v>
      </c>
      <c r="K2835" s="39">
        <f>중기목록표!G27</f>
        <v>24770</v>
      </c>
      <c r="M2835" s="20" t="s">
        <v>2385</v>
      </c>
      <c r="N2835" s="20" t="s">
        <v>1345</v>
      </c>
      <c r="X2835" s="110" t="str">
        <f>중기목록표!B27&amp;" / "&amp;중기목록표!C27</f>
        <v>덤프트럭 / 10.5톤</v>
      </c>
      <c r="Y2835" s="19" t="str">
        <f ca="1">HYPERLINK("#"&amp;중기목록표!J2&amp;"!A"&amp;ROW(중기목록표!A27),"중기   24 →")</f>
        <v>중기   24 →</v>
      </c>
    </row>
    <row r="2836" spans="1:25" ht="12.6" customHeight="1" x14ac:dyDescent="0.3">
      <c r="A2836" s="80"/>
      <c r="B2836" s="80"/>
      <c r="C2836" s="80"/>
      <c r="D2836" s="80"/>
      <c r="E2836" s="80"/>
      <c r="F2836" s="80"/>
      <c r="G2836" s="16" t="s">
        <v>1324</v>
      </c>
    </row>
    <row r="2837" spans="1:25" ht="12.6" customHeight="1" x14ac:dyDescent="0.3">
      <c r="A2837" s="70" t="s">
        <v>2389</v>
      </c>
      <c r="B2837" s="101" t="str">
        <f>" 경    비  :   "&amp;TEXT(I2837,"#,##0"&amp;IF(I2837&lt;&gt;INT(I2837),".###",""))&amp;" / Q2  = "&amp;TEXT(C2837,"#,##0.0")&amp;""</f>
        <v xml:space="preserve"> 경    비  :   11,248 / Q2  = 292.9</v>
      </c>
      <c r="C2837" s="103">
        <f>E2837+D2837+F2837</f>
        <v>292.89999999999998</v>
      </c>
      <c r="D2837" s="103">
        <f>IF(H2837=0,0,ROUNDDOWN(J2837*H2837,1))</f>
        <v>0</v>
      </c>
      <c r="E2837" s="103">
        <f>IF(H2837=0,0,ROUNDDOWN(K2837*H2837,1))</f>
        <v>0</v>
      </c>
      <c r="F2837" s="103">
        <f>IF(H2837=0,0,ROUNDDOWN(L2837*H2837,1))</f>
        <v>292.89999999999998</v>
      </c>
      <c r="G2837" s="16" t="s">
        <v>2388</v>
      </c>
      <c r="H2837" s="108">
        <v>2.6048450127300001E-2</v>
      </c>
      <c r="I2837" s="109">
        <f>K2837+J2837+L2837</f>
        <v>11248</v>
      </c>
      <c r="L2837" s="39">
        <f>중기목록표!H27</f>
        <v>11248</v>
      </c>
      <c r="M2837" s="20" t="s">
        <v>2385</v>
      </c>
      <c r="N2837" s="20" t="s">
        <v>1345</v>
      </c>
      <c r="X2837" s="110" t="str">
        <f>중기목록표!B27&amp;" / "&amp;중기목록표!C27</f>
        <v>덤프트럭 / 10.5톤</v>
      </c>
      <c r="Y2837" s="19" t="str">
        <f ca="1">HYPERLINK("#"&amp;중기목록표!J2&amp;"!A"&amp;ROW(중기목록표!A27),"중기   24 →")</f>
        <v>중기   24 →</v>
      </c>
    </row>
    <row r="2838" spans="1:25" ht="12.6" customHeight="1" x14ac:dyDescent="0.3">
      <c r="A2838" s="80"/>
      <c r="B2838" s="80"/>
      <c r="C2838" s="80"/>
      <c r="D2838" s="80"/>
      <c r="E2838" s="80"/>
      <c r="F2838" s="80"/>
      <c r="G2838" s="16" t="s">
        <v>1324</v>
      </c>
    </row>
    <row r="2839" spans="1:25" ht="12.6" customHeight="1" x14ac:dyDescent="0.3">
      <c r="A2839" s="70"/>
      <c r="B2839" s="79" t="s">
        <v>1344</v>
      </c>
      <c r="C2839" s="104">
        <f>E2839+D2839+F2839</f>
        <v>1700.1</v>
      </c>
      <c r="D2839" s="104">
        <f>SUMIF(N2809:N2838,M2839,D2809:D2838)</f>
        <v>1230.2</v>
      </c>
      <c r="E2839" s="104">
        <f>SUMIF(N2809:N2838,M2839,E2809:E2838)</f>
        <v>177</v>
      </c>
      <c r="F2839" s="104">
        <f>SUMIF(N2809:N2838,M2839,F2809:F2838)</f>
        <v>292.89999999999998</v>
      </c>
      <c r="G2839" s="16" t="s">
        <v>1343</v>
      </c>
      <c r="M2839" s="20" t="s">
        <v>1345</v>
      </c>
      <c r="N2839" s="20" t="s">
        <v>1368</v>
      </c>
    </row>
    <row r="2840" spans="1:25" ht="12.6" customHeight="1" x14ac:dyDescent="0.3">
      <c r="A2840" s="80"/>
      <c r="B2840" s="80"/>
      <c r="C2840" s="102"/>
      <c r="D2840" s="102"/>
      <c r="E2840" s="102"/>
      <c r="F2840" s="102"/>
      <c r="G2840" s="16" t="s">
        <v>1324</v>
      </c>
    </row>
    <row r="2841" spans="1:25" ht="12.6" customHeight="1" x14ac:dyDescent="0.3">
      <c r="A2841" s="80"/>
      <c r="B2841" s="80"/>
      <c r="C2841" s="80"/>
      <c r="D2841" s="80"/>
      <c r="E2841" s="80"/>
      <c r="F2841" s="80"/>
      <c r="G2841" s="16" t="s">
        <v>1324</v>
      </c>
    </row>
    <row r="2842" spans="1:25" ht="12.6" customHeight="1" x14ac:dyDescent="0.3">
      <c r="A2842" s="70"/>
      <c r="B2842" s="79" t="s">
        <v>1947</v>
      </c>
      <c r="C2842" s="80"/>
      <c r="D2842" s="80"/>
      <c r="E2842" s="80"/>
      <c r="F2842" s="80"/>
      <c r="G2842" s="16" t="s">
        <v>1946</v>
      </c>
    </row>
    <row r="2843" spans="1:25" ht="12.6" customHeight="1" x14ac:dyDescent="0.3">
      <c r="A2843" s="80"/>
      <c r="B2843" s="80"/>
      <c r="C2843" s="80"/>
      <c r="D2843" s="80"/>
      <c r="E2843" s="80"/>
      <c r="F2843" s="80"/>
      <c r="G2843" s="16" t="s">
        <v>1324</v>
      </c>
    </row>
    <row r="2844" spans="1:25" ht="12.6" customHeight="1" x14ac:dyDescent="0.3">
      <c r="A2844" s="70"/>
      <c r="B2844" s="79" t="s">
        <v>2338</v>
      </c>
      <c r="C2844" s="80"/>
      <c r="D2844" s="80"/>
      <c r="E2844" s="80"/>
      <c r="F2844" s="80"/>
      <c r="G2844" s="16" t="s">
        <v>2337</v>
      </c>
    </row>
    <row r="2845" spans="1:25" ht="12.6" customHeight="1" x14ac:dyDescent="0.3">
      <c r="A2845" s="80"/>
      <c r="B2845" s="80"/>
      <c r="C2845" s="80"/>
      <c r="D2845" s="80"/>
      <c r="E2845" s="80"/>
      <c r="F2845" s="80"/>
      <c r="G2845" s="16" t="s">
        <v>1324</v>
      </c>
    </row>
    <row r="2846" spans="1:25" ht="12.6" customHeight="1" x14ac:dyDescent="0.3">
      <c r="A2846" s="70"/>
      <c r="B2846" s="79" t="s">
        <v>2391</v>
      </c>
      <c r="C2846" s="80"/>
      <c r="D2846" s="80"/>
      <c r="E2846" s="80"/>
      <c r="F2846" s="80"/>
      <c r="G2846" s="16" t="s">
        <v>2390</v>
      </c>
    </row>
    <row r="2847" spans="1:25" ht="12.6" customHeight="1" x14ac:dyDescent="0.3">
      <c r="A2847" s="80"/>
      <c r="B2847" s="80"/>
      <c r="C2847" s="80"/>
      <c r="D2847" s="80"/>
      <c r="E2847" s="80"/>
      <c r="F2847" s="80"/>
      <c r="G2847" s="16" t="s">
        <v>1324</v>
      </c>
    </row>
    <row r="2848" spans="1:25" ht="12.6" customHeight="1" x14ac:dyDescent="0.3">
      <c r="A2848" s="70"/>
      <c r="B2848" s="79" t="s">
        <v>2393</v>
      </c>
      <c r="C2848" s="80"/>
      <c r="D2848" s="80"/>
      <c r="E2848" s="80"/>
      <c r="F2848" s="80"/>
      <c r="G2848" s="16" t="s">
        <v>2392</v>
      </c>
    </row>
    <row r="2849" spans="1:25" ht="12.6" customHeight="1" x14ac:dyDescent="0.3">
      <c r="A2849" s="80"/>
      <c r="B2849" s="80"/>
      <c r="C2849" s="80"/>
      <c r="D2849" s="80"/>
      <c r="E2849" s="80"/>
      <c r="F2849" s="80"/>
      <c r="G2849" s="16" t="s">
        <v>1324</v>
      </c>
    </row>
    <row r="2850" spans="1:25" ht="12.6" customHeight="1" x14ac:dyDescent="0.3">
      <c r="A2850" s="70"/>
      <c r="B2850" s="79" t="s">
        <v>2344</v>
      </c>
      <c r="C2850" s="80"/>
      <c r="D2850" s="80"/>
      <c r="E2850" s="80"/>
      <c r="F2850" s="80"/>
      <c r="G2850" s="16" t="s">
        <v>2343</v>
      </c>
    </row>
    <row r="2851" spans="1:25" ht="12.6" customHeight="1" x14ac:dyDescent="0.3">
      <c r="A2851" s="80"/>
      <c r="B2851" s="80"/>
      <c r="C2851" s="80"/>
      <c r="D2851" s="80"/>
      <c r="E2851" s="80"/>
      <c r="F2851" s="80"/>
      <c r="G2851" s="16" t="s">
        <v>1324</v>
      </c>
    </row>
    <row r="2852" spans="1:25" ht="12.6" customHeight="1" x14ac:dyDescent="0.3">
      <c r="A2852" s="70"/>
      <c r="B2852" s="79" t="s">
        <v>2346</v>
      </c>
      <c r="C2852" s="80"/>
      <c r="D2852" s="80"/>
      <c r="E2852" s="80"/>
      <c r="F2852" s="80"/>
      <c r="G2852" s="16" t="s">
        <v>2345</v>
      </c>
    </row>
    <row r="2853" spans="1:25" ht="12.6" customHeight="1" x14ac:dyDescent="0.3">
      <c r="A2853" s="80"/>
      <c r="B2853" s="80"/>
      <c r="C2853" s="80"/>
      <c r="D2853" s="80"/>
      <c r="E2853" s="80"/>
      <c r="F2853" s="80"/>
      <c r="G2853" s="16" t="s">
        <v>1324</v>
      </c>
    </row>
    <row r="2854" spans="1:25" ht="12.6" customHeight="1" x14ac:dyDescent="0.3">
      <c r="A2854" s="70"/>
      <c r="B2854" s="79" t="s">
        <v>2394</v>
      </c>
      <c r="C2854" s="80"/>
      <c r="D2854" s="80"/>
      <c r="E2854" s="80"/>
      <c r="F2854" s="80"/>
      <c r="G2854" s="16" t="s">
        <v>2347</v>
      </c>
    </row>
    <row r="2855" spans="1:25" ht="12.6" customHeight="1" x14ac:dyDescent="0.3">
      <c r="A2855" s="80"/>
      <c r="B2855" s="80"/>
      <c r="C2855" s="80"/>
      <c r="D2855" s="80"/>
      <c r="E2855" s="80"/>
      <c r="F2855" s="80"/>
      <c r="G2855" s="16" t="s">
        <v>1324</v>
      </c>
    </row>
    <row r="2856" spans="1:25" ht="12.6" customHeight="1" x14ac:dyDescent="0.3">
      <c r="A2856" s="70" t="s">
        <v>1524</v>
      </c>
      <c r="B2856" s="101" t="str">
        <f>" 노 무 비  :   "&amp;TEXT(I2856,"#,##0"&amp;IF(I2856&lt;&gt;INT(I2856),".###",""))&amp;" / Q / 3 = "&amp;TEXT(C2856,"#,##0.0")&amp;""</f>
        <v xml:space="preserve"> 노 무 비  :   55,700 / Q / 3 = 218.3</v>
      </c>
      <c r="C2856" s="103">
        <f>E2856+D2856+F2856</f>
        <v>218.3</v>
      </c>
      <c r="D2856" s="103">
        <f>IF(H2856=0,0,ROUNDDOWN(J2856*H2856,1))</f>
        <v>218.3</v>
      </c>
      <c r="E2856" s="103">
        <f>IF(H2856=0,0,ROUNDDOWN(K2856*H2856,1))</f>
        <v>0</v>
      </c>
      <c r="F2856" s="103">
        <f>IF(H2856=0,0,ROUNDDOWN(L2856*H2856,1))</f>
        <v>0</v>
      </c>
      <c r="G2856" s="16" t="s">
        <v>1954</v>
      </c>
      <c r="H2856" s="108">
        <v>3.9192631886000003E-3</v>
      </c>
      <c r="I2856" s="109">
        <f>K2856+J2856+L2856</f>
        <v>55700</v>
      </c>
      <c r="J2856" s="39">
        <f>중기목록표!F7</f>
        <v>55700</v>
      </c>
      <c r="M2856" s="20" t="s">
        <v>1179</v>
      </c>
      <c r="N2856" s="20" t="s">
        <v>1345</v>
      </c>
      <c r="X2856" s="110" t="str">
        <f>중기목록표!B7&amp;" / "&amp;중기목록표!C7</f>
        <v xml:space="preserve">굴삭기(0.7m3) / </v>
      </c>
      <c r="Y2856" s="19" t="str">
        <f ca="1">HYPERLINK("#"&amp;중기목록표!J2&amp;"!A"&amp;ROW(중기목록표!A7),"중기    4 →")</f>
        <v>중기    4 →</v>
      </c>
    </row>
    <row r="2857" spans="1:25" ht="12.6" customHeight="1" x14ac:dyDescent="0.3">
      <c r="A2857" s="80"/>
      <c r="B2857" s="80"/>
      <c r="C2857" s="80"/>
      <c r="D2857" s="80"/>
      <c r="E2857" s="80"/>
      <c r="F2857" s="80"/>
      <c r="G2857" s="16" t="s">
        <v>1324</v>
      </c>
    </row>
    <row r="2858" spans="1:25" ht="12.6" customHeight="1" x14ac:dyDescent="0.3">
      <c r="A2858" s="70" t="s">
        <v>1526</v>
      </c>
      <c r="B2858" s="101" t="str">
        <f>" 재 료 비  :   "&amp;TEXT(I2858,"#,##0"&amp;IF(I2858&lt;&gt;INT(I2858),".###",""))&amp;" / Q / 3 = "&amp;TEXT(C2858,"#,##0.0")&amp;""</f>
        <v xml:space="preserve"> 재 료 비  :   18,001 / Q / 3 = 70.5</v>
      </c>
      <c r="C2858" s="103">
        <f>E2858+D2858+F2858</f>
        <v>70.5</v>
      </c>
      <c r="D2858" s="103">
        <f>IF(H2858=0,0,ROUNDDOWN(J2858*H2858,1))</f>
        <v>0</v>
      </c>
      <c r="E2858" s="103">
        <f>IF(H2858=0,0,ROUNDDOWN(K2858*H2858,1))</f>
        <v>70.5</v>
      </c>
      <c r="F2858" s="103">
        <f>IF(H2858=0,0,ROUNDDOWN(L2858*H2858,1))</f>
        <v>0</v>
      </c>
      <c r="G2858" s="16" t="s">
        <v>1955</v>
      </c>
      <c r="H2858" s="108">
        <v>3.9192631886000003E-3</v>
      </c>
      <c r="I2858" s="109">
        <f>K2858+J2858+L2858</f>
        <v>18001</v>
      </c>
      <c r="K2858" s="39">
        <f>중기목록표!G7</f>
        <v>18001</v>
      </c>
      <c r="M2858" s="20" t="s">
        <v>1179</v>
      </c>
      <c r="N2858" s="20" t="s">
        <v>1345</v>
      </c>
      <c r="X2858" s="110" t="str">
        <f>중기목록표!B7&amp;" / "&amp;중기목록표!C7</f>
        <v xml:space="preserve">굴삭기(0.7m3) / </v>
      </c>
      <c r="Y2858" s="19" t="str">
        <f ca="1">HYPERLINK("#"&amp;중기목록표!J2&amp;"!A"&amp;ROW(중기목록표!A7),"중기    4 →")</f>
        <v>중기    4 →</v>
      </c>
    </row>
    <row r="2859" spans="1:25" ht="12.6" customHeight="1" x14ac:dyDescent="0.3">
      <c r="A2859" s="80"/>
      <c r="B2859" s="80"/>
      <c r="C2859" s="80"/>
      <c r="D2859" s="80"/>
      <c r="E2859" s="80"/>
      <c r="F2859" s="80"/>
      <c r="G2859" s="16" t="s">
        <v>1324</v>
      </c>
    </row>
    <row r="2860" spans="1:25" ht="12.6" customHeight="1" x14ac:dyDescent="0.3">
      <c r="A2860" s="70" t="s">
        <v>1528</v>
      </c>
      <c r="B2860" s="101" t="str">
        <f>" 경    비  :   "&amp;TEXT(I2860,"#,##0"&amp;IF(I2860&lt;&gt;INT(I2860),".###",""))&amp;" / Q / 3 = "&amp;TEXT(C2860,"#,##0.0")&amp;""</f>
        <v xml:space="preserve"> 경    비  :   23,128 / Q / 3 = 90.6</v>
      </c>
      <c r="C2860" s="103">
        <f>E2860+D2860+F2860</f>
        <v>90.6</v>
      </c>
      <c r="D2860" s="103">
        <f>IF(H2860=0,0,ROUNDDOWN(J2860*H2860,1))</f>
        <v>0</v>
      </c>
      <c r="E2860" s="103">
        <f>IF(H2860=0,0,ROUNDDOWN(K2860*H2860,1))</f>
        <v>0</v>
      </c>
      <c r="F2860" s="103">
        <f>IF(H2860=0,0,ROUNDDOWN(L2860*H2860,1))</f>
        <v>90.6</v>
      </c>
      <c r="G2860" s="16" t="s">
        <v>1956</v>
      </c>
      <c r="H2860" s="108">
        <v>3.9192631886000003E-3</v>
      </c>
      <c r="I2860" s="109">
        <f>K2860+J2860+L2860</f>
        <v>23128</v>
      </c>
      <c r="L2860" s="39">
        <f>중기목록표!H7</f>
        <v>23128</v>
      </c>
      <c r="M2860" s="20" t="s">
        <v>1179</v>
      </c>
      <c r="N2860" s="20" t="s">
        <v>1345</v>
      </c>
      <c r="X2860" s="110" t="str">
        <f>중기목록표!B7&amp;" / "&amp;중기목록표!C7</f>
        <v xml:space="preserve">굴삭기(0.7m3) / </v>
      </c>
      <c r="Y2860" s="19" t="str">
        <f ca="1">HYPERLINK("#"&amp;중기목록표!J2&amp;"!A"&amp;ROW(중기목록표!A7),"중기    4 →")</f>
        <v>중기    4 →</v>
      </c>
    </row>
    <row r="2861" spans="1:25" ht="12.6" customHeight="1" x14ac:dyDescent="0.3">
      <c r="A2861" s="80"/>
      <c r="B2861" s="80"/>
      <c r="C2861" s="80"/>
      <c r="D2861" s="80"/>
      <c r="E2861" s="80"/>
      <c r="F2861" s="80"/>
      <c r="G2861" s="16" t="s">
        <v>1324</v>
      </c>
    </row>
    <row r="2862" spans="1:25" ht="12.6" customHeight="1" x14ac:dyDescent="0.3">
      <c r="A2862" s="70"/>
      <c r="B2862" s="79" t="s">
        <v>1344</v>
      </c>
      <c r="C2862" s="104">
        <f>E2862+D2862+F2862</f>
        <v>379.4</v>
      </c>
      <c r="D2862" s="104">
        <f>SUMIF(N2840:N2861,M2862,D2840:D2861)</f>
        <v>218.3</v>
      </c>
      <c r="E2862" s="104">
        <f>SUMIF(N2840:N2861,M2862,E2840:E2861)</f>
        <v>70.5</v>
      </c>
      <c r="F2862" s="104">
        <f>SUMIF(N2840:N2861,M2862,F2840:F2861)</f>
        <v>90.6</v>
      </c>
      <c r="G2862" s="16" t="s">
        <v>1343</v>
      </c>
      <c r="M2862" s="20" t="s">
        <v>1345</v>
      </c>
      <c r="N2862" s="20" t="s">
        <v>1368</v>
      </c>
    </row>
    <row r="2863" spans="1:25" ht="12.6" customHeight="1" x14ac:dyDescent="0.3">
      <c r="A2863" s="80"/>
      <c r="B2863" s="80"/>
      <c r="C2863" s="102"/>
      <c r="D2863" s="102"/>
      <c r="E2863" s="102"/>
      <c r="F2863" s="102"/>
      <c r="G2863" s="16" t="s">
        <v>1324</v>
      </c>
    </row>
    <row r="2864" spans="1:25" ht="12.6" customHeight="1" x14ac:dyDescent="0.3">
      <c r="A2864" s="70"/>
      <c r="B2864" s="79" t="s">
        <v>1171</v>
      </c>
      <c r="C2864" s="104">
        <f>E2864+D2864+F2864</f>
        <v>3909.1</v>
      </c>
      <c r="D2864" s="104">
        <f>SUMIF(N2746:N2863,M2864,D2746:D2863)</f>
        <v>2501</v>
      </c>
      <c r="E2864" s="104">
        <f>SUMIF(N2746:N2863,M2864,E2746:E2863)</f>
        <v>587.6</v>
      </c>
      <c r="F2864" s="104">
        <f>SUMIF(N2746:N2863,M2864,F2746:F2863)</f>
        <v>820.5</v>
      </c>
      <c r="G2864" s="16" t="s">
        <v>1367</v>
      </c>
      <c r="M2864" s="20" t="s">
        <v>1368</v>
      </c>
      <c r="N2864" s="20" t="s">
        <v>1129</v>
      </c>
    </row>
    <row r="2865" spans="1:6" ht="12.6" customHeight="1" x14ac:dyDescent="0.3">
      <c r="A2865" s="80"/>
      <c r="B2865" s="80"/>
      <c r="C2865" s="102"/>
      <c r="D2865" s="102"/>
      <c r="E2865" s="102"/>
      <c r="F2865" s="102"/>
    </row>
    <row r="2866" spans="1:6" ht="12.6" customHeight="1" x14ac:dyDescent="0.3">
      <c r="A2866" s="80"/>
      <c r="B2866" s="80"/>
      <c r="C2866" s="80"/>
      <c r="D2866" s="80"/>
      <c r="E2866" s="80"/>
      <c r="F2866" s="80"/>
    </row>
    <row r="2867" spans="1:6" ht="12.6" customHeight="1" x14ac:dyDescent="0.3">
      <c r="A2867" s="80"/>
      <c r="B2867" s="80"/>
      <c r="C2867" s="80"/>
      <c r="D2867" s="80"/>
      <c r="E2867" s="80"/>
      <c r="F2867" s="80"/>
    </row>
    <row r="2868" spans="1:6" ht="12.6" customHeight="1" x14ac:dyDescent="0.3">
      <c r="A2868" s="80"/>
      <c r="B2868" s="80"/>
      <c r="C2868" s="80"/>
      <c r="D2868" s="80"/>
      <c r="E2868" s="80"/>
      <c r="F2868" s="80"/>
    </row>
    <row r="2869" spans="1:6" ht="12.6" customHeight="1" x14ac:dyDescent="0.3">
      <c r="A2869" s="80"/>
      <c r="B2869" s="80"/>
      <c r="C2869" s="80"/>
      <c r="D2869" s="80"/>
      <c r="E2869" s="80"/>
      <c r="F2869" s="80"/>
    </row>
    <row r="2870" spans="1:6" ht="12.6" customHeight="1" x14ac:dyDescent="0.3">
      <c r="A2870" s="80"/>
      <c r="B2870" s="80"/>
      <c r="C2870" s="80"/>
      <c r="D2870" s="80"/>
      <c r="E2870" s="80"/>
      <c r="F2870" s="80"/>
    </row>
    <row r="2871" spans="1:6" ht="12.6" customHeight="1" x14ac:dyDescent="0.3">
      <c r="A2871" s="80"/>
      <c r="B2871" s="80"/>
      <c r="C2871" s="80"/>
      <c r="D2871" s="80"/>
      <c r="E2871" s="80"/>
      <c r="F2871" s="80"/>
    </row>
    <row r="2872" spans="1:6" ht="12.6" customHeight="1" x14ac:dyDescent="0.3">
      <c r="A2872" s="80"/>
      <c r="B2872" s="80"/>
      <c r="C2872" s="80"/>
      <c r="D2872" s="80"/>
      <c r="E2872" s="80"/>
      <c r="F2872" s="80"/>
    </row>
    <row r="2873" spans="1:6" ht="12.6" customHeight="1" x14ac:dyDescent="0.3">
      <c r="A2873" s="80"/>
      <c r="B2873" s="80"/>
      <c r="C2873" s="80"/>
      <c r="D2873" s="80"/>
      <c r="E2873" s="80"/>
      <c r="F2873" s="80"/>
    </row>
    <row r="2874" spans="1:6" ht="12.6" customHeight="1" x14ac:dyDescent="0.3">
      <c r="A2874" s="80"/>
      <c r="B2874" s="80"/>
      <c r="C2874" s="80"/>
      <c r="D2874" s="80"/>
      <c r="E2874" s="80"/>
      <c r="F2874" s="80"/>
    </row>
    <row r="2875" spans="1:6" ht="12.6" customHeight="1" x14ac:dyDescent="0.3">
      <c r="A2875" s="80"/>
      <c r="B2875" s="80"/>
      <c r="C2875" s="80"/>
      <c r="D2875" s="80"/>
      <c r="E2875" s="80"/>
      <c r="F2875" s="80"/>
    </row>
    <row r="2876" spans="1:6" ht="12.6" customHeight="1" x14ac:dyDescent="0.3">
      <c r="A2876" s="80"/>
      <c r="B2876" s="80"/>
      <c r="C2876" s="80"/>
      <c r="D2876" s="80"/>
      <c r="E2876" s="80"/>
      <c r="F2876" s="80"/>
    </row>
    <row r="2877" spans="1:6" ht="12.6" customHeight="1" x14ac:dyDescent="0.3">
      <c r="A2877" s="80"/>
      <c r="B2877" s="80"/>
      <c r="C2877" s="80"/>
      <c r="D2877" s="80"/>
      <c r="E2877" s="80"/>
      <c r="F2877" s="80"/>
    </row>
    <row r="2878" spans="1:6" ht="12.6" customHeight="1" x14ac:dyDescent="0.3">
      <c r="A2878" s="80"/>
      <c r="B2878" s="80"/>
      <c r="C2878" s="80"/>
      <c r="D2878" s="80"/>
      <c r="E2878" s="80"/>
      <c r="F2878" s="80"/>
    </row>
    <row r="2879" spans="1:6" ht="12.6" customHeight="1" x14ac:dyDescent="0.3">
      <c r="A2879" s="80"/>
      <c r="B2879" s="80"/>
      <c r="C2879" s="80"/>
      <c r="D2879" s="80"/>
      <c r="E2879" s="80"/>
      <c r="F2879" s="80"/>
    </row>
    <row r="2880" spans="1:6" ht="12.6" customHeight="1" x14ac:dyDescent="0.3">
      <c r="A2880" s="58"/>
      <c r="B2880" s="58"/>
      <c r="C2880" s="58"/>
      <c r="D2880" s="58"/>
      <c r="E2880" s="58"/>
      <c r="F2880" s="58"/>
    </row>
    <row r="2881" spans="1:14" ht="12.6" customHeight="1" x14ac:dyDescent="0.3">
      <c r="A2881" s="141" t="s">
        <v>1171</v>
      </c>
      <c r="B2881" s="142"/>
      <c r="C2881" s="55">
        <f>E2881+D2881+F2881</f>
        <v>3908</v>
      </c>
      <c r="D2881" s="54">
        <f>ROUNDDOWN(SUMIF(N2746:N2864,M2881,D2746:D2864),0)</f>
        <v>2501</v>
      </c>
      <c r="E2881" s="63">
        <f>ROUNDDOWN(SUMIF(N2746:N2864,M2881,E2746:E2864),0)</f>
        <v>587</v>
      </c>
      <c r="F2881" s="55">
        <f>ROUNDDOWN(SUMIF(N2746:N2864,M2881,F2746:F2864),0)</f>
        <v>820</v>
      </c>
      <c r="M2881" s="20" t="s">
        <v>1129</v>
      </c>
      <c r="N2881" s="20" t="s">
        <v>1172</v>
      </c>
    </row>
    <row r="2882" spans="1:14" ht="12.6" customHeight="1" x14ac:dyDescent="0.3">
      <c r="A2882" s="141" t="s">
        <v>1173</v>
      </c>
      <c r="B2882" s="142"/>
      <c r="C2882" s="55">
        <f>E2882+D2882+F2882</f>
        <v>3457</v>
      </c>
      <c r="D2882" s="54">
        <f>ROUNDDOWN(D2881*H2882/100,0)</f>
        <v>2213</v>
      </c>
      <c r="E2882" s="63">
        <f>ROUNDDOWN(E2881*H2882/100,0)</f>
        <v>519</v>
      </c>
      <c r="F2882" s="55">
        <f>ROUNDDOWN(F2881*H2882/100,0)</f>
        <v>725</v>
      </c>
      <c r="H2882" s="67">
        <v>88.5</v>
      </c>
      <c r="M2882" s="20" t="s">
        <v>1172</v>
      </c>
    </row>
    <row r="2883" spans="1:14" ht="12.6" customHeight="1" x14ac:dyDescent="0.3">
      <c r="A2883" s="99" t="s">
        <v>321</v>
      </c>
      <c r="B2883" s="100" t="s">
        <v>321</v>
      </c>
      <c r="C2883" s="147">
        <f>C2951</f>
        <v>1812</v>
      </c>
      <c r="D2883" s="147">
        <f>D2951</f>
        <v>801</v>
      </c>
      <c r="E2883" s="147">
        <f>E2951</f>
        <v>531</v>
      </c>
      <c r="F2883" s="147">
        <f>F2951</f>
        <v>480</v>
      </c>
      <c r="G2883" s="36" t="str">
        <f>HYPERLINK("#G"&amp;ROW(G2916),"_x0005_`BDCOD|D02291_x0007_`POSS|"&amp;ROW(G2885)&amp;"_x0007_`POSE|"&amp;ROW(G2916)&amp;"_x0007_`")</f>
        <v>_x0005_`BDCOD|D02291_x0007_`POSS|2885_x0007_`POSE|2916_x0007_`</v>
      </c>
    </row>
    <row r="2884" spans="1:14" ht="12.6" customHeight="1" x14ac:dyDescent="0.3">
      <c r="A2884" s="85"/>
      <c r="B2884" s="100" t="s">
        <v>320</v>
      </c>
      <c r="C2884" s="137"/>
      <c r="D2884" s="137"/>
      <c r="E2884" s="137"/>
      <c r="F2884" s="137"/>
      <c r="M2884" s="20" t="s">
        <v>319</v>
      </c>
    </row>
    <row r="2885" spans="1:14" ht="12.6" customHeight="1" x14ac:dyDescent="0.3">
      <c r="A2885" s="70"/>
      <c r="B2885" s="79" t="s">
        <v>1841</v>
      </c>
      <c r="C2885" s="102"/>
      <c r="D2885" s="102"/>
      <c r="E2885" s="102"/>
      <c r="F2885" s="102"/>
      <c r="G2885" s="16" t="s">
        <v>1840</v>
      </c>
    </row>
    <row r="2886" spans="1:14" ht="12.6" customHeight="1" x14ac:dyDescent="0.3">
      <c r="A2886" s="80"/>
      <c r="B2886" s="80"/>
      <c r="C2886" s="80"/>
      <c r="D2886" s="80"/>
      <c r="E2886" s="80"/>
      <c r="F2886" s="80"/>
      <c r="G2886" s="16" t="s">
        <v>1324</v>
      </c>
    </row>
    <row r="2887" spans="1:14" ht="12.6" customHeight="1" x14ac:dyDescent="0.3">
      <c r="A2887" s="70"/>
      <c r="B2887" s="79" t="s">
        <v>2396</v>
      </c>
      <c r="C2887" s="80"/>
      <c r="D2887" s="80"/>
      <c r="E2887" s="80"/>
      <c r="F2887" s="80"/>
      <c r="G2887" s="16" t="s">
        <v>2395</v>
      </c>
    </row>
    <row r="2888" spans="1:14" ht="12.6" customHeight="1" x14ac:dyDescent="0.3">
      <c r="A2888" s="80"/>
      <c r="B2888" s="80"/>
      <c r="C2888" s="80"/>
      <c r="D2888" s="80"/>
      <c r="E2888" s="80"/>
      <c r="F2888" s="80"/>
      <c r="G2888" s="16" t="s">
        <v>1324</v>
      </c>
    </row>
    <row r="2889" spans="1:14" ht="12.6" customHeight="1" x14ac:dyDescent="0.3">
      <c r="A2889" s="70"/>
      <c r="B2889" s="79" t="s">
        <v>2397</v>
      </c>
      <c r="C2889" s="80"/>
      <c r="D2889" s="80"/>
      <c r="E2889" s="80"/>
      <c r="F2889" s="80"/>
      <c r="G2889" s="16" t="s">
        <v>1844</v>
      </c>
    </row>
    <row r="2890" spans="1:14" ht="12.6" customHeight="1" x14ac:dyDescent="0.3">
      <c r="A2890" s="80"/>
      <c r="B2890" s="80"/>
      <c r="C2890" s="80"/>
      <c r="D2890" s="80"/>
      <c r="E2890" s="80"/>
      <c r="F2890" s="80"/>
      <c r="G2890" s="16" t="s">
        <v>1324</v>
      </c>
    </row>
    <row r="2891" spans="1:14" ht="12.6" customHeight="1" x14ac:dyDescent="0.3">
      <c r="A2891" s="70"/>
      <c r="B2891" s="79" t="s">
        <v>1847</v>
      </c>
      <c r="C2891" s="80"/>
      <c r="D2891" s="80"/>
      <c r="E2891" s="80"/>
      <c r="F2891" s="80"/>
      <c r="G2891" s="16" t="s">
        <v>1846</v>
      </c>
    </row>
    <row r="2892" spans="1:14" ht="12.6" customHeight="1" x14ac:dyDescent="0.3">
      <c r="A2892" s="80"/>
      <c r="B2892" s="80"/>
      <c r="C2892" s="80"/>
      <c r="D2892" s="80"/>
      <c r="E2892" s="80"/>
      <c r="F2892" s="80"/>
      <c r="G2892" s="16" t="s">
        <v>1324</v>
      </c>
    </row>
    <row r="2893" spans="1:14" ht="12.6" customHeight="1" x14ac:dyDescent="0.3">
      <c r="A2893" s="70"/>
      <c r="B2893" s="79" t="s">
        <v>1849</v>
      </c>
      <c r="C2893" s="80"/>
      <c r="D2893" s="80"/>
      <c r="E2893" s="80"/>
      <c r="F2893" s="80"/>
      <c r="G2893" s="16" t="s">
        <v>1848</v>
      </c>
    </row>
    <row r="2894" spans="1:14" ht="12.6" customHeight="1" x14ac:dyDescent="0.3">
      <c r="A2894" s="80"/>
      <c r="B2894" s="80"/>
      <c r="C2894" s="80"/>
      <c r="D2894" s="80"/>
      <c r="E2894" s="80"/>
      <c r="F2894" s="80"/>
      <c r="G2894" s="16" t="s">
        <v>1324</v>
      </c>
    </row>
    <row r="2895" spans="1:14" ht="12.6" customHeight="1" x14ac:dyDescent="0.3">
      <c r="A2895" s="70"/>
      <c r="B2895" s="79" t="s">
        <v>1851</v>
      </c>
      <c r="C2895" s="80"/>
      <c r="D2895" s="80"/>
      <c r="E2895" s="80"/>
      <c r="F2895" s="80"/>
      <c r="G2895" s="16" t="s">
        <v>1850</v>
      </c>
    </row>
    <row r="2896" spans="1:14" ht="12.6" customHeight="1" x14ac:dyDescent="0.3">
      <c r="A2896" s="80"/>
      <c r="B2896" s="80"/>
      <c r="C2896" s="80"/>
      <c r="D2896" s="80"/>
      <c r="E2896" s="80"/>
      <c r="F2896" s="80"/>
      <c r="G2896" s="16" t="s">
        <v>1324</v>
      </c>
    </row>
    <row r="2897" spans="1:25" ht="12.6" customHeight="1" x14ac:dyDescent="0.3">
      <c r="A2897" s="70"/>
      <c r="B2897" s="79" t="s">
        <v>1853</v>
      </c>
      <c r="C2897" s="80"/>
      <c r="D2897" s="80"/>
      <c r="E2897" s="80"/>
      <c r="F2897" s="80"/>
      <c r="G2897" s="16" t="s">
        <v>1852</v>
      </c>
    </row>
    <row r="2898" spans="1:25" ht="12.6" customHeight="1" x14ac:dyDescent="0.3">
      <c r="A2898" s="80"/>
      <c r="B2898" s="80"/>
      <c r="C2898" s="80"/>
      <c r="D2898" s="80"/>
      <c r="E2898" s="80"/>
      <c r="F2898" s="80"/>
      <c r="G2898" s="16" t="s">
        <v>1324</v>
      </c>
    </row>
    <row r="2899" spans="1:25" ht="12.6" customHeight="1" x14ac:dyDescent="0.3">
      <c r="A2899" s="70"/>
      <c r="B2899" s="79" t="s">
        <v>1855</v>
      </c>
      <c r="C2899" s="80"/>
      <c r="D2899" s="80"/>
      <c r="E2899" s="80"/>
      <c r="F2899" s="80"/>
      <c r="G2899" s="16" t="s">
        <v>1854</v>
      </c>
    </row>
    <row r="2900" spans="1:25" ht="12.6" customHeight="1" x14ac:dyDescent="0.3">
      <c r="A2900" s="80"/>
      <c r="B2900" s="80"/>
      <c r="C2900" s="80"/>
      <c r="D2900" s="80"/>
      <c r="E2900" s="80"/>
      <c r="F2900" s="80"/>
      <c r="G2900" s="16" t="s">
        <v>1324</v>
      </c>
    </row>
    <row r="2901" spans="1:25" ht="12.6" customHeight="1" x14ac:dyDescent="0.3">
      <c r="A2901" s="70"/>
      <c r="B2901" s="79" t="s">
        <v>1857</v>
      </c>
      <c r="C2901" s="80"/>
      <c r="D2901" s="80"/>
      <c r="E2901" s="80"/>
      <c r="F2901" s="80"/>
      <c r="G2901" s="16" t="s">
        <v>1856</v>
      </c>
    </row>
    <row r="2902" spans="1:25" ht="12.6" customHeight="1" x14ac:dyDescent="0.3">
      <c r="A2902" s="80"/>
      <c r="B2902" s="80"/>
      <c r="C2902" s="80"/>
      <c r="D2902" s="80"/>
      <c r="E2902" s="80"/>
      <c r="F2902" s="80"/>
      <c r="G2902" s="16" t="s">
        <v>1324</v>
      </c>
    </row>
    <row r="2903" spans="1:25" ht="12.6" customHeight="1" x14ac:dyDescent="0.3">
      <c r="A2903" s="70"/>
      <c r="B2903" s="79" t="s">
        <v>1859</v>
      </c>
      <c r="C2903" s="80"/>
      <c r="D2903" s="80"/>
      <c r="E2903" s="80"/>
      <c r="F2903" s="80"/>
      <c r="G2903" s="16" t="s">
        <v>1858</v>
      </c>
    </row>
    <row r="2904" spans="1:25" ht="12.6" customHeight="1" x14ac:dyDescent="0.3">
      <c r="A2904" s="80"/>
      <c r="B2904" s="80"/>
      <c r="C2904" s="80"/>
      <c r="D2904" s="80"/>
      <c r="E2904" s="80"/>
      <c r="F2904" s="80"/>
      <c r="G2904" s="16" t="s">
        <v>1324</v>
      </c>
    </row>
    <row r="2905" spans="1:25" ht="12.6" customHeight="1" x14ac:dyDescent="0.3">
      <c r="A2905" s="70"/>
      <c r="B2905" s="79" t="s">
        <v>2398</v>
      </c>
      <c r="C2905" s="80"/>
      <c r="D2905" s="80"/>
      <c r="E2905" s="80"/>
      <c r="F2905" s="80"/>
      <c r="G2905" s="16" t="s">
        <v>1860</v>
      </c>
    </row>
    <row r="2906" spans="1:25" ht="12.6" customHeight="1" x14ac:dyDescent="0.3">
      <c r="A2906" s="80"/>
      <c r="B2906" s="80"/>
      <c r="C2906" s="80"/>
      <c r="D2906" s="80"/>
      <c r="E2906" s="80"/>
      <c r="F2906" s="80"/>
      <c r="G2906" s="16" t="s">
        <v>1324</v>
      </c>
    </row>
    <row r="2907" spans="1:25" ht="12.6" customHeight="1" x14ac:dyDescent="0.3">
      <c r="A2907" s="70"/>
      <c r="B2907" s="79" t="s">
        <v>2399</v>
      </c>
      <c r="C2907" s="80"/>
      <c r="D2907" s="80"/>
      <c r="E2907" s="80"/>
      <c r="F2907" s="80"/>
      <c r="G2907" s="16" t="s">
        <v>1862</v>
      </c>
    </row>
    <row r="2908" spans="1:25" ht="12.6" customHeight="1" x14ac:dyDescent="0.3">
      <c r="A2908" s="80"/>
      <c r="B2908" s="80"/>
      <c r="C2908" s="80"/>
      <c r="D2908" s="80"/>
      <c r="E2908" s="80"/>
      <c r="F2908" s="80"/>
      <c r="G2908" s="16" t="s">
        <v>1324</v>
      </c>
    </row>
    <row r="2909" spans="1:25" ht="12.6" customHeight="1" x14ac:dyDescent="0.3">
      <c r="A2909" s="80"/>
      <c r="B2909" s="80"/>
      <c r="C2909" s="80"/>
      <c r="D2909" s="80"/>
      <c r="E2909" s="80"/>
      <c r="F2909" s="80"/>
      <c r="G2909" s="16" t="s">
        <v>1324</v>
      </c>
    </row>
    <row r="2910" spans="1:25" ht="12.6" customHeight="1" x14ac:dyDescent="0.3">
      <c r="A2910" s="70" t="s">
        <v>1865</v>
      </c>
      <c r="B2910" s="101" t="str">
        <f>" 노 무 비  :   "&amp;TEXT(I2910,"#,##0"&amp;IF(I2910&lt;&gt;INT(I2910),".###",""))&amp;" / Q = "&amp;TEXT(C2910,"#,##0.0")&amp;""</f>
        <v xml:space="preserve"> 노 무 비  :   55,700 / Q = 906.2</v>
      </c>
      <c r="C2910" s="103">
        <f>E2910+D2910+F2910</f>
        <v>906.2</v>
      </c>
      <c r="D2910" s="103">
        <f>IF(H2910=0,0,ROUNDDOWN(J2910*H2910,1))</f>
        <v>906.2</v>
      </c>
      <c r="E2910" s="103">
        <f>IF(H2910=0,0,ROUNDDOWN(K2910*H2910,1))</f>
        <v>0</v>
      </c>
      <c r="F2910" s="103">
        <f>IF(H2910=0,0,ROUNDDOWN(L2910*H2910,1))</f>
        <v>0</v>
      </c>
      <c r="G2910" s="16" t="s">
        <v>1864</v>
      </c>
      <c r="H2910" s="108">
        <v>1.6270745210199999E-2</v>
      </c>
      <c r="I2910" s="109">
        <f>K2910+J2910+L2910</f>
        <v>55700</v>
      </c>
      <c r="J2910" s="39">
        <f>중기목록표!F4</f>
        <v>55700</v>
      </c>
      <c r="M2910" s="20" t="s">
        <v>1866</v>
      </c>
      <c r="N2910" s="20" t="s">
        <v>1345</v>
      </c>
      <c r="X2910" s="110" t="str">
        <f>중기목록표!B4&amp;" / "&amp;중기목록표!C4</f>
        <v>불도우저19ton / (토사)</v>
      </c>
      <c r="Y2910" s="19" t="str">
        <f ca="1">HYPERLINK("#"&amp;중기목록표!J2&amp;"!A"&amp;ROW(중기목록표!A4),"중기    1 →")</f>
        <v>중기    1 →</v>
      </c>
    </row>
    <row r="2911" spans="1:25" ht="12.6" customHeight="1" x14ac:dyDescent="0.3">
      <c r="A2911" s="80"/>
      <c r="B2911" s="80"/>
      <c r="C2911" s="80"/>
      <c r="D2911" s="80"/>
      <c r="E2911" s="80"/>
      <c r="F2911" s="80"/>
      <c r="G2911" s="16" t="s">
        <v>1324</v>
      </c>
    </row>
    <row r="2912" spans="1:25" ht="12.6" customHeight="1" x14ac:dyDescent="0.3">
      <c r="A2912" s="70" t="s">
        <v>1868</v>
      </c>
      <c r="B2912" s="101" t="str">
        <f>" 재 료 비  :   "&amp;TEXT(I2912,"#,##0"&amp;IF(I2912&lt;&gt;INT(I2912),".###",""))&amp;" / Q = "&amp;TEXT(C2912,"#,##0.0")&amp;""</f>
        <v xml:space="preserve"> 재 료 비  :   36,888 / Q = 600.1</v>
      </c>
      <c r="C2912" s="103">
        <f>E2912+D2912+F2912</f>
        <v>600.1</v>
      </c>
      <c r="D2912" s="103">
        <f>IF(H2912=0,0,ROUNDDOWN(J2912*H2912,1))</f>
        <v>0</v>
      </c>
      <c r="E2912" s="103">
        <f>IF(H2912=0,0,ROUNDDOWN(K2912*H2912,1))</f>
        <v>600.1</v>
      </c>
      <c r="F2912" s="103">
        <f>IF(H2912=0,0,ROUNDDOWN(L2912*H2912,1))</f>
        <v>0</v>
      </c>
      <c r="G2912" s="16" t="s">
        <v>1867</v>
      </c>
      <c r="H2912" s="108">
        <v>1.6270745210199999E-2</v>
      </c>
      <c r="I2912" s="109">
        <f>K2912+J2912+L2912</f>
        <v>36888</v>
      </c>
      <c r="K2912" s="39">
        <f>중기목록표!G4</f>
        <v>36888</v>
      </c>
      <c r="M2912" s="20" t="s">
        <v>1866</v>
      </c>
      <c r="N2912" s="20" t="s">
        <v>1345</v>
      </c>
      <c r="X2912" s="110" t="str">
        <f>중기목록표!B4&amp;" / "&amp;중기목록표!C4</f>
        <v>불도우저19ton / (토사)</v>
      </c>
      <c r="Y2912" s="19" t="str">
        <f ca="1">HYPERLINK("#"&amp;중기목록표!J2&amp;"!A"&amp;ROW(중기목록표!A4),"중기    1 →")</f>
        <v>중기    1 →</v>
      </c>
    </row>
    <row r="2913" spans="1:25" ht="12.6" customHeight="1" x14ac:dyDescent="0.3">
      <c r="A2913" s="80"/>
      <c r="B2913" s="80"/>
      <c r="C2913" s="80"/>
      <c r="D2913" s="80"/>
      <c r="E2913" s="80"/>
      <c r="F2913" s="80"/>
      <c r="G2913" s="16" t="s">
        <v>1324</v>
      </c>
    </row>
    <row r="2914" spans="1:25" ht="12.6" customHeight="1" x14ac:dyDescent="0.3">
      <c r="A2914" s="70" t="s">
        <v>1870</v>
      </c>
      <c r="B2914" s="101" t="str">
        <f>" 경    비  :   "&amp;TEXT(I2914,"#,##0"&amp;IF(I2914&lt;&gt;INT(I2914),".###",""))&amp;" / Q = "&amp;TEXT(C2914,"#,##0.0")&amp;""</f>
        <v xml:space="preserve"> 경    비  :   33,412 / Q = 543.6</v>
      </c>
      <c r="C2914" s="103">
        <f>E2914+D2914+F2914</f>
        <v>543.6</v>
      </c>
      <c r="D2914" s="103">
        <f>IF(H2914=0,0,ROUNDDOWN(J2914*H2914,1))</f>
        <v>0</v>
      </c>
      <c r="E2914" s="103">
        <f>IF(H2914=0,0,ROUNDDOWN(K2914*H2914,1))</f>
        <v>0</v>
      </c>
      <c r="F2914" s="103">
        <f>IF(H2914=0,0,ROUNDDOWN(L2914*H2914,1))</f>
        <v>543.6</v>
      </c>
      <c r="G2914" s="16" t="s">
        <v>1869</v>
      </c>
      <c r="H2914" s="108">
        <v>1.6270745210199999E-2</v>
      </c>
      <c r="I2914" s="109">
        <f>K2914+J2914+L2914</f>
        <v>33412</v>
      </c>
      <c r="L2914" s="39">
        <f>중기목록표!H4</f>
        <v>33412</v>
      </c>
      <c r="M2914" s="20" t="s">
        <v>1866</v>
      </c>
      <c r="N2914" s="20" t="s">
        <v>1345</v>
      </c>
      <c r="X2914" s="110" t="str">
        <f>중기목록표!B4&amp;" / "&amp;중기목록표!C4</f>
        <v>불도우저19ton / (토사)</v>
      </c>
      <c r="Y2914" s="19" t="str">
        <f ca="1">HYPERLINK("#"&amp;중기목록표!J2&amp;"!A"&amp;ROW(중기목록표!A4),"중기    1 →")</f>
        <v>중기    1 →</v>
      </c>
    </row>
    <row r="2915" spans="1:25" ht="12.6" customHeight="1" x14ac:dyDescent="0.3">
      <c r="A2915" s="80"/>
      <c r="B2915" s="80"/>
      <c r="C2915" s="80"/>
      <c r="D2915" s="80"/>
      <c r="E2915" s="80"/>
      <c r="F2915" s="80"/>
      <c r="G2915" s="16" t="s">
        <v>1324</v>
      </c>
    </row>
    <row r="2916" spans="1:25" ht="12.6" customHeight="1" x14ac:dyDescent="0.3">
      <c r="A2916" s="70"/>
      <c r="B2916" s="79" t="s">
        <v>1344</v>
      </c>
      <c r="C2916" s="104">
        <f>E2916+D2916+F2916</f>
        <v>2049.9</v>
      </c>
      <c r="D2916" s="104">
        <f>SUMIF(N2885:N2915,M2916,D2885:D2915)</f>
        <v>906.2</v>
      </c>
      <c r="E2916" s="104">
        <f>SUMIF(N2885:N2915,M2916,E2885:E2915)</f>
        <v>600.1</v>
      </c>
      <c r="F2916" s="104">
        <f>SUMIF(N2885:N2915,M2916,F2885:F2915)</f>
        <v>543.6</v>
      </c>
      <c r="G2916" s="16" t="s">
        <v>1343</v>
      </c>
      <c r="M2916" s="20" t="s">
        <v>1345</v>
      </c>
      <c r="N2916" s="20" t="s">
        <v>1129</v>
      </c>
    </row>
    <row r="2917" spans="1:25" ht="12.6" customHeight="1" x14ac:dyDescent="0.3">
      <c r="A2917" s="80"/>
      <c r="B2917" s="80"/>
      <c r="C2917" s="102"/>
      <c r="D2917" s="102"/>
      <c r="E2917" s="102"/>
      <c r="F2917" s="102"/>
    </row>
    <row r="2918" spans="1:25" ht="12.6" customHeight="1" x14ac:dyDescent="0.3">
      <c r="A2918" s="80"/>
      <c r="B2918" s="80"/>
      <c r="C2918" s="80"/>
      <c r="D2918" s="80"/>
      <c r="E2918" s="80"/>
      <c r="F2918" s="80"/>
    </row>
    <row r="2919" spans="1:25" ht="12.6" customHeight="1" x14ac:dyDescent="0.3">
      <c r="A2919" s="80"/>
      <c r="B2919" s="80"/>
      <c r="C2919" s="80"/>
      <c r="D2919" s="80"/>
      <c r="E2919" s="80"/>
      <c r="F2919" s="80"/>
    </row>
    <row r="2920" spans="1:25" ht="12.6" customHeight="1" x14ac:dyDescent="0.3">
      <c r="A2920" s="80"/>
      <c r="B2920" s="80"/>
      <c r="C2920" s="80"/>
      <c r="D2920" s="80"/>
      <c r="E2920" s="80"/>
      <c r="F2920" s="80"/>
    </row>
    <row r="2921" spans="1:25" ht="12.6" customHeight="1" x14ac:dyDescent="0.3">
      <c r="A2921" s="80"/>
      <c r="B2921" s="80"/>
      <c r="C2921" s="80"/>
      <c r="D2921" s="80"/>
      <c r="E2921" s="80"/>
      <c r="F2921" s="80"/>
    </row>
    <row r="2922" spans="1:25" ht="12.6" customHeight="1" x14ac:dyDescent="0.3">
      <c r="A2922" s="80"/>
      <c r="B2922" s="80"/>
      <c r="C2922" s="80"/>
      <c r="D2922" s="80"/>
      <c r="E2922" s="80"/>
      <c r="F2922" s="80"/>
    </row>
    <row r="2923" spans="1:25" ht="12.6" customHeight="1" x14ac:dyDescent="0.3">
      <c r="A2923" s="80"/>
      <c r="B2923" s="80"/>
      <c r="C2923" s="80"/>
      <c r="D2923" s="80"/>
      <c r="E2923" s="80"/>
      <c r="F2923" s="80"/>
    </row>
    <row r="2924" spans="1:25" ht="12.6" customHeight="1" x14ac:dyDescent="0.3">
      <c r="A2924" s="80"/>
      <c r="B2924" s="80"/>
      <c r="C2924" s="80"/>
      <c r="D2924" s="80"/>
      <c r="E2924" s="80"/>
      <c r="F2924" s="80"/>
    </row>
    <row r="2925" spans="1:25" ht="12.6" customHeight="1" x14ac:dyDescent="0.3">
      <c r="A2925" s="80"/>
      <c r="B2925" s="80"/>
      <c r="C2925" s="80"/>
      <c r="D2925" s="80"/>
      <c r="E2925" s="80"/>
      <c r="F2925" s="80"/>
    </row>
    <row r="2926" spans="1:25" ht="12.6" customHeight="1" x14ac:dyDescent="0.3">
      <c r="A2926" s="80"/>
      <c r="B2926" s="80"/>
      <c r="C2926" s="80"/>
      <c r="D2926" s="80"/>
      <c r="E2926" s="80"/>
      <c r="F2926" s="80"/>
    </row>
    <row r="2927" spans="1:25" ht="12.6" customHeight="1" x14ac:dyDescent="0.3">
      <c r="A2927" s="80"/>
      <c r="B2927" s="80"/>
      <c r="C2927" s="80"/>
      <c r="D2927" s="80"/>
      <c r="E2927" s="80"/>
      <c r="F2927" s="80"/>
    </row>
    <row r="2928" spans="1:25" ht="12.6" customHeight="1" x14ac:dyDescent="0.3">
      <c r="A2928" s="80"/>
      <c r="B2928" s="80"/>
      <c r="C2928" s="80"/>
      <c r="D2928" s="80"/>
      <c r="E2928" s="80"/>
      <c r="F2928" s="80"/>
    </row>
    <row r="2929" spans="1:6" ht="12.6" customHeight="1" x14ac:dyDescent="0.3">
      <c r="A2929" s="80"/>
      <c r="B2929" s="80"/>
      <c r="C2929" s="80"/>
      <c r="D2929" s="80"/>
      <c r="E2929" s="80"/>
      <c r="F2929" s="80"/>
    </row>
    <row r="2930" spans="1:6" ht="12.6" customHeight="1" x14ac:dyDescent="0.3">
      <c r="A2930" s="80"/>
      <c r="B2930" s="80"/>
      <c r="C2930" s="80"/>
      <c r="D2930" s="80"/>
      <c r="E2930" s="80"/>
      <c r="F2930" s="80"/>
    </row>
    <row r="2931" spans="1:6" ht="12.6" customHeight="1" x14ac:dyDescent="0.3">
      <c r="A2931" s="80"/>
      <c r="B2931" s="80"/>
      <c r="C2931" s="80"/>
      <c r="D2931" s="80"/>
      <c r="E2931" s="80"/>
      <c r="F2931" s="80"/>
    </row>
    <row r="2932" spans="1:6" ht="12.6" customHeight="1" x14ac:dyDescent="0.3">
      <c r="A2932" s="80"/>
      <c r="B2932" s="80"/>
      <c r="C2932" s="80"/>
      <c r="D2932" s="80"/>
      <c r="E2932" s="80"/>
      <c r="F2932" s="80"/>
    </row>
    <row r="2933" spans="1:6" ht="12.6" customHeight="1" x14ac:dyDescent="0.3">
      <c r="A2933" s="80"/>
      <c r="B2933" s="80"/>
      <c r="C2933" s="80"/>
      <c r="D2933" s="80"/>
      <c r="E2933" s="80"/>
      <c r="F2933" s="80"/>
    </row>
    <row r="2934" spans="1:6" ht="12.6" customHeight="1" x14ac:dyDescent="0.3">
      <c r="A2934" s="80"/>
      <c r="B2934" s="80"/>
      <c r="C2934" s="80"/>
      <c r="D2934" s="80"/>
      <c r="E2934" s="80"/>
      <c r="F2934" s="80"/>
    </row>
    <row r="2935" spans="1:6" ht="12.6" customHeight="1" x14ac:dyDescent="0.3">
      <c r="A2935" s="80"/>
      <c r="B2935" s="80"/>
      <c r="C2935" s="80"/>
      <c r="D2935" s="80"/>
      <c r="E2935" s="80"/>
      <c r="F2935" s="80"/>
    </row>
    <row r="2936" spans="1:6" ht="12.6" customHeight="1" x14ac:dyDescent="0.3">
      <c r="A2936" s="80"/>
      <c r="B2936" s="80"/>
      <c r="C2936" s="80"/>
      <c r="D2936" s="80"/>
      <c r="E2936" s="80"/>
      <c r="F2936" s="80"/>
    </row>
    <row r="2937" spans="1:6" ht="12.6" customHeight="1" x14ac:dyDescent="0.3">
      <c r="A2937" s="80"/>
      <c r="B2937" s="80"/>
      <c r="C2937" s="80"/>
      <c r="D2937" s="80"/>
      <c r="E2937" s="80"/>
      <c r="F2937" s="80"/>
    </row>
    <row r="2938" spans="1:6" ht="12.6" customHeight="1" x14ac:dyDescent="0.3">
      <c r="A2938" s="80"/>
      <c r="B2938" s="80"/>
      <c r="C2938" s="80"/>
      <c r="D2938" s="80"/>
      <c r="E2938" s="80"/>
      <c r="F2938" s="80"/>
    </row>
    <row r="2939" spans="1:6" ht="12.6" customHeight="1" x14ac:dyDescent="0.3">
      <c r="A2939" s="80"/>
      <c r="B2939" s="80"/>
      <c r="C2939" s="80"/>
      <c r="D2939" s="80"/>
      <c r="E2939" s="80"/>
      <c r="F2939" s="80"/>
    </row>
    <row r="2940" spans="1:6" ht="12.6" customHeight="1" x14ac:dyDescent="0.3">
      <c r="A2940" s="80"/>
      <c r="B2940" s="80"/>
      <c r="C2940" s="80"/>
      <c r="D2940" s="80"/>
      <c r="E2940" s="80"/>
      <c r="F2940" s="80"/>
    </row>
    <row r="2941" spans="1:6" ht="12.6" customHeight="1" x14ac:dyDescent="0.3">
      <c r="A2941" s="80"/>
      <c r="B2941" s="80"/>
      <c r="C2941" s="80"/>
      <c r="D2941" s="80"/>
      <c r="E2941" s="80"/>
      <c r="F2941" s="80"/>
    </row>
    <row r="2942" spans="1:6" ht="12.6" customHeight="1" x14ac:dyDescent="0.3">
      <c r="A2942" s="80"/>
      <c r="B2942" s="80"/>
      <c r="C2942" s="80"/>
      <c r="D2942" s="80"/>
      <c r="E2942" s="80"/>
      <c r="F2942" s="80"/>
    </row>
    <row r="2943" spans="1:6" ht="12.6" customHeight="1" x14ac:dyDescent="0.3">
      <c r="A2943" s="80"/>
      <c r="B2943" s="80"/>
      <c r="C2943" s="80"/>
      <c r="D2943" s="80"/>
      <c r="E2943" s="80"/>
      <c r="F2943" s="80"/>
    </row>
    <row r="2944" spans="1:6" ht="12.6" customHeight="1" x14ac:dyDescent="0.3">
      <c r="A2944" s="80"/>
      <c r="B2944" s="80"/>
      <c r="C2944" s="80"/>
      <c r="D2944" s="80"/>
      <c r="E2944" s="80"/>
      <c r="F2944" s="80"/>
    </row>
    <row r="2945" spans="1:14" ht="12.6" customHeight="1" x14ac:dyDescent="0.3">
      <c r="A2945" s="80"/>
      <c r="B2945" s="80"/>
      <c r="C2945" s="80"/>
      <c r="D2945" s="80"/>
      <c r="E2945" s="80"/>
      <c r="F2945" s="80"/>
    </row>
    <row r="2946" spans="1:14" ht="12.6" customHeight="1" x14ac:dyDescent="0.3">
      <c r="A2946" s="80"/>
      <c r="B2946" s="80"/>
      <c r="C2946" s="80"/>
      <c r="D2946" s="80"/>
      <c r="E2946" s="80"/>
      <c r="F2946" s="80"/>
    </row>
    <row r="2947" spans="1:14" ht="12.6" customHeight="1" x14ac:dyDescent="0.3">
      <c r="A2947" s="80"/>
      <c r="B2947" s="80"/>
      <c r="C2947" s="80"/>
      <c r="D2947" s="80"/>
      <c r="E2947" s="80"/>
      <c r="F2947" s="80"/>
    </row>
    <row r="2948" spans="1:14" ht="12.6" customHeight="1" x14ac:dyDescent="0.3">
      <c r="A2948" s="80"/>
      <c r="B2948" s="80"/>
      <c r="C2948" s="80"/>
      <c r="D2948" s="80"/>
      <c r="E2948" s="80"/>
      <c r="F2948" s="80"/>
    </row>
    <row r="2949" spans="1:14" ht="12.6" customHeight="1" x14ac:dyDescent="0.3">
      <c r="A2949" s="58"/>
      <c r="B2949" s="58"/>
      <c r="C2949" s="58"/>
      <c r="D2949" s="58"/>
      <c r="E2949" s="58"/>
      <c r="F2949" s="58"/>
    </row>
    <row r="2950" spans="1:14" ht="12.6" customHeight="1" x14ac:dyDescent="0.3">
      <c r="A2950" s="141" t="s">
        <v>1171</v>
      </c>
      <c r="B2950" s="142"/>
      <c r="C2950" s="55">
        <f>E2950+D2950+F2950</f>
        <v>2049</v>
      </c>
      <c r="D2950" s="54">
        <f>ROUNDDOWN(SUMIF(N2885:N2916,M2950,D2885:D2916),0)</f>
        <v>906</v>
      </c>
      <c r="E2950" s="63">
        <f>ROUNDDOWN(SUMIF(N2885:N2916,M2950,E2885:E2916),0)</f>
        <v>600</v>
      </c>
      <c r="F2950" s="55">
        <f>ROUNDDOWN(SUMIF(N2885:N2916,M2950,F2885:F2916),0)</f>
        <v>543</v>
      </c>
      <c r="M2950" s="20" t="s">
        <v>1129</v>
      </c>
      <c r="N2950" s="20" t="s">
        <v>1172</v>
      </c>
    </row>
    <row r="2951" spans="1:14" ht="12.6" customHeight="1" x14ac:dyDescent="0.3">
      <c r="A2951" s="141" t="s">
        <v>1173</v>
      </c>
      <c r="B2951" s="142"/>
      <c r="C2951" s="55">
        <f>E2951+D2951+F2951</f>
        <v>1812</v>
      </c>
      <c r="D2951" s="54">
        <f>ROUNDDOWN(D2950*H2951/100,0)</f>
        <v>801</v>
      </c>
      <c r="E2951" s="63">
        <f>ROUNDDOWN(E2950*H2951/100,0)</f>
        <v>531</v>
      </c>
      <c r="F2951" s="55">
        <f>ROUNDDOWN(F2950*H2951/100,0)</f>
        <v>480</v>
      </c>
      <c r="H2951" s="67">
        <v>88.5</v>
      </c>
      <c r="M2951" s="20" t="s">
        <v>1172</v>
      </c>
    </row>
    <row r="2952" spans="1:14" ht="12.6" customHeight="1" x14ac:dyDescent="0.3">
      <c r="A2952" s="99" t="s">
        <v>325</v>
      </c>
      <c r="B2952" s="100" t="s">
        <v>325</v>
      </c>
      <c r="C2952" s="147">
        <f>C3020</f>
        <v>1904</v>
      </c>
      <c r="D2952" s="147">
        <f>D3020</f>
        <v>810</v>
      </c>
      <c r="E2952" s="147">
        <f>E3020</f>
        <v>537</v>
      </c>
      <c r="F2952" s="147">
        <f>F3020</f>
        <v>557</v>
      </c>
      <c r="G2952" s="36" t="str">
        <f>HYPERLINK("#G"&amp;ROW(G2986),"_x0005_`BDCOD|D02292_x0007_`POSS|"&amp;ROW(G2954)&amp;"_x0007_`POSE|"&amp;ROW(G2986)&amp;"_x0007_`")</f>
        <v>_x0005_`BDCOD|D02292_x0007_`POSS|2954_x0007_`POSE|2986_x0007_`</v>
      </c>
    </row>
    <row r="2953" spans="1:14" ht="12.6" customHeight="1" x14ac:dyDescent="0.3">
      <c r="A2953" s="85"/>
      <c r="B2953" s="100" t="s">
        <v>324</v>
      </c>
      <c r="C2953" s="137"/>
      <c r="D2953" s="137"/>
      <c r="E2953" s="137"/>
      <c r="F2953" s="137"/>
      <c r="M2953" s="20" t="s">
        <v>323</v>
      </c>
    </row>
    <row r="2954" spans="1:14" ht="12.6" customHeight="1" x14ac:dyDescent="0.3">
      <c r="A2954" s="70"/>
      <c r="B2954" s="79" t="s">
        <v>1872</v>
      </c>
      <c r="C2954" s="102"/>
      <c r="D2954" s="102"/>
      <c r="E2954" s="102"/>
      <c r="F2954" s="102"/>
      <c r="G2954" s="16" t="s">
        <v>1871</v>
      </c>
    </row>
    <row r="2955" spans="1:14" ht="12.6" customHeight="1" x14ac:dyDescent="0.3">
      <c r="A2955" s="80"/>
      <c r="B2955" s="80"/>
      <c r="C2955" s="80"/>
      <c r="D2955" s="80"/>
      <c r="E2955" s="80"/>
      <c r="F2955" s="80"/>
      <c r="G2955" s="16" t="s">
        <v>1324</v>
      </c>
    </row>
    <row r="2956" spans="1:14" ht="12.6" customHeight="1" x14ac:dyDescent="0.3">
      <c r="A2956" s="70"/>
      <c r="B2956" s="79" t="s">
        <v>2401</v>
      </c>
      <c r="C2956" s="80"/>
      <c r="D2956" s="80"/>
      <c r="E2956" s="80"/>
      <c r="F2956" s="80"/>
      <c r="G2956" s="16" t="s">
        <v>2400</v>
      </c>
    </row>
    <row r="2957" spans="1:14" ht="12.6" customHeight="1" x14ac:dyDescent="0.3">
      <c r="A2957" s="80"/>
      <c r="B2957" s="80"/>
      <c r="C2957" s="80"/>
      <c r="D2957" s="80"/>
      <c r="E2957" s="80"/>
      <c r="F2957" s="80"/>
      <c r="G2957" s="16" t="s">
        <v>1324</v>
      </c>
    </row>
    <row r="2958" spans="1:14" ht="12.6" customHeight="1" x14ac:dyDescent="0.3">
      <c r="A2958" s="70"/>
      <c r="B2958" s="79" t="s">
        <v>2402</v>
      </c>
      <c r="C2958" s="80"/>
      <c r="D2958" s="80"/>
      <c r="E2958" s="80"/>
      <c r="F2958" s="80"/>
      <c r="G2958" s="16" t="s">
        <v>1844</v>
      </c>
    </row>
    <row r="2959" spans="1:14" ht="12.6" customHeight="1" x14ac:dyDescent="0.3">
      <c r="A2959" s="80"/>
      <c r="B2959" s="80"/>
      <c r="C2959" s="80"/>
      <c r="D2959" s="80"/>
      <c r="E2959" s="80"/>
      <c r="F2959" s="80"/>
      <c r="G2959" s="16" t="s">
        <v>1324</v>
      </c>
    </row>
    <row r="2960" spans="1:14" ht="12.6" customHeight="1" x14ac:dyDescent="0.3">
      <c r="A2960" s="70"/>
      <c r="B2960" s="79" t="s">
        <v>1877</v>
      </c>
      <c r="C2960" s="80"/>
      <c r="D2960" s="80"/>
      <c r="E2960" s="80"/>
      <c r="F2960" s="80"/>
      <c r="G2960" s="16" t="s">
        <v>1876</v>
      </c>
    </row>
    <row r="2961" spans="1:7" ht="12.6" customHeight="1" x14ac:dyDescent="0.3">
      <c r="A2961" s="80"/>
      <c r="B2961" s="80"/>
      <c r="C2961" s="80"/>
      <c r="D2961" s="80"/>
      <c r="E2961" s="80"/>
      <c r="F2961" s="80"/>
      <c r="G2961" s="16" t="s">
        <v>1324</v>
      </c>
    </row>
    <row r="2962" spans="1:7" ht="12.6" customHeight="1" x14ac:dyDescent="0.3">
      <c r="A2962" s="70"/>
      <c r="B2962" s="79" t="s">
        <v>1879</v>
      </c>
      <c r="C2962" s="80"/>
      <c r="D2962" s="80"/>
      <c r="E2962" s="80"/>
      <c r="F2962" s="80"/>
      <c r="G2962" s="16" t="s">
        <v>1878</v>
      </c>
    </row>
    <row r="2963" spans="1:7" ht="12.6" customHeight="1" x14ac:dyDescent="0.3">
      <c r="A2963" s="80"/>
      <c r="B2963" s="80"/>
      <c r="C2963" s="80"/>
      <c r="D2963" s="80"/>
      <c r="E2963" s="80"/>
      <c r="F2963" s="80"/>
      <c r="G2963" s="16" t="s">
        <v>1324</v>
      </c>
    </row>
    <row r="2964" spans="1:7" ht="12.6" customHeight="1" x14ac:dyDescent="0.3">
      <c r="A2964" s="70"/>
      <c r="B2964" s="79" t="s">
        <v>2314</v>
      </c>
      <c r="C2964" s="80"/>
      <c r="D2964" s="80"/>
      <c r="E2964" s="80"/>
      <c r="F2964" s="80"/>
      <c r="G2964" s="16" t="s">
        <v>2313</v>
      </c>
    </row>
    <row r="2965" spans="1:7" ht="12.6" customHeight="1" x14ac:dyDescent="0.3">
      <c r="A2965" s="80"/>
      <c r="B2965" s="80"/>
      <c r="C2965" s="80"/>
      <c r="D2965" s="80"/>
      <c r="E2965" s="80"/>
      <c r="F2965" s="80"/>
      <c r="G2965" s="16" t="s">
        <v>1324</v>
      </c>
    </row>
    <row r="2966" spans="1:7" ht="12.6" customHeight="1" x14ac:dyDescent="0.3">
      <c r="A2966" s="70"/>
      <c r="B2966" s="79" t="s">
        <v>1853</v>
      </c>
      <c r="C2966" s="80"/>
      <c r="D2966" s="80"/>
      <c r="E2966" s="80"/>
      <c r="F2966" s="80"/>
      <c r="G2966" s="16" t="s">
        <v>1852</v>
      </c>
    </row>
    <row r="2967" spans="1:7" ht="12.6" customHeight="1" x14ac:dyDescent="0.3">
      <c r="A2967" s="80"/>
      <c r="B2967" s="80"/>
      <c r="C2967" s="80"/>
      <c r="D2967" s="80"/>
      <c r="E2967" s="80"/>
      <c r="F2967" s="80"/>
      <c r="G2967" s="16" t="s">
        <v>1324</v>
      </c>
    </row>
    <row r="2968" spans="1:7" ht="12.6" customHeight="1" x14ac:dyDescent="0.3">
      <c r="A2968" s="70"/>
      <c r="B2968" s="79" t="s">
        <v>1855</v>
      </c>
      <c r="C2968" s="80"/>
      <c r="D2968" s="80"/>
      <c r="E2968" s="80"/>
      <c r="F2968" s="80"/>
      <c r="G2968" s="16" t="s">
        <v>1854</v>
      </c>
    </row>
    <row r="2969" spans="1:7" ht="12.6" customHeight="1" x14ac:dyDescent="0.3">
      <c r="A2969" s="80"/>
      <c r="B2969" s="80"/>
      <c r="C2969" s="80"/>
      <c r="D2969" s="80"/>
      <c r="E2969" s="80"/>
      <c r="F2969" s="80"/>
      <c r="G2969" s="16" t="s">
        <v>1324</v>
      </c>
    </row>
    <row r="2970" spans="1:7" ht="12.6" customHeight="1" x14ac:dyDescent="0.3">
      <c r="A2970" s="70"/>
      <c r="B2970" s="79" t="s">
        <v>2315</v>
      </c>
      <c r="C2970" s="80"/>
      <c r="D2970" s="80"/>
      <c r="E2970" s="80"/>
      <c r="F2970" s="80"/>
      <c r="G2970" s="16" t="s">
        <v>1856</v>
      </c>
    </row>
    <row r="2971" spans="1:7" ht="12.6" customHeight="1" x14ac:dyDescent="0.3">
      <c r="A2971" s="80"/>
      <c r="B2971" s="80"/>
      <c r="C2971" s="80"/>
      <c r="D2971" s="80"/>
      <c r="E2971" s="80"/>
      <c r="F2971" s="80"/>
      <c r="G2971" s="16" t="s">
        <v>1324</v>
      </c>
    </row>
    <row r="2972" spans="1:7" ht="12.6" customHeight="1" x14ac:dyDescent="0.3">
      <c r="A2972" s="70"/>
      <c r="B2972" s="79" t="s">
        <v>1881</v>
      </c>
      <c r="C2972" s="80"/>
      <c r="D2972" s="80"/>
      <c r="E2972" s="80"/>
      <c r="F2972" s="80"/>
      <c r="G2972" s="16" t="s">
        <v>1880</v>
      </c>
    </row>
    <row r="2973" spans="1:7" ht="12.6" customHeight="1" x14ac:dyDescent="0.3">
      <c r="A2973" s="80"/>
      <c r="B2973" s="80"/>
      <c r="C2973" s="80"/>
      <c r="D2973" s="80"/>
      <c r="E2973" s="80"/>
      <c r="F2973" s="80"/>
      <c r="G2973" s="16" t="s">
        <v>1324</v>
      </c>
    </row>
    <row r="2974" spans="1:7" ht="12.6" customHeight="1" x14ac:dyDescent="0.3">
      <c r="A2974" s="70"/>
      <c r="B2974" s="79" t="s">
        <v>1883</v>
      </c>
      <c r="C2974" s="80"/>
      <c r="D2974" s="80"/>
      <c r="E2974" s="80"/>
      <c r="F2974" s="80"/>
      <c r="G2974" s="16" t="s">
        <v>1882</v>
      </c>
    </row>
    <row r="2975" spans="1:7" ht="12.6" customHeight="1" x14ac:dyDescent="0.3">
      <c r="A2975" s="80"/>
      <c r="B2975" s="80"/>
      <c r="C2975" s="80"/>
      <c r="D2975" s="80"/>
      <c r="E2975" s="80"/>
      <c r="F2975" s="80"/>
      <c r="G2975" s="16" t="s">
        <v>1324</v>
      </c>
    </row>
    <row r="2976" spans="1:7" ht="12.6" customHeight="1" x14ac:dyDescent="0.3">
      <c r="A2976" s="70"/>
      <c r="B2976" s="79" t="s">
        <v>2403</v>
      </c>
      <c r="C2976" s="80"/>
      <c r="D2976" s="80"/>
      <c r="E2976" s="80"/>
      <c r="F2976" s="80"/>
      <c r="G2976" s="16" t="s">
        <v>1884</v>
      </c>
    </row>
    <row r="2977" spans="1:25" ht="12.6" customHeight="1" x14ac:dyDescent="0.3">
      <c r="A2977" s="80"/>
      <c r="B2977" s="80"/>
      <c r="C2977" s="80"/>
      <c r="D2977" s="80"/>
      <c r="E2977" s="80"/>
      <c r="F2977" s="80"/>
      <c r="G2977" s="16" t="s">
        <v>1324</v>
      </c>
    </row>
    <row r="2978" spans="1:25" ht="12.6" customHeight="1" x14ac:dyDescent="0.3">
      <c r="A2978" s="80"/>
      <c r="B2978" s="80"/>
      <c r="C2978" s="80"/>
      <c r="D2978" s="80"/>
      <c r="E2978" s="80"/>
      <c r="F2978" s="80"/>
      <c r="G2978" s="16" t="s">
        <v>1324</v>
      </c>
    </row>
    <row r="2979" spans="1:25" ht="12.6" customHeight="1" x14ac:dyDescent="0.3">
      <c r="A2979" s="70" t="s">
        <v>1887</v>
      </c>
      <c r="B2979" s="101" t="str">
        <f>" 노 무 비  :   "&amp;TEXT(I2979,"#,##0"&amp;IF(I2979&lt;&gt;INT(I2979),".###",""))&amp;" / Q = "&amp;TEXT(C2979,"#,##0.0")&amp;""</f>
        <v xml:space="preserve"> 노 무 비  :   55,700 / Q = 916.7</v>
      </c>
      <c r="C2979" s="103">
        <f>E2979+D2979+F2979</f>
        <v>916.7</v>
      </c>
      <c r="D2979" s="103">
        <f>IF(H2979=0,0,ROUNDDOWN(J2979*H2979,1))</f>
        <v>916.7</v>
      </c>
      <c r="E2979" s="103">
        <f>IF(H2979=0,0,ROUNDDOWN(K2979*H2979,1))</f>
        <v>0</v>
      </c>
      <c r="F2979" s="103">
        <f>IF(H2979=0,0,ROUNDDOWN(L2979*H2979,1))</f>
        <v>0</v>
      </c>
      <c r="G2979" s="16" t="s">
        <v>1886</v>
      </c>
      <c r="H2979" s="108">
        <v>1.6458196191800001E-2</v>
      </c>
      <c r="I2979" s="109">
        <f>K2979+J2979+L2979</f>
        <v>55700</v>
      </c>
      <c r="J2979" s="39">
        <f>중기목록표!F20</f>
        <v>55700</v>
      </c>
      <c r="M2979" s="20" t="s">
        <v>1888</v>
      </c>
      <c r="N2979" s="20" t="s">
        <v>1345</v>
      </c>
      <c r="X2979" s="110" t="str">
        <f>중기목록표!B20&amp;" / "&amp;중기목록표!C20</f>
        <v>불도우저19ton / (암)</v>
      </c>
      <c r="Y2979" s="19" t="str">
        <f ca="1">HYPERLINK("#"&amp;중기목록표!J2&amp;"!A"&amp;ROW(중기목록표!A20),"중기   17 →")</f>
        <v>중기   17 →</v>
      </c>
    </row>
    <row r="2980" spans="1:25" ht="12.6" customHeight="1" x14ac:dyDescent="0.3">
      <c r="A2980" s="80"/>
      <c r="B2980" s="80"/>
      <c r="C2980" s="80"/>
      <c r="D2980" s="80"/>
      <c r="E2980" s="80"/>
      <c r="F2980" s="80"/>
      <c r="G2980" s="16" t="s">
        <v>1324</v>
      </c>
    </row>
    <row r="2981" spans="1:25" ht="12.6" customHeight="1" x14ac:dyDescent="0.3">
      <c r="A2981" s="70" t="s">
        <v>1890</v>
      </c>
      <c r="B2981" s="101" t="str">
        <f>" 재 료 비  :   "&amp;TEXT(I2981,"#,##0"&amp;IF(I2981&lt;&gt;INT(I2981),".###",""))&amp;" / Q = "&amp;TEXT(C2981,"#,##0.0")&amp;""</f>
        <v xml:space="preserve"> 재 료 비  :   36,888 / Q = 607.1</v>
      </c>
      <c r="C2981" s="103">
        <f>E2981+D2981+F2981</f>
        <v>607.1</v>
      </c>
      <c r="D2981" s="103">
        <f>IF(H2981=0,0,ROUNDDOWN(J2981*H2981,1))</f>
        <v>0</v>
      </c>
      <c r="E2981" s="103">
        <f>IF(H2981=0,0,ROUNDDOWN(K2981*H2981,1))</f>
        <v>607.1</v>
      </c>
      <c r="F2981" s="103">
        <f>IF(H2981=0,0,ROUNDDOWN(L2981*H2981,1))</f>
        <v>0</v>
      </c>
      <c r="G2981" s="16" t="s">
        <v>1889</v>
      </c>
      <c r="H2981" s="108">
        <v>1.6458196191800001E-2</v>
      </c>
      <c r="I2981" s="109">
        <f>K2981+J2981+L2981</f>
        <v>36888</v>
      </c>
      <c r="K2981" s="39">
        <f>중기목록표!G20</f>
        <v>36888</v>
      </c>
      <c r="M2981" s="20" t="s">
        <v>1888</v>
      </c>
      <c r="N2981" s="20" t="s">
        <v>1345</v>
      </c>
      <c r="X2981" s="110" t="str">
        <f>중기목록표!B20&amp;" / "&amp;중기목록표!C20</f>
        <v>불도우저19ton / (암)</v>
      </c>
      <c r="Y2981" s="19" t="str">
        <f ca="1">HYPERLINK("#"&amp;중기목록표!J2&amp;"!A"&amp;ROW(중기목록표!A20),"중기   17 →")</f>
        <v>중기   17 →</v>
      </c>
    </row>
    <row r="2982" spans="1:25" ht="12.6" customHeight="1" x14ac:dyDescent="0.3">
      <c r="A2982" s="80"/>
      <c r="B2982" s="80"/>
      <c r="C2982" s="80"/>
      <c r="D2982" s="80"/>
      <c r="E2982" s="80"/>
      <c r="F2982" s="80"/>
      <c r="G2982" s="16" t="s">
        <v>1324</v>
      </c>
    </row>
    <row r="2983" spans="1:25" ht="12.6" customHeight="1" x14ac:dyDescent="0.3">
      <c r="A2983" s="70" t="s">
        <v>1892</v>
      </c>
      <c r="B2983" s="101" t="str">
        <f>" 경    비  :   "&amp;TEXT(I2983,"#,##0"&amp;IF(I2983&lt;&gt;INT(I2983),".###",""))&amp;" / Q = "&amp;TEXT(C2983,"#,##0.0")&amp;""</f>
        <v xml:space="preserve"> 경    비  :   38,320 / Q = 630.6</v>
      </c>
      <c r="C2983" s="103">
        <f>E2983+D2983+F2983</f>
        <v>630.6</v>
      </c>
      <c r="D2983" s="103">
        <f>IF(H2983=0,0,ROUNDDOWN(J2983*H2983,1))</f>
        <v>0</v>
      </c>
      <c r="E2983" s="103">
        <f>IF(H2983=0,0,ROUNDDOWN(K2983*H2983,1))</f>
        <v>0</v>
      </c>
      <c r="F2983" s="103">
        <f>IF(H2983=0,0,ROUNDDOWN(L2983*H2983,1))</f>
        <v>630.6</v>
      </c>
      <c r="G2983" s="16" t="s">
        <v>1891</v>
      </c>
      <c r="H2983" s="108">
        <v>1.6458196191800001E-2</v>
      </c>
      <c r="I2983" s="109">
        <f>K2983+J2983+L2983</f>
        <v>38320</v>
      </c>
      <c r="L2983" s="39">
        <f>중기목록표!H20</f>
        <v>38320</v>
      </c>
      <c r="M2983" s="20" t="s">
        <v>1888</v>
      </c>
      <c r="N2983" s="20" t="s">
        <v>1345</v>
      </c>
      <c r="X2983" s="110" t="str">
        <f>중기목록표!B20&amp;" / "&amp;중기목록표!C20</f>
        <v>불도우저19ton / (암)</v>
      </c>
      <c r="Y2983" s="19" t="str">
        <f ca="1">HYPERLINK("#"&amp;중기목록표!J2&amp;"!A"&amp;ROW(중기목록표!A20),"중기   17 →")</f>
        <v>중기   17 →</v>
      </c>
    </row>
    <row r="2984" spans="1:25" ht="12.6" customHeight="1" x14ac:dyDescent="0.3">
      <c r="A2984" s="80"/>
      <c r="B2984" s="80"/>
      <c r="C2984" s="80"/>
      <c r="D2984" s="80"/>
      <c r="E2984" s="80"/>
      <c r="F2984" s="80"/>
      <c r="G2984" s="16" t="s">
        <v>1324</v>
      </c>
    </row>
    <row r="2985" spans="1:25" ht="12.6" customHeight="1" x14ac:dyDescent="0.3">
      <c r="A2985" s="80"/>
      <c r="B2985" s="80"/>
      <c r="C2985" s="80"/>
      <c r="D2985" s="80"/>
      <c r="E2985" s="80"/>
      <c r="F2985" s="80"/>
      <c r="G2985" s="16" t="s">
        <v>1324</v>
      </c>
    </row>
    <row r="2986" spans="1:25" ht="12.6" customHeight="1" x14ac:dyDescent="0.3">
      <c r="A2986" s="70"/>
      <c r="B2986" s="79" t="s">
        <v>1344</v>
      </c>
      <c r="C2986" s="104">
        <f>E2986+D2986+F2986</f>
        <v>2154.4</v>
      </c>
      <c r="D2986" s="104">
        <f>SUMIF(N2954:N2985,M2986,D2954:D2985)</f>
        <v>916.7</v>
      </c>
      <c r="E2986" s="104">
        <f>SUMIF(N2954:N2985,M2986,E2954:E2985)</f>
        <v>607.1</v>
      </c>
      <c r="F2986" s="104">
        <f>SUMIF(N2954:N2985,M2986,F2954:F2985)</f>
        <v>630.6</v>
      </c>
      <c r="G2986" s="16" t="s">
        <v>1343</v>
      </c>
      <c r="M2986" s="20" t="s">
        <v>1345</v>
      </c>
      <c r="N2986" s="20" t="s">
        <v>1129</v>
      </c>
    </row>
    <row r="2987" spans="1:25" ht="12.6" customHeight="1" x14ac:dyDescent="0.3">
      <c r="A2987" s="80"/>
      <c r="B2987" s="80"/>
      <c r="C2987" s="102"/>
      <c r="D2987" s="102"/>
      <c r="E2987" s="102"/>
      <c r="F2987" s="102"/>
    </row>
    <row r="2988" spans="1:25" ht="12.6" customHeight="1" x14ac:dyDescent="0.3">
      <c r="A2988" s="80"/>
      <c r="B2988" s="80"/>
      <c r="C2988" s="80"/>
      <c r="D2988" s="80"/>
      <c r="E2988" s="80"/>
      <c r="F2988" s="80"/>
    </row>
    <row r="2989" spans="1:25" ht="12.6" customHeight="1" x14ac:dyDescent="0.3">
      <c r="A2989" s="80"/>
      <c r="B2989" s="80"/>
      <c r="C2989" s="80"/>
      <c r="D2989" s="80"/>
      <c r="E2989" s="80"/>
      <c r="F2989" s="80"/>
    </row>
    <row r="2990" spans="1:25" ht="12.6" customHeight="1" x14ac:dyDescent="0.3">
      <c r="A2990" s="80"/>
      <c r="B2990" s="80"/>
      <c r="C2990" s="80"/>
      <c r="D2990" s="80"/>
      <c r="E2990" s="80"/>
      <c r="F2990" s="80"/>
    </row>
    <row r="2991" spans="1:25" ht="12.6" customHeight="1" x14ac:dyDescent="0.3">
      <c r="A2991" s="80"/>
      <c r="B2991" s="80"/>
      <c r="C2991" s="80"/>
      <c r="D2991" s="80"/>
      <c r="E2991" s="80"/>
      <c r="F2991" s="80"/>
    </row>
    <row r="2992" spans="1:25" ht="12.6" customHeight="1" x14ac:dyDescent="0.3">
      <c r="A2992" s="80"/>
      <c r="B2992" s="80"/>
      <c r="C2992" s="80"/>
      <c r="D2992" s="80"/>
      <c r="E2992" s="80"/>
      <c r="F2992" s="80"/>
    </row>
    <row r="2993" spans="1:6" ht="12.6" customHeight="1" x14ac:dyDescent="0.3">
      <c r="A2993" s="80"/>
      <c r="B2993" s="80"/>
      <c r="C2993" s="80"/>
      <c r="D2993" s="80"/>
      <c r="E2993" s="80"/>
      <c r="F2993" s="80"/>
    </row>
    <row r="2994" spans="1:6" ht="12.6" customHeight="1" x14ac:dyDescent="0.3">
      <c r="A2994" s="80"/>
      <c r="B2994" s="80"/>
      <c r="C2994" s="80"/>
      <c r="D2994" s="80"/>
      <c r="E2994" s="80"/>
      <c r="F2994" s="80"/>
    </row>
    <row r="2995" spans="1:6" ht="12.6" customHeight="1" x14ac:dyDescent="0.3">
      <c r="A2995" s="80"/>
      <c r="B2995" s="80"/>
      <c r="C2995" s="80"/>
      <c r="D2995" s="80"/>
      <c r="E2995" s="80"/>
      <c r="F2995" s="80"/>
    </row>
    <row r="2996" spans="1:6" ht="12.6" customHeight="1" x14ac:dyDescent="0.3">
      <c r="A2996" s="80"/>
      <c r="B2996" s="80"/>
      <c r="C2996" s="80"/>
      <c r="D2996" s="80"/>
      <c r="E2996" s="80"/>
      <c r="F2996" s="80"/>
    </row>
    <row r="2997" spans="1:6" ht="12.6" customHeight="1" x14ac:dyDescent="0.3">
      <c r="A2997" s="80"/>
      <c r="B2997" s="80"/>
      <c r="C2997" s="80"/>
      <c r="D2997" s="80"/>
      <c r="E2997" s="80"/>
      <c r="F2997" s="80"/>
    </row>
    <row r="2998" spans="1:6" ht="12.6" customHeight="1" x14ac:dyDescent="0.3">
      <c r="A2998" s="80"/>
      <c r="B2998" s="80"/>
      <c r="C2998" s="80"/>
      <c r="D2998" s="80"/>
      <c r="E2998" s="80"/>
      <c r="F2998" s="80"/>
    </row>
    <row r="2999" spans="1:6" ht="12.6" customHeight="1" x14ac:dyDescent="0.3">
      <c r="A2999" s="80"/>
      <c r="B2999" s="80"/>
      <c r="C2999" s="80"/>
      <c r="D2999" s="80"/>
      <c r="E2999" s="80"/>
      <c r="F2999" s="80"/>
    </row>
    <row r="3000" spans="1:6" ht="12.6" customHeight="1" x14ac:dyDescent="0.3">
      <c r="A3000" s="80"/>
      <c r="B3000" s="80"/>
      <c r="C3000" s="80"/>
      <c r="D3000" s="80"/>
      <c r="E3000" s="80"/>
      <c r="F3000" s="80"/>
    </row>
    <row r="3001" spans="1:6" ht="12.6" customHeight="1" x14ac:dyDescent="0.3">
      <c r="A3001" s="80"/>
      <c r="B3001" s="80"/>
      <c r="C3001" s="80"/>
      <c r="D3001" s="80"/>
      <c r="E3001" s="80"/>
      <c r="F3001" s="80"/>
    </row>
    <row r="3002" spans="1:6" ht="12.6" customHeight="1" x14ac:dyDescent="0.3">
      <c r="A3002" s="80"/>
      <c r="B3002" s="80"/>
      <c r="C3002" s="80"/>
      <c r="D3002" s="80"/>
      <c r="E3002" s="80"/>
      <c r="F3002" s="80"/>
    </row>
    <row r="3003" spans="1:6" ht="12.6" customHeight="1" x14ac:dyDescent="0.3">
      <c r="A3003" s="80"/>
      <c r="B3003" s="80"/>
      <c r="C3003" s="80"/>
      <c r="D3003" s="80"/>
      <c r="E3003" s="80"/>
      <c r="F3003" s="80"/>
    </row>
    <row r="3004" spans="1:6" ht="12.6" customHeight="1" x14ac:dyDescent="0.3">
      <c r="A3004" s="80"/>
      <c r="B3004" s="80"/>
      <c r="C3004" s="80"/>
      <c r="D3004" s="80"/>
      <c r="E3004" s="80"/>
      <c r="F3004" s="80"/>
    </row>
    <row r="3005" spans="1:6" ht="12.6" customHeight="1" x14ac:dyDescent="0.3">
      <c r="A3005" s="80"/>
      <c r="B3005" s="80"/>
      <c r="C3005" s="80"/>
      <c r="D3005" s="80"/>
      <c r="E3005" s="80"/>
      <c r="F3005" s="80"/>
    </row>
    <row r="3006" spans="1:6" ht="12.6" customHeight="1" x14ac:dyDescent="0.3">
      <c r="A3006" s="80"/>
      <c r="B3006" s="80"/>
      <c r="C3006" s="80"/>
      <c r="D3006" s="80"/>
      <c r="E3006" s="80"/>
      <c r="F3006" s="80"/>
    </row>
    <row r="3007" spans="1:6" ht="12.6" customHeight="1" x14ac:dyDescent="0.3">
      <c r="A3007" s="80"/>
      <c r="B3007" s="80"/>
      <c r="C3007" s="80"/>
      <c r="D3007" s="80"/>
      <c r="E3007" s="80"/>
      <c r="F3007" s="80"/>
    </row>
    <row r="3008" spans="1:6" ht="12.6" customHeight="1" x14ac:dyDescent="0.3">
      <c r="A3008" s="80"/>
      <c r="B3008" s="80"/>
      <c r="C3008" s="80"/>
      <c r="D3008" s="80"/>
      <c r="E3008" s="80"/>
      <c r="F3008" s="80"/>
    </row>
    <row r="3009" spans="1:14" ht="12.6" customHeight="1" x14ac:dyDescent="0.3">
      <c r="A3009" s="80"/>
      <c r="B3009" s="80"/>
      <c r="C3009" s="80"/>
      <c r="D3009" s="80"/>
      <c r="E3009" s="80"/>
      <c r="F3009" s="80"/>
    </row>
    <row r="3010" spans="1:14" ht="12.6" customHeight="1" x14ac:dyDescent="0.3">
      <c r="A3010" s="80"/>
      <c r="B3010" s="80"/>
      <c r="C3010" s="80"/>
      <c r="D3010" s="80"/>
      <c r="E3010" s="80"/>
      <c r="F3010" s="80"/>
    </row>
    <row r="3011" spans="1:14" ht="12.6" customHeight="1" x14ac:dyDescent="0.3">
      <c r="A3011" s="80"/>
      <c r="B3011" s="80"/>
      <c r="C3011" s="80"/>
      <c r="D3011" s="80"/>
      <c r="E3011" s="80"/>
      <c r="F3011" s="80"/>
    </row>
    <row r="3012" spans="1:14" ht="12.6" customHeight="1" x14ac:dyDescent="0.3">
      <c r="A3012" s="80"/>
      <c r="B3012" s="80"/>
      <c r="C3012" s="80"/>
      <c r="D3012" s="80"/>
      <c r="E3012" s="80"/>
      <c r="F3012" s="80"/>
    </row>
    <row r="3013" spans="1:14" ht="12.6" customHeight="1" x14ac:dyDescent="0.3">
      <c r="A3013" s="80"/>
      <c r="B3013" s="80"/>
      <c r="C3013" s="80"/>
      <c r="D3013" s="80"/>
      <c r="E3013" s="80"/>
      <c r="F3013" s="80"/>
    </row>
    <row r="3014" spans="1:14" ht="12.6" customHeight="1" x14ac:dyDescent="0.3">
      <c r="A3014" s="80"/>
      <c r="B3014" s="80"/>
      <c r="C3014" s="80"/>
      <c r="D3014" s="80"/>
      <c r="E3014" s="80"/>
      <c r="F3014" s="80"/>
    </row>
    <row r="3015" spans="1:14" ht="12.6" customHeight="1" x14ac:dyDescent="0.3">
      <c r="A3015" s="80"/>
      <c r="B3015" s="80"/>
      <c r="C3015" s="80"/>
      <c r="D3015" s="80"/>
      <c r="E3015" s="80"/>
      <c r="F3015" s="80"/>
    </row>
    <row r="3016" spans="1:14" ht="12.6" customHeight="1" x14ac:dyDescent="0.3">
      <c r="A3016" s="80"/>
      <c r="B3016" s="80"/>
      <c r="C3016" s="80"/>
      <c r="D3016" s="80"/>
      <c r="E3016" s="80"/>
      <c r="F3016" s="80"/>
    </row>
    <row r="3017" spans="1:14" ht="12.6" customHeight="1" x14ac:dyDescent="0.3">
      <c r="A3017" s="80"/>
      <c r="B3017" s="80"/>
      <c r="C3017" s="80"/>
      <c r="D3017" s="80"/>
      <c r="E3017" s="80"/>
      <c r="F3017" s="80"/>
    </row>
    <row r="3018" spans="1:14" ht="12.6" customHeight="1" x14ac:dyDescent="0.3">
      <c r="A3018" s="58"/>
      <c r="B3018" s="58"/>
      <c r="C3018" s="58"/>
      <c r="D3018" s="58"/>
      <c r="E3018" s="58"/>
      <c r="F3018" s="58"/>
    </row>
    <row r="3019" spans="1:14" ht="12.6" customHeight="1" x14ac:dyDescent="0.3">
      <c r="A3019" s="141" t="s">
        <v>1171</v>
      </c>
      <c r="B3019" s="142"/>
      <c r="C3019" s="55">
        <f>E3019+D3019+F3019</f>
        <v>2153</v>
      </c>
      <c r="D3019" s="54">
        <f>ROUNDDOWN(SUMIF(N2954:N2986,M3019,D2954:D2986),0)</f>
        <v>916</v>
      </c>
      <c r="E3019" s="63">
        <f>ROUNDDOWN(SUMIF(N2954:N2986,M3019,E2954:E2986),0)</f>
        <v>607</v>
      </c>
      <c r="F3019" s="55">
        <f>ROUNDDOWN(SUMIF(N2954:N2986,M3019,F2954:F2986),0)</f>
        <v>630</v>
      </c>
      <c r="M3019" s="20" t="s">
        <v>1129</v>
      </c>
      <c r="N3019" s="20" t="s">
        <v>1172</v>
      </c>
    </row>
    <row r="3020" spans="1:14" ht="12.6" customHeight="1" x14ac:dyDescent="0.3">
      <c r="A3020" s="141" t="s">
        <v>1173</v>
      </c>
      <c r="B3020" s="142"/>
      <c r="C3020" s="55">
        <f>E3020+D3020+F3020</f>
        <v>1904</v>
      </c>
      <c r="D3020" s="54">
        <f>ROUNDDOWN(D3019*H3020/100,0)</f>
        <v>810</v>
      </c>
      <c r="E3020" s="63">
        <f>ROUNDDOWN(E3019*H3020/100,0)</f>
        <v>537</v>
      </c>
      <c r="F3020" s="55">
        <f>ROUNDDOWN(F3019*H3020/100,0)</f>
        <v>557</v>
      </c>
      <c r="H3020" s="67">
        <v>88.5</v>
      </c>
      <c r="M3020" s="20" t="s">
        <v>1172</v>
      </c>
    </row>
    <row r="3021" spans="1:14" ht="12.6" customHeight="1" x14ac:dyDescent="0.3">
      <c r="A3021" s="99" t="s">
        <v>329</v>
      </c>
      <c r="B3021" s="100" t="s">
        <v>329</v>
      </c>
      <c r="C3021" s="147">
        <f>C3124</f>
        <v>6128</v>
      </c>
      <c r="D3021" s="147">
        <f>D3124</f>
        <v>3907</v>
      </c>
      <c r="E3021" s="147">
        <f>E3124</f>
        <v>731</v>
      </c>
      <c r="F3021" s="147">
        <f>F3124</f>
        <v>1490</v>
      </c>
      <c r="G3021" s="36" t="str">
        <f>HYPERLINK("#G"&amp;ROW(G3100),"_x0005_`BDCOD|D02293_x0007_`POSS|"&amp;ROW(G3023)&amp;"_x0007_`POSE|"&amp;ROW(G3100)&amp;"_x0007_`")</f>
        <v>_x0005_`BDCOD|D02293_x0007_`POSS|3023_x0007_`POSE|3100_x0007_`</v>
      </c>
    </row>
    <row r="3022" spans="1:14" ht="12.6" customHeight="1" x14ac:dyDescent="0.3">
      <c r="A3022" s="85"/>
      <c r="B3022" s="100" t="s">
        <v>328</v>
      </c>
      <c r="C3022" s="137"/>
      <c r="D3022" s="137"/>
      <c r="E3022" s="137"/>
      <c r="F3022" s="137"/>
      <c r="M3022" s="20" t="s">
        <v>327</v>
      </c>
    </row>
    <row r="3023" spans="1:14" ht="12.6" customHeight="1" x14ac:dyDescent="0.3">
      <c r="A3023" s="70"/>
      <c r="B3023" s="79" t="s">
        <v>1894</v>
      </c>
      <c r="C3023" s="102"/>
      <c r="D3023" s="102"/>
      <c r="E3023" s="102"/>
      <c r="F3023" s="102"/>
      <c r="G3023" s="16" t="s">
        <v>1893</v>
      </c>
    </row>
    <row r="3024" spans="1:14" ht="12.6" customHeight="1" x14ac:dyDescent="0.3">
      <c r="A3024" s="80"/>
      <c r="B3024" s="80"/>
      <c r="C3024" s="80"/>
      <c r="D3024" s="80"/>
      <c r="E3024" s="80"/>
      <c r="F3024" s="80"/>
      <c r="G3024" s="16" t="s">
        <v>1324</v>
      </c>
    </row>
    <row r="3025" spans="1:25" ht="12.6" customHeight="1" x14ac:dyDescent="0.3">
      <c r="A3025" s="70"/>
      <c r="B3025" s="79" t="s">
        <v>1896</v>
      </c>
      <c r="C3025" s="80"/>
      <c r="D3025" s="80"/>
      <c r="E3025" s="80"/>
      <c r="F3025" s="80"/>
      <c r="G3025" s="16" t="s">
        <v>1895</v>
      </c>
    </row>
    <row r="3026" spans="1:25" ht="12.6" customHeight="1" x14ac:dyDescent="0.3">
      <c r="A3026" s="80"/>
      <c r="B3026" s="80"/>
      <c r="C3026" s="80"/>
      <c r="D3026" s="80"/>
      <c r="E3026" s="80"/>
      <c r="F3026" s="80"/>
      <c r="G3026" s="16" t="s">
        <v>1324</v>
      </c>
    </row>
    <row r="3027" spans="1:25" ht="12.6" customHeight="1" x14ac:dyDescent="0.3">
      <c r="A3027" s="70"/>
      <c r="B3027" s="79" t="s">
        <v>2405</v>
      </c>
      <c r="C3027" s="80"/>
      <c r="D3027" s="80"/>
      <c r="E3027" s="80"/>
      <c r="F3027" s="80"/>
      <c r="G3027" s="16" t="s">
        <v>2404</v>
      </c>
    </row>
    <row r="3028" spans="1:25" ht="12.6" customHeight="1" x14ac:dyDescent="0.3">
      <c r="A3028" s="80"/>
      <c r="B3028" s="80"/>
      <c r="C3028" s="80"/>
      <c r="D3028" s="80"/>
      <c r="E3028" s="80"/>
      <c r="F3028" s="80"/>
      <c r="G3028" s="16" t="s">
        <v>1324</v>
      </c>
    </row>
    <row r="3029" spans="1:25" ht="12.6" customHeight="1" x14ac:dyDescent="0.3">
      <c r="A3029" s="70"/>
      <c r="B3029" s="79" t="s">
        <v>1900</v>
      </c>
      <c r="C3029" s="80"/>
      <c r="D3029" s="80"/>
      <c r="E3029" s="80"/>
      <c r="F3029" s="80"/>
      <c r="G3029" s="16" t="s">
        <v>1899</v>
      </c>
    </row>
    <row r="3030" spans="1:25" ht="12.6" customHeight="1" x14ac:dyDescent="0.3">
      <c r="A3030" s="80"/>
      <c r="B3030" s="80"/>
      <c r="C3030" s="80"/>
      <c r="D3030" s="80"/>
      <c r="E3030" s="80"/>
      <c r="F3030" s="80"/>
      <c r="G3030" s="16" t="s">
        <v>1324</v>
      </c>
    </row>
    <row r="3031" spans="1:25" ht="12.6" customHeight="1" x14ac:dyDescent="0.3">
      <c r="A3031" s="70"/>
      <c r="B3031" s="79" t="s">
        <v>1902</v>
      </c>
      <c r="C3031" s="80"/>
      <c r="D3031" s="80"/>
      <c r="E3031" s="80"/>
      <c r="F3031" s="80"/>
      <c r="G3031" s="16" t="s">
        <v>1901</v>
      </c>
    </row>
    <row r="3032" spans="1:25" ht="12.6" customHeight="1" x14ac:dyDescent="0.3">
      <c r="A3032" s="80"/>
      <c r="B3032" s="80"/>
      <c r="C3032" s="80"/>
      <c r="D3032" s="80"/>
      <c r="E3032" s="80"/>
      <c r="F3032" s="80"/>
      <c r="G3032" s="16" t="s">
        <v>1324</v>
      </c>
    </row>
    <row r="3033" spans="1:25" ht="12.6" customHeight="1" x14ac:dyDescent="0.3">
      <c r="A3033" s="70"/>
      <c r="B3033" s="79" t="s">
        <v>1904</v>
      </c>
      <c r="C3033" s="80"/>
      <c r="D3033" s="80"/>
      <c r="E3033" s="80"/>
      <c r="F3033" s="80"/>
      <c r="G3033" s="16" t="s">
        <v>1903</v>
      </c>
    </row>
    <row r="3034" spans="1:25" ht="12.6" customHeight="1" x14ac:dyDescent="0.3">
      <c r="A3034" s="80"/>
      <c r="B3034" s="80"/>
      <c r="C3034" s="80"/>
      <c r="D3034" s="80"/>
      <c r="E3034" s="80"/>
      <c r="F3034" s="80"/>
      <c r="G3034" s="16" t="s">
        <v>1324</v>
      </c>
    </row>
    <row r="3035" spans="1:25" ht="12.6" customHeight="1" x14ac:dyDescent="0.3">
      <c r="A3035" s="70"/>
      <c r="B3035" s="79" t="s">
        <v>1906</v>
      </c>
      <c r="C3035" s="80"/>
      <c r="D3035" s="80"/>
      <c r="E3035" s="80"/>
      <c r="F3035" s="80"/>
      <c r="G3035" s="16" t="s">
        <v>1905</v>
      </c>
    </row>
    <row r="3036" spans="1:25" ht="12.6" customHeight="1" x14ac:dyDescent="0.3">
      <c r="A3036" s="80"/>
      <c r="B3036" s="80"/>
      <c r="C3036" s="80"/>
      <c r="D3036" s="80"/>
      <c r="E3036" s="80"/>
      <c r="F3036" s="80"/>
      <c r="G3036" s="16" t="s">
        <v>1324</v>
      </c>
    </row>
    <row r="3037" spans="1:25" ht="12.6" customHeight="1" x14ac:dyDescent="0.3">
      <c r="A3037" s="70"/>
      <c r="B3037" s="79" t="s">
        <v>1908</v>
      </c>
      <c r="C3037" s="80"/>
      <c r="D3037" s="80"/>
      <c r="E3037" s="80"/>
      <c r="F3037" s="80"/>
      <c r="G3037" s="16" t="s">
        <v>1907</v>
      </c>
    </row>
    <row r="3038" spans="1:25" ht="12.6" customHeight="1" x14ac:dyDescent="0.3">
      <c r="A3038" s="80"/>
      <c r="B3038" s="80"/>
      <c r="C3038" s="80"/>
      <c r="D3038" s="80"/>
      <c r="E3038" s="80"/>
      <c r="F3038" s="80"/>
      <c r="G3038" s="16" t="s">
        <v>1324</v>
      </c>
    </row>
    <row r="3039" spans="1:25" ht="12.6" customHeight="1" x14ac:dyDescent="0.3">
      <c r="A3039" s="70" t="s">
        <v>1524</v>
      </c>
      <c r="B3039" s="101" t="str">
        <f>" 노 무 비  :   "&amp;TEXT(I3039,"#,##0"&amp;IF(I3039&lt;&gt;INT(I3039),".###",""))&amp;" / Q  = "&amp;TEXT(C3039,"#,##0.0")&amp;""</f>
        <v xml:space="preserve"> 노 무 비  :   55,700 / Q  = 1,754.3</v>
      </c>
      <c r="C3039" s="103">
        <f>E3039+D3039+F3039</f>
        <v>1754.3</v>
      </c>
      <c r="D3039" s="103">
        <f>IF(H3039=0,0,ROUNDDOWN(J3039*H3039,1))</f>
        <v>1754.3</v>
      </c>
      <c r="E3039" s="103">
        <f>IF(H3039=0,0,ROUNDDOWN(K3039*H3039,1))</f>
        <v>0</v>
      </c>
      <c r="F3039" s="103">
        <f>IF(H3039=0,0,ROUNDDOWN(L3039*H3039,1))</f>
        <v>0</v>
      </c>
      <c r="G3039" s="16" t="s">
        <v>1909</v>
      </c>
      <c r="H3039" s="108">
        <v>3.1496063002200002E-2</v>
      </c>
      <c r="I3039" s="109">
        <f>K3039+J3039+L3039</f>
        <v>55700</v>
      </c>
      <c r="J3039" s="39">
        <f>중기목록표!F7</f>
        <v>55700</v>
      </c>
      <c r="M3039" s="20" t="s">
        <v>1179</v>
      </c>
      <c r="N3039" s="20" t="s">
        <v>1345</v>
      </c>
      <c r="X3039" s="110" t="str">
        <f>중기목록표!B7&amp;" / "&amp;중기목록표!C7</f>
        <v xml:space="preserve">굴삭기(0.7m3) / </v>
      </c>
      <c r="Y3039" s="19" t="str">
        <f ca="1">HYPERLINK("#"&amp;중기목록표!J2&amp;"!A"&amp;ROW(중기목록표!A7),"중기    4 →")</f>
        <v>중기    4 →</v>
      </c>
    </row>
    <row r="3040" spans="1:25" ht="12.6" customHeight="1" x14ac:dyDescent="0.3">
      <c r="A3040" s="80"/>
      <c r="B3040" s="80"/>
      <c r="C3040" s="80"/>
      <c r="D3040" s="80"/>
      <c r="E3040" s="80"/>
      <c r="F3040" s="80"/>
      <c r="G3040" s="16" t="s">
        <v>1324</v>
      </c>
    </row>
    <row r="3041" spans="1:25" ht="12.6" customHeight="1" x14ac:dyDescent="0.3">
      <c r="A3041" s="70" t="s">
        <v>1526</v>
      </c>
      <c r="B3041" s="101" t="str">
        <f>" 재 료 비  :   "&amp;TEXT(I3041,"#,##0"&amp;IF(I3041&lt;&gt;INT(I3041),".###",""))&amp;" / Q  = "&amp;TEXT(C3041,"#,##0.0")&amp;""</f>
        <v xml:space="preserve"> 재 료 비  :   18,001 / Q  = 566.9</v>
      </c>
      <c r="C3041" s="103">
        <f>E3041+D3041+F3041</f>
        <v>566.9</v>
      </c>
      <c r="D3041" s="103">
        <f>IF(H3041=0,0,ROUNDDOWN(J3041*H3041,1))</f>
        <v>0</v>
      </c>
      <c r="E3041" s="103">
        <f>IF(H3041=0,0,ROUNDDOWN(K3041*H3041,1))</f>
        <v>566.9</v>
      </c>
      <c r="F3041" s="103">
        <f>IF(H3041=0,0,ROUNDDOWN(L3041*H3041,1))</f>
        <v>0</v>
      </c>
      <c r="G3041" s="16" t="s">
        <v>1910</v>
      </c>
      <c r="H3041" s="108">
        <v>3.1496063002200002E-2</v>
      </c>
      <c r="I3041" s="109">
        <f>K3041+J3041+L3041</f>
        <v>18001</v>
      </c>
      <c r="K3041" s="39">
        <f>중기목록표!G7</f>
        <v>18001</v>
      </c>
      <c r="M3041" s="20" t="s">
        <v>1179</v>
      </c>
      <c r="N3041" s="20" t="s">
        <v>1345</v>
      </c>
      <c r="X3041" s="110" t="str">
        <f>중기목록표!B7&amp;" / "&amp;중기목록표!C7</f>
        <v xml:space="preserve">굴삭기(0.7m3) / </v>
      </c>
      <c r="Y3041" s="19" t="str">
        <f ca="1">HYPERLINK("#"&amp;중기목록표!J2&amp;"!A"&amp;ROW(중기목록표!A7),"중기    4 →")</f>
        <v>중기    4 →</v>
      </c>
    </row>
    <row r="3042" spans="1:25" ht="12.6" customHeight="1" x14ac:dyDescent="0.3">
      <c r="A3042" s="80"/>
      <c r="B3042" s="80"/>
      <c r="C3042" s="80"/>
      <c r="D3042" s="80"/>
      <c r="E3042" s="80"/>
      <c r="F3042" s="80"/>
      <c r="G3042" s="16" t="s">
        <v>1324</v>
      </c>
    </row>
    <row r="3043" spans="1:25" ht="12.6" customHeight="1" x14ac:dyDescent="0.3">
      <c r="A3043" s="70" t="s">
        <v>1528</v>
      </c>
      <c r="B3043" s="101" t="str">
        <f>" 경    비  :   "&amp;TEXT(I3043,"#,##0"&amp;IF(I3043&lt;&gt;INT(I3043),".###",""))&amp;" / Q  = "&amp;TEXT(C3043,"#,##0.0")&amp;""</f>
        <v xml:space="preserve"> 경    비  :   23,128 / Q  = 728.4</v>
      </c>
      <c r="C3043" s="103">
        <f>E3043+D3043+F3043</f>
        <v>728.4</v>
      </c>
      <c r="D3043" s="103">
        <f>IF(H3043=0,0,ROUNDDOWN(J3043*H3043,1))</f>
        <v>0</v>
      </c>
      <c r="E3043" s="103">
        <f>IF(H3043=0,0,ROUNDDOWN(K3043*H3043,1))</f>
        <v>0</v>
      </c>
      <c r="F3043" s="103">
        <f>IF(H3043=0,0,ROUNDDOWN(L3043*H3043,1))</f>
        <v>728.4</v>
      </c>
      <c r="G3043" s="16" t="s">
        <v>1911</v>
      </c>
      <c r="H3043" s="108">
        <v>3.1496063002200002E-2</v>
      </c>
      <c r="I3043" s="109">
        <f>K3043+J3043+L3043</f>
        <v>23128</v>
      </c>
      <c r="L3043" s="39">
        <f>중기목록표!H7</f>
        <v>23128</v>
      </c>
      <c r="M3043" s="20" t="s">
        <v>1179</v>
      </c>
      <c r="N3043" s="20" t="s">
        <v>1345</v>
      </c>
      <c r="X3043" s="110" t="str">
        <f>중기목록표!B7&amp;" / "&amp;중기목록표!C7</f>
        <v xml:space="preserve">굴삭기(0.7m3) / </v>
      </c>
      <c r="Y3043" s="19" t="str">
        <f ca="1">HYPERLINK("#"&amp;중기목록표!J2&amp;"!A"&amp;ROW(중기목록표!A7),"중기    4 →")</f>
        <v>중기    4 →</v>
      </c>
    </row>
    <row r="3044" spans="1:25" ht="12.6" customHeight="1" x14ac:dyDescent="0.3">
      <c r="A3044" s="80"/>
      <c r="B3044" s="80"/>
      <c r="C3044" s="80"/>
      <c r="D3044" s="80"/>
      <c r="E3044" s="80"/>
      <c r="F3044" s="80"/>
      <c r="G3044" s="16" t="s">
        <v>1324</v>
      </c>
    </row>
    <row r="3045" spans="1:25" ht="12.6" customHeight="1" x14ac:dyDescent="0.3">
      <c r="A3045" s="70"/>
      <c r="B3045" s="79" t="s">
        <v>1344</v>
      </c>
      <c r="C3045" s="104">
        <f>E3045+D3045+F3045</f>
        <v>3049.6</v>
      </c>
      <c r="D3045" s="104">
        <f>SUMIF(N3023:N3044,M3045,D3023:D3044)</f>
        <v>1754.3</v>
      </c>
      <c r="E3045" s="104">
        <f>SUMIF(N3023:N3044,M3045,E3023:E3044)</f>
        <v>566.9</v>
      </c>
      <c r="F3045" s="104">
        <f>SUMIF(N3023:N3044,M3045,F3023:F3044)</f>
        <v>728.4</v>
      </c>
      <c r="G3045" s="16" t="s">
        <v>1343</v>
      </c>
      <c r="M3045" s="20" t="s">
        <v>1345</v>
      </c>
      <c r="N3045" s="20" t="s">
        <v>1368</v>
      </c>
    </row>
    <row r="3046" spans="1:25" ht="12.6" customHeight="1" x14ac:dyDescent="0.3">
      <c r="A3046" s="80"/>
      <c r="B3046" s="80"/>
      <c r="C3046" s="102"/>
      <c r="D3046" s="102"/>
      <c r="E3046" s="102"/>
      <c r="F3046" s="102"/>
      <c r="G3046" s="16" t="s">
        <v>1324</v>
      </c>
    </row>
    <row r="3047" spans="1:25" ht="12.6" customHeight="1" x14ac:dyDescent="0.3">
      <c r="A3047" s="70"/>
      <c r="B3047" s="79" t="s">
        <v>1913</v>
      </c>
      <c r="C3047" s="80"/>
      <c r="D3047" s="80"/>
      <c r="E3047" s="80"/>
      <c r="F3047" s="80"/>
      <c r="G3047" s="16" t="s">
        <v>1912</v>
      </c>
    </row>
    <row r="3048" spans="1:25" ht="12.6" customHeight="1" x14ac:dyDescent="0.3">
      <c r="A3048" s="80"/>
      <c r="B3048" s="80"/>
      <c r="C3048" s="80"/>
      <c r="D3048" s="80"/>
      <c r="E3048" s="80"/>
      <c r="F3048" s="80"/>
      <c r="G3048" s="16" t="s">
        <v>1324</v>
      </c>
    </row>
    <row r="3049" spans="1:25" ht="12.6" customHeight="1" x14ac:dyDescent="0.3">
      <c r="A3049" s="70"/>
      <c r="B3049" s="79" t="s">
        <v>1915</v>
      </c>
      <c r="C3049" s="80"/>
      <c r="D3049" s="80"/>
      <c r="E3049" s="80"/>
      <c r="F3049" s="80"/>
      <c r="G3049" s="16" t="s">
        <v>1914</v>
      </c>
    </row>
    <row r="3050" spans="1:25" ht="12.6" customHeight="1" x14ac:dyDescent="0.3">
      <c r="A3050" s="80"/>
      <c r="B3050" s="80"/>
      <c r="C3050" s="80"/>
      <c r="D3050" s="80"/>
      <c r="E3050" s="80"/>
      <c r="F3050" s="80"/>
      <c r="G3050" s="16" t="s">
        <v>1324</v>
      </c>
    </row>
    <row r="3051" spans="1:25" ht="12.6" customHeight="1" x14ac:dyDescent="0.3">
      <c r="A3051" s="70"/>
      <c r="B3051" s="79" t="s">
        <v>1917</v>
      </c>
      <c r="C3051" s="80"/>
      <c r="D3051" s="80"/>
      <c r="E3051" s="80"/>
      <c r="F3051" s="80"/>
      <c r="G3051" s="16" t="s">
        <v>1916</v>
      </c>
    </row>
    <row r="3052" spans="1:25" ht="12.6" customHeight="1" x14ac:dyDescent="0.3">
      <c r="A3052" s="80"/>
      <c r="B3052" s="80"/>
      <c r="C3052" s="80"/>
      <c r="D3052" s="80"/>
      <c r="E3052" s="80"/>
      <c r="F3052" s="80"/>
      <c r="G3052" s="16" t="s">
        <v>1324</v>
      </c>
    </row>
    <row r="3053" spans="1:25" ht="12.6" customHeight="1" x14ac:dyDescent="0.3">
      <c r="A3053" s="70"/>
      <c r="B3053" s="79" t="s">
        <v>1919</v>
      </c>
      <c r="C3053" s="80"/>
      <c r="D3053" s="80"/>
      <c r="E3053" s="80"/>
      <c r="F3053" s="80"/>
      <c r="G3053" s="16" t="s">
        <v>1918</v>
      </c>
    </row>
    <row r="3054" spans="1:25" ht="12.6" customHeight="1" x14ac:dyDescent="0.3">
      <c r="A3054" s="80"/>
      <c r="B3054" s="80"/>
      <c r="C3054" s="80"/>
      <c r="D3054" s="80"/>
      <c r="E3054" s="80"/>
      <c r="F3054" s="80"/>
      <c r="G3054" s="16" t="s">
        <v>1324</v>
      </c>
    </row>
    <row r="3055" spans="1:25" ht="12.6" customHeight="1" x14ac:dyDescent="0.3">
      <c r="A3055" s="70"/>
      <c r="B3055" s="79" t="s">
        <v>1921</v>
      </c>
      <c r="C3055" s="80"/>
      <c r="D3055" s="80"/>
      <c r="E3055" s="80"/>
      <c r="F3055" s="80"/>
      <c r="G3055" s="16" t="s">
        <v>1920</v>
      </c>
    </row>
    <row r="3056" spans="1:25" ht="12.6" customHeight="1" x14ac:dyDescent="0.3">
      <c r="A3056" s="80"/>
      <c r="B3056" s="80"/>
      <c r="C3056" s="80"/>
      <c r="D3056" s="80"/>
      <c r="E3056" s="80"/>
      <c r="F3056" s="80"/>
      <c r="G3056" s="16" t="s">
        <v>1324</v>
      </c>
    </row>
    <row r="3057" spans="1:7" ht="12.6" customHeight="1" x14ac:dyDescent="0.3">
      <c r="A3057" s="70"/>
      <c r="B3057" s="79" t="s">
        <v>1409</v>
      </c>
      <c r="C3057" s="80"/>
      <c r="D3057" s="80"/>
      <c r="E3057" s="80"/>
      <c r="F3057" s="80"/>
      <c r="G3057" s="16" t="s">
        <v>1922</v>
      </c>
    </row>
    <row r="3058" spans="1:7" ht="12.6" customHeight="1" x14ac:dyDescent="0.3">
      <c r="A3058" s="80"/>
      <c r="B3058" s="80"/>
      <c r="C3058" s="80"/>
      <c r="D3058" s="80"/>
      <c r="E3058" s="80"/>
      <c r="F3058" s="80"/>
      <c r="G3058" s="16" t="s">
        <v>1324</v>
      </c>
    </row>
    <row r="3059" spans="1:7" ht="12.6" customHeight="1" x14ac:dyDescent="0.3">
      <c r="A3059" s="70"/>
      <c r="B3059" s="79" t="s">
        <v>1924</v>
      </c>
      <c r="C3059" s="80"/>
      <c r="D3059" s="80"/>
      <c r="E3059" s="80"/>
      <c r="F3059" s="80"/>
      <c r="G3059" s="16" t="s">
        <v>1923</v>
      </c>
    </row>
    <row r="3060" spans="1:7" ht="12.6" customHeight="1" x14ac:dyDescent="0.3">
      <c r="A3060" s="80"/>
      <c r="B3060" s="80"/>
      <c r="C3060" s="80"/>
      <c r="D3060" s="80"/>
      <c r="E3060" s="80"/>
      <c r="F3060" s="80"/>
      <c r="G3060" s="16" t="s">
        <v>1324</v>
      </c>
    </row>
    <row r="3061" spans="1:7" ht="12.6" customHeight="1" x14ac:dyDescent="0.3">
      <c r="A3061" s="70"/>
      <c r="B3061" s="79" t="s">
        <v>1926</v>
      </c>
      <c r="C3061" s="80"/>
      <c r="D3061" s="80"/>
      <c r="E3061" s="80"/>
      <c r="F3061" s="80"/>
      <c r="G3061" s="16" t="s">
        <v>1925</v>
      </c>
    </row>
    <row r="3062" spans="1:7" ht="12.6" customHeight="1" x14ac:dyDescent="0.3">
      <c r="A3062" s="80"/>
      <c r="B3062" s="80"/>
      <c r="C3062" s="80"/>
      <c r="D3062" s="80"/>
      <c r="E3062" s="80"/>
      <c r="F3062" s="80"/>
      <c r="G3062" s="16" t="s">
        <v>1324</v>
      </c>
    </row>
    <row r="3063" spans="1:7" ht="12.6" customHeight="1" x14ac:dyDescent="0.3">
      <c r="A3063" s="70"/>
      <c r="B3063" s="79" t="s">
        <v>2406</v>
      </c>
      <c r="C3063" s="80"/>
      <c r="D3063" s="80"/>
      <c r="E3063" s="80"/>
      <c r="F3063" s="80"/>
      <c r="G3063" s="16" t="s">
        <v>1927</v>
      </c>
    </row>
    <row r="3064" spans="1:7" ht="12.6" customHeight="1" x14ac:dyDescent="0.3">
      <c r="A3064" s="80"/>
      <c r="B3064" s="80"/>
      <c r="C3064" s="80"/>
      <c r="D3064" s="80"/>
      <c r="E3064" s="80"/>
      <c r="F3064" s="80"/>
      <c r="G3064" s="16" t="s">
        <v>1324</v>
      </c>
    </row>
    <row r="3065" spans="1:7" ht="12.6" customHeight="1" x14ac:dyDescent="0.3">
      <c r="A3065" s="70"/>
      <c r="B3065" s="79" t="s">
        <v>1930</v>
      </c>
      <c r="C3065" s="80"/>
      <c r="D3065" s="80"/>
      <c r="E3065" s="80"/>
      <c r="F3065" s="80"/>
      <c r="G3065" s="16" t="s">
        <v>1929</v>
      </c>
    </row>
    <row r="3066" spans="1:7" ht="12.6" customHeight="1" x14ac:dyDescent="0.3">
      <c r="A3066" s="80"/>
      <c r="B3066" s="80"/>
      <c r="C3066" s="80"/>
      <c r="D3066" s="80"/>
      <c r="E3066" s="80"/>
      <c r="F3066" s="80"/>
      <c r="G3066" s="16" t="s">
        <v>1324</v>
      </c>
    </row>
    <row r="3067" spans="1:7" ht="12.6" customHeight="1" x14ac:dyDescent="0.3">
      <c r="A3067" s="70"/>
      <c r="B3067" s="79" t="s">
        <v>1932</v>
      </c>
      <c r="C3067" s="80"/>
      <c r="D3067" s="80"/>
      <c r="E3067" s="80"/>
      <c r="F3067" s="80"/>
      <c r="G3067" s="16" t="s">
        <v>1931</v>
      </c>
    </row>
    <row r="3068" spans="1:7" ht="12.6" customHeight="1" x14ac:dyDescent="0.3">
      <c r="A3068" s="80"/>
      <c r="B3068" s="80"/>
      <c r="C3068" s="80"/>
      <c r="D3068" s="80"/>
      <c r="E3068" s="80"/>
      <c r="F3068" s="80"/>
      <c r="G3068" s="16" t="s">
        <v>1324</v>
      </c>
    </row>
    <row r="3069" spans="1:7" ht="12.6" customHeight="1" x14ac:dyDescent="0.3">
      <c r="A3069" s="70"/>
      <c r="B3069" s="79" t="s">
        <v>2407</v>
      </c>
      <c r="C3069" s="80"/>
      <c r="D3069" s="80"/>
      <c r="E3069" s="80"/>
      <c r="F3069" s="80"/>
      <c r="G3069" s="16" t="s">
        <v>1933</v>
      </c>
    </row>
    <row r="3070" spans="1:7" ht="12.6" customHeight="1" x14ac:dyDescent="0.3">
      <c r="A3070" s="80"/>
      <c r="B3070" s="80"/>
      <c r="C3070" s="80"/>
      <c r="D3070" s="80"/>
      <c r="E3070" s="80"/>
      <c r="F3070" s="80"/>
      <c r="G3070" s="16" t="s">
        <v>1324</v>
      </c>
    </row>
    <row r="3071" spans="1:7" ht="12.6" customHeight="1" x14ac:dyDescent="0.3">
      <c r="A3071" s="70"/>
      <c r="B3071" s="79" t="s">
        <v>2408</v>
      </c>
      <c r="C3071" s="80"/>
      <c r="D3071" s="80"/>
      <c r="E3071" s="80"/>
      <c r="F3071" s="80"/>
      <c r="G3071" s="16" t="s">
        <v>1935</v>
      </c>
    </row>
    <row r="3072" spans="1:7" ht="12.6" customHeight="1" x14ac:dyDescent="0.3">
      <c r="A3072" s="80"/>
      <c r="B3072" s="80"/>
      <c r="C3072" s="80"/>
      <c r="D3072" s="80"/>
      <c r="E3072" s="80"/>
      <c r="F3072" s="80"/>
      <c r="G3072" s="16" t="s">
        <v>1324</v>
      </c>
    </row>
    <row r="3073" spans="1:25" ht="12.6" customHeight="1" x14ac:dyDescent="0.3">
      <c r="A3073" s="70"/>
      <c r="B3073" s="79" t="s">
        <v>2409</v>
      </c>
      <c r="C3073" s="80"/>
      <c r="D3073" s="80"/>
      <c r="E3073" s="80"/>
      <c r="F3073" s="80"/>
      <c r="G3073" s="16" t="s">
        <v>1937</v>
      </c>
    </row>
    <row r="3074" spans="1:25" ht="12.6" customHeight="1" x14ac:dyDescent="0.3">
      <c r="A3074" s="80"/>
      <c r="B3074" s="80"/>
      <c r="C3074" s="80"/>
      <c r="D3074" s="80"/>
      <c r="E3074" s="80"/>
      <c r="F3074" s="80"/>
      <c r="G3074" s="16" t="s">
        <v>1324</v>
      </c>
    </row>
    <row r="3075" spans="1:25" ht="12.6" customHeight="1" x14ac:dyDescent="0.3">
      <c r="A3075" s="70" t="s">
        <v>1940</v>
      </c>
      <c r="B3075" s="101" t="str">
        <f>" 노 무 비  :   "&amp;TEXT(I3075,"#,##0"&amp;IF(I3075&lt;&gt;INT(I3075),".###",""))&amp;" / Q1  = "&amp;TEXT(C3075,"#,##0.0")&amp;""</f>
        <v xml:space="preserve"> 노 무 비  :   55,700 / Q1  = 2,370.2</v>
      </c>
      <c r="C3075" s="103">
        <f>E3075+D3075+F3075</f>
        <v>2370.1999999999998</v>
      </c>
      <c r="D3075" s="103">
        <f>IF(H3075=0,0,ROUNDDOWN(J3075*H3075,1))</f>
        <v>2370.1999999999998</v>
      </c>
      <c r="E3075" s="103">
        <f>IF(H3075=0,0,ROUNDDOWN(K3075*H3075,1))</f>
        <v>0</v>
      </c>
      <c r="F3075" s="103">
        <f>IF(H3075=0,0,ROUNDDOWN(L3075*H3075,1))</f>
        <v>0</v>
      </c>
      <c r="G3075" s="16" t="s">
        <v>1939</v>
      </c>
      <c r="H3075" s="108">
        <v>4.2553191499500001E-2</v>
      </c>
      <c r="I3075" s="109">
        <f>K3075+J3075+L3075</f>
        <v>55700</v>
      </c>
      <c r="J3075" s="39">
        <f>중기목록표!F11</f>
        <v>55700</v>
      </c>
      <c r="M3075" s="20" t="s">
        <v>1941</v>
      </c>
      <c r="N3075" s="20" t="s">
        <v>1345</v>
      </c>
      <c r="X3075" s="110" t="str">
        <f>중기목록표!B11&amp;" / "&amp;중기목록표!C11</f>
        <v xml:space="preserve">덤프트럭15ton(토사) / </v>
      </c>
      <c r="Y3075" s="19" t="str">
        <f ca="1">HYPERLINK("#"&amp;중기목록표!J2&amp;"!A"&amp;ROW(중기목록표!A11),"중기    8 →")</f>
        <v>중기    8 →</v>
      </c>
    </row>
    <row r="3076" spans="1:25" ht="12.6" customHeight="1" x14ac:dyDescent="0.3">
      <c r="A3076" s="80"/>
      <c r="B3076" s="80"/>
      <c r="C3076" s="80"/>
      <c r="D3076" s="80"/>
      <c r="E3076" s="80"/>
      <c r="F3076" s="80"/>
      <c r="G3076" s="16" t="s">
        <v>1324</v>
      </c>
    </row>
    <row r="3077" spans="1:25" ht="12.6" customHeight="1" x14ac:dyDescent="0.3">
      <c r="A3077" s="70" t="s">
        <v>1943</v>
      </c>
      <c r="B3077" s="101" t="str">
        <f>" 재 료 비  :   "&amp;TEXT(I3077,"#,##0"&amp;IF(I3077&lt;&gt;INT(I3077),".###",""))&amp;" / Q1 * OH = "&amp;TEXT(C3077,"#,##0.0")&amp;""</f>
        <v xml:space="preserve"> 재 료 비  :   27,910 / Q1 * OH = 166.2</v>
      </c>
      <c r="C3077" s="103">
        <f>E3077+D3077+F3077</f>
        <v>166.2</v>
      </c>
      <c r="D3077" s="103">
        <f>IF(H3077=0,0,ROUNDDOWN(J3077*H3077,1))</f>
        <v>0</v>
      </c>
      <c r="E3077" s="103">
        <f>IF(H3077=0,0,ROUNDDOWN(K3077*H3077,1))</f>
        <v>166.2</v>
      </c>
      <c r="F3077" s="103">
        <f>IF(H3077=0,0,ROUNDDOWN(L3077*H3077,1))</f>
        <v>0</v>
      </c>
      <c r="G3077" s="16" t="s">
        <v>1942</v>
      </c>
      <c r="H3077" s="108">
        <v>5.9574468186000002E-3</v>
      </c>
      <c r="I3077" s="109">
        <f>K3077+J3077+L3077</f>
        <v>27910</v>
      </c>
      <c r="K3077" s="39">
        <f>중기목록표!G11</f>
        <v>27910</v>
      </c>
      <c r="M3077" s="20" t="s">
        <v>1941</v>
      </c>
      <c r="N3077" s="20" t="s">
        <v>1345</v>
      </c>
      <c r="X3077" s="110" t="str">
        <f>중기목록표!B11&amp;" / "&amp;중기목록표!C11</f>
        <v xml:space="preserve">덤프트럭15ton(토사) / </v>
      </c>
      <c r="Y3077" s="19" t="str">
        <f ca="1">HYPERLINK("#"&amp;중기목록표!J2&amp;"!A"&amp;ROW(중기목록표!A11),"중기    8 →")</f>
        <v>중기    8 →</v>
      </c>
    </row>
    <row r="3078" spans="1:25" ht="12.6" customHeight="1" x14ac:dyDescent="0.3">
      <c r="A3078" s="80"/>
      <c r="B3078" s="80"/>
      <c r="C3078" s="80"/>
      <c r="D3078" s="80"/>
      <c r="E3078" s="80"/>
      <c r="F3078" s="80"/>
      <c r="G3078" s="16" t="s">
        <v>1324</v>
      </c>
    </row>
    <row r="3079" spans="1:25" ht="12.6" customHeight="1" x14ac:dyDescent="0.3">
      <c r="A3079" s="70" t="s">
        <v>1945</v>
      </c>
      <c r="B3079" s="101" t="str">
        <f>" 경    비  :   "&amp;TEXT(I3079,"#,##0"&amp;IF(I3079&lt;&gt;INT(I3079),".###",""))&amp;" / Q1  = "&amp;TEXT(C3079,"#,##0.0")&amp;""</f>
        <v xml:space="preserve"> 경    비  :   19,631 / Q1  = 835.3</v>
      </c>
      <c r="C3079" s="103">
        <f>E3079+D3079+F3079</f>
        <v>835.3</v>
      </c>
      <c r="D3079" s="103">
        <f>IF(H3079=0,0,ROUNDDOWN(J3079*H3079,1))</f>
        <v>0</v>
      </c>
      <c r="E3079" s="103">
        <f>IF(H3079=0,0,ROUNDDOWN(K3079*H3079,1))</f>
        <v>0</v>
      </c>
      <c r="F3079" s="103">
        <f>IF(H3079=0,0,ROUNDDOWN(L3079*H3079,1))</f>
        <v>835.3</v>
      </c>
      <c r="G3079" s="16" t="s">
        <v>1944</v>
      </c>
      <c r="H3079" s="108">
        <v>4.2553191499500001E-2</v>
      </c>
      <c r="I3079" s="109">
        <f>K3079+J3079+L3079</f>
        <v>19631</v>
      </c>
      <c r="L3079" s="39">
        <f>중기목록표!H11</f>
        <v>19631</v>
      </c>
      <c r="M3079" s="20" t="s">
        <v>1941</v>
      </c>
      <c r="N3079" s="20" t="s">
        <v>1345</v>
      </c>
      <c r="X3079" s="110" t="str">
        <f>중기목록표!B11&amp;" / "&amp;중기목록표!C11</f>
        <v xml:space="preserve">덤프트럭15ton(토사) / </v>
      </c>
      <c r="Y3079" s="19" t="str">
        <f ca="1">HYPERLINK("#"&amp;중기목록표!J2&amp;"!A"&amp;ROW(중기목록표!A11),"중기    8 →")</f>
        <v>중기    8 →</v>
      </c>
    </row>
    <row r="3080" spans="1:25" ht="12.6" customHeight="1" x14ac:dyDescent="0.3">
      <c r="A3080" s="80"/>
      <c r="B3080" s="80"/>
      <c r="C3080" s="80"/>
      <c r="D3080" s="80"/>
      <c r="E3080" s="80"/>
      <c r="F3080" s="80"/>
      <c r="G3080" s="16" t="s">
        <v>1324</v>
      </c>
    </row>
    <row r="3081" spans="1:25" ht="12.6" customHeight="1" x14ac:dyDescent="0.3">
      <c r="A3081" s="70"/>
      <c r="B3081" s="79" t="s">
        <v>1344</v>
      </c>
      <c r="C3081" s="104">
        <f>E3081+D3081+F3081</f>
        <v>3371.7</v>
      </c>
      <c r="D3081" s="104">
        <f>SUMIF(N3046:N3080,M3081,D3046:D3080)</f>
        <v>2370.1999999999998</v>
      </c>
      <c r="E3081" s="104">
        <f>SUMIF(N3046:N3080,M3081,E3046:E3080)</f>
        <v>166.2</v>
      </c>
      <c r="F3081" s="104">
        <f>SUMIF(N3046:N3080,M3081,F3046:F3080)</f>
        <v>835.3</v>
      </c>
      <c r="G3081" s="16" t="s">
        <v>1603</v>
      </c>
      <c r="M3081" s="20" t="s">
        <v>1345</v>
      </c>
      <c r="N3081" s="20" t="s">
        <v>1368</v>
      </c>
    </row>
    <row r="3082" spans="1:25" ht="12.6" customHeight="1" x14ac:dyDescent="0.3">
      <c r="A3082" s="80"/>
      <c r="B3082" s="80"/>
      <c r="C3082" s="102"/>
      <c r="D3082" s="102"/>
      <c r="E3082" s="102"/>
      <c r="F3082" s="102"/>
      <c r="G3082" s="16" t="s">
        <v>1324</v>
      </c>
    </row>
    <row r="3083" spans="1:25" ht="12.6" customHeight="1" x14ac:dyDescent="0.3">
      <c r="A3083" s="80"/>
      <c r="B3083" s="80"/>
      <c r="C3083" s="80"/>
      <c r="D3083" s="80"/>
      <c r="E3083" s="80"/>
      <c r="F3083" s="80"/>
      <c r="G3083" s="16" t="s">
        <v>1324</v>
      </c>
    </row>
    <row r="3084" spans="1:25" ht="12.6" customHeight="1" x14ac:dyDescent="0.3">
      <c r="A3084" s="70"/>
      <c r="B3084" s="79" t="s">
        <v>1947</v>
      </c>
      <c r="C3084" s="80"/>
      <c r="D3084" s="80"/>
      <c r="E3084" s="80"/>
      <c r="F3084" s="80"/>
      <c r="G3084" s="16" t="s">
        <v>1946</v>
      </c>
    </row>
    <row r="3085" spans="1:25" ht="12.6" customHeight="1" x14ac:dyDescent="0.3">
      <c r="A3085" s="80"/>
      <c r="B3085" s="80"/>
      <c r="C3085" s="80"/>
      <c r="D3085" s="80"/>
      <c r="E3085" s="80"/>
      <c r="F3085" s="80"/>
      <c r="G3085" s="16" t="s">
        <v>1324</v>
      </c>
    </row>
    <row r="3086" spans="1:25" ht="12.6" customHeight="1" x14ac:dyDescent="0.3">
      <c r="A3086" s="70"/>
      <c r="B3086" s="79" t="s">
        <v>1949</v>
      </c>
      <c r="C3086" s="80"/>
      <c r="D3086" s="80"/>
      <c r="E3086" s="80"/>
      <c r="F3086" s="80"/>
      <c r="G3086" s="16" t="s">
        <v>1948</v>
      </c>
    </row>
    <row r="3087" spans="1:25" ht="12.6" customHeight="1" x14ac:dyDescent="0.3">
      <c r="A3087" s="80"/>
      <c r="B3087" s="80"/>
      <c r="C3087" s="80"/>
      <c r="D3087" s="80"/>
      <c r="E3087" s="80"/>
      <c r="F3087" s="80"/>
      <c r="G3087" s="16" t="s">
        <v>1324</v>
      </c>
    </row>
    <row r="3088" spans="1:25" ht="12.6" customHeight="1" x14ac:dyDescent="0.3">
      <c r="A3088" s="70"/>
      <c r="B3088" s="79" t="s">
        <v>1951</v>
      </c>
      <c r="C3088" s="80"/>
      <c r="D3088" s="80"/>
      <c r="E3088" s="80"/>
      <c r="F3088" s="80"/>
      <c r="G3088" s="16" t="s">
        <v>1950</v>
      </c>
    </row>
    <row r="3089" spans="1:25" ht="12.6" customHeight="1" x14ac:dyDescent="0.3">
      <c r="A3089" s="80"/>
      <c r="B3089" s="80"/>
      <c r="C3089" s="80"/>
      <c r="D3089" s="80"/>
      <c r="E3089" s="80"/>
      <c r="F3089" s="80"/>
      <c r="G3089" s="16" t="s">
        <v>1324</v>
      </c>
    </row>
    <row r="3090" spans="1:25" ht="12.6" customHeight="1" x14ac:dyDescent="0.3">
      <c r="A3090" s="70"/>
      <c r="B3090" s="79" t="s">
        <v>1953</v>
      </c>
      <c r="C3090" s="80"/>
      <c r="D3090" s="80"/>
      <c r="E3090" s="80"/>
      <c r="F3090" s="80"/>
      <c r="G3090" s="16" t="s">
        <v>1952</v>
      </c>
    </row>
    <row r="3091" spans="1:25" ht="12.6" customHeight="1" x14ac:dyDescent="0.3">
      <c r="A3091" s="80"/>
      <c r="B3091" s="80"/>
      <c r="C3091" s="80"/>
      <c r="D3091" s="80"/>
      <c r="E3091" s="80"/>
      <c r="F3091" s="80"/>
      <c r="G3091" s="16" t="s">
        <v>1324</v>
      </c>
    </row>
    <row r="3092" spans="1:25" ht="12.6" customHeight="1" x14ac:dyDescent="0.3">
      <c r="A3092" s="70" t="s">
        <v>1524</v>
      </c>
      <c r="B3092" s="101" t="str">
        <f>" 노 무 비  :   "&amp;TEXT(I3092,"#,##0"&amp;IF(I3092&lt;&gt;INT(I3092),".###",""))&amp;" / Q / 3 = "&amp;TEXT(C3092,"#,##0.0")&amp;""</f>
        <v xml:space="preserve"> 노 무 비  :   55,700 / Q / 3 = 291.4</v>
      </c>
      <c r="C3092" s="103">
        <f>E3092+D3092+F3092</f>
        <v>291.39999999999998</v>
      </c>
      <c r="D3092" s="103">
        <f>IF(H3092=0,0,ROUNDDOWN(J3092*H3092,1))</f>
        <v>291.39999999999998</v>
      </c>
      <c r="E3092" s="103">
        <f>IF(H3092=0,0,ROUNDDOWN(K3092*H3092,1))</f>
        <v>0</v>
      </c>
      <c r="F3092" s="103">
        <f>IF(H3092=0,0,ROUNDDOWN(L3092*H3092,1))</f>
        <v>0</v>
      </c>
      <c r="G3092" s="16" t="s">
        <v>1954</v>
      </c>
      <c r="H3092" s="108">
        <v>5.2328623858E-3</v>
      </c>
      <c r="I3092" s="109">
        <f>K3092+J3092+L3092</f>
        <v>55700</v>
      </c>
      <c r="J3092" s="39">
        <f>중기목록표!F7</f>
        <v>55700</v>
      </c>
      <c r="M3092" s="20" t="s">
        <v>1179</v>
      </c>
      <c r="N3092" s="20" t="s">
        <v>1345</v>
      </c>
      <c r="X3092" s="110" t="str">
        <f>중기목록표!B7&amp;" / "&amp;중기목록표!C7</f>
        <v xml:space="preserve">굴삭기(0.7m3) / </v>
      </c>
      <c r="Y3092" s="19" t="str">
        <f ca="1">HYPERLINK("#"&amp;중기목록표!J2&amp;"!A"&amp;ROW(중기목록표!A7),"중기    4 →")</f>
        <v>중기    4 →</v>
      </c>
    </row>
    <row r="3093" spans="1:25" ht="12.6" customHeight="1" x14ac:dyDescent="0.3">
      <c r="A3093" s="80"/>
      <c r="B3093" s="80"/>
      <c r="C3093" s="80"/>
      <c r="D3093" s="80"/>
      <c r="E3093" s="80"/>
      <c r="F3093" s="80"/>
      <c r="G3093" s="16" t="s">
        <v>1324</v>
      </c>
    </row>
    <row r="3094" spans="1:25" ht="12.6" customHeight="1" x14ac:dyDescent="0.3">
      <c r="A3094" s="70" t="s">
        <v>1526</v>
      </c>
      <c r="B3094" s="101" t="str">
        <f>" 재 료 비  :   "&amp;TEXT(I3094,"#,##0"&amp;IF(I3094&lt;&gt;INT(I3094),".###",""))&amp;" / Q / 3 = "&amp;TEXT(C3094,"#,##0.0")&amp;""</f>
        <v xml:space="preserve"> 재 료 비  :   18,001 / Q / 3 = 94.1</v>
      </c>
      <c r="C3094" s="103">
        <f>E3094+D3094+F3094</f>
        <v>94.1</v>
      </c>
      <c r="D3094" s="103">
        <f>IF(H3094=0,0,ROUNDDOWN(J3094*H3094,1))</f>
        <v>0</v>
      </c>
      <c r="E3094" s="103">
        <f>IF(H3094=0,0,ROUNDDOWN(K3094*H3094,1))</f>
        <v>94.1</v>
      </c>
      <c r="F3094" s="103">
        <f>IF(H3094=0,0,ROUNDDOWN(L3094*H3094,1))</f>
        <v>0</v>
      </c>
      <c r="G3094" s="16" t="s">
        <v>1955</v>
      </c>
      <c r="H3094" s="108">
        <v>5.2328623858E-3</v>
      </c>
      <c r="I3094" s="109">
        <f>K3094+J3094+L3094</f>
        <v>18001</v>
      </c>
      <c r="K3094" s="39">
        <f>중기목록표!G7</f>
        <v>18001</v>
      </c>
      <c r="M3094" s="20" t="s">
        <v>1179</v>
      </c>
      <c r="N3094" s="20" t="s">
        <v>1345</v>
      </c>
      <c r="X3094" s="110" t="str">
        <f>중기목록표!B7&amp;" / "&amp;중기목록표!C7</f>
        <v xml:space="preserve">굴삭기(0.7m3) / </v>
      </c>
      <c r="Y3094" s="19" t="str">
        <f ca="1">HYPERLINK("#"&amp;중기목록표!J2&amp;"!A"&amp;ROW(중기목록표!A7),"중기    4 →")</f>
        <v>중기    4 →</v>
      </c>
    </row>
    <row r="3095" spans="1:25" ht="12.6" customHeight="1" x14ac:dyDescent="0.3">
      <c r="A3095" s="80"/>
      <c r="B3095" s="80"/>
      <c r="C3095" s="80"/>
      <c r="D3095" s="80"/>
      <c r="E3095" s="80"/>
      <c r="F3095" s="80"/>
      <c r="G3095" s="16" t="s">
        <v>1324</v>
      </c>
    </row>
    <row r="3096" spans="1:25" ht="12.6" customHeight="1" x14ac:dyDescent="0.3">
      <c r="A3096" s="70" t="s">
        <v>1528</v>
      </c>
      <c r="B3096" s="101" t="str">
        <f>" 경    비  :   "&amp;TEXT(I3096,"#,##0"&amp;IF(I3096&lt;&gt;INT(I3096),".###",""))&amp;" / Q / 3 = "&amp;TEXT(C3096,"#,##0.0")&amp;""</f>
        <v xml:space="preserve"> 경    비  :   23,128 / Q / 3 = 121.0</v>
      </c>
      <c r="C3096" s="103">
        <f>E3096+D3096+F3096</f>
        <v>121</v>
      </c>
      <c r="D3096" s="103">
        <f>IF(H3096=0,0,ROUNDDOWN(J3096*H3096,1))</f>
        <v>0</v>
      </c>
      <c r="E3096" s="103">
        <f>IF(H3096=0,0,ROUNDDOWN(K3096*H3096,1))</f>
        <v>0</v>
      </c>
      <c r="F3096" s="103">
        <f>IF(H3096=0,0,ROUNDDOWN(L3096*H3096,1))</f>
        <v>121</v>
      </c>
      <c r="G3096" s="16" t="s">
        <v>1956</v>
      </c>
      <c r="H3096" s="108">
        <v>5.2328623858E-3</v>
      </c>
      <c r="I3096" s="109">
        <f>K3096+J3096+L3096</f>
        <v>23128</v>
      </c>
      <c r="L3096" s="39">
        <f>중기목록표!H7</f>
        <v>23128</v>
      </c>
      <c r="M3096" s="20" t="s">
        <v>1179</v>
      </c>
      <c r="N3096" s="20" t="s">
        <v>1345</v>
      </c>
      <c r="X3096" s="110" t="str">
        <f>중기목록표!B7&amp;" / "&amp;중기목록표!C7</f>
        <v xml:space="preserve">굴삭기(0.7m3) / </v>
      </c>
      <c r="Y3096" s="19" t="str">
        <f ca="1">HYPERLINK("#"&amp;중기목록표!J2&amp;"!A"&amp;ROW(중기목록표!A7),"중기    4 →")</f>
        <v>중기    4 →</v>
      </c>
    </row>
    <row r="3097" spans="1:25" ht="12.6" customHeight="1" x14ac:dyDescent="0.3">
      <c r="A3097" s="80"/>
      <c r="B3097" s="80"/>
      <c r="C3097" s="80"/>
      <c r="D3097" s="80"/>
      <c r="E3097" s="80"/>
      <c r="F3097" s="80"/>
      <c r="G3097" s="16" t="s">
        <v>1324</v>
      </c>
    </row>
    <row r="3098" spans="1:25" ht="12.6" customHeight="1" x14ac:dyDescent="0.3">
      <c r="A3098" s="70"/>
      <c r="B3098" s="79" t="s">
        <v>1344</v>
      </c>
      <c r="C3098" s="104">
        <f>E3098+D3098+F3098</f>
        <v>506.5</v>
      </c>
      <c r="D3098" s="104">
        <f>SUMIF(N3082:N3097,M3098,D3082:D3097)</f>
        <v>291.39999999999998</v>
      </c>
      <c r="E3098" s="104">
        <f>SUMIF(N3082:N3097,M3098,E3082:E3097)</f>
        <v>94.1</v>
      </c>
      <c r="F3098" s="104">
        <f>SUMIF(N3082:N3097,M3098,F3082:F3097)</f>
        <v>121</v>
      </c>
      <c r="G3098" s="16" t="s">
        <v>1343</v>
      </c>
      <c r="M3098" s="20" t="s">
        <v>1345</v>
      </c>
      <c r="N3098" s="20" t="s">
        <v>1368</v>
      </c>
    </row>
    <row r="3099" spans="1:25" ht="12.6" customHeight="1" x14ac:dyDescent="0.3">
      <c r="A3099" s="80"/>
      <c r="B3099" s="80"/>
      <c r="C3099" s="102"/>
      <c r="D3099" s="102"/>
      <c r="E3099" s="102"/>
      <c r="F3099" s="102"/>
      <c r="G3099" s="16" t="s">
        <v>1324</v>
      </c>
    </row>
    <row r="3100" spans="1:25" ht="12.6" customHeight="1" x14ac:dyDescent="0.3">
      <c r="A3100" s="70"/>
      <c r="B3100" s="79" t="s">
        <v>1171</v>
      </c>
      <c r="C3100" s="104">
        <f>E3100+D3100+F3100</f>
        <v>6927.7999999999993</v>
      </c>
      <c r="D3100" s="104">
        <f>SUMIF(N3023:N3099,M3100,D3023:D3099)</f>
        <v>4415.8999999999996</v>
      </c>
      <c r="E3100" s="104">
        <f>SUMIF(N3023:N3099,M3100,E3023:E3099)</f>
        <v>827.19999999999993</v>
      </c>
      <c r="F3100" s="104">
        <f>SUMIF(N3023:N3099,M3100,F3023:F3099)</f>
        <v>1684.6999999999998</v>
      </c>
      <c r="G3100" s="16" t="s">
        <v>1367</v>
      </c>
      <c r="M3100" s="20" t="s">
        <v>1368</v>
      </c>
      <c r="N3100" s="20" t="s">
        <v>1129</v>
      </c>
    </row>
    <row r="3101" spans="1:25" ht="12.6" customHeight="1" x14ac:dyDescent="0.3">
      <c r="A3101" s="80"/>
      <c r="B3101" s="80"/>
      <c r="C3101" s="102"/>
      <c r="D3101" s="102"/>
      <c r="E3101" s="102"/>
      <c r="F3101" s="102"/>
    </row>
    <row r="3102" spans="1:25" ht="12.6" customHeight="1" x14ac:dyDescent="0.3">
      <c r="A3102" s="80"/>
      <c r="B3102" s="80"/>
      <c r="C3102" s="80"/>
      <c r="D3102" s="80"/>
      <c r="E3102" s="80"/>
      <c r="F3102" s="80"/>
    </row>
    <row r="3103" spans="1:25" ht="12.6" customHeight="1" x14ac:dyDescent="0.3">
      <c r="A3103" s="80"/>
      <c r="B3103" s="80"/>
      <c r="C3103" s="80"/>
      <c r="D3103" s="80"/>
      <c r="E3103" s="80"/>
      <c r="F3103" s="80"/>
    </row>
    <row r="3104" spans="1:25" ht="12.6" customHeight="1" x14ac:dyDescent="0.3">
      <c r="A3104" s="80"/>
      <c r="B3104" s="80"/>
      <c r="C3104" s="80"/>
      <c r="D3104" s="80"/>
      <c r="E3104" s="80"/>
      <c r="F3104" s="80"/>
    </row>
    <row r="3105" spans="1:6" ht="12.6" customHeight="1" x14ac:dyDescent="0.3">
      <c r="A3105" s="80"/>
      <c r="B3105" s="80"/>
      <c r="C3105" s="80"/>
      <c r="D3105" s="80"/>
      <c r="E3105" s="80"/>
      <c r="F3105" s="80"/>
    </row>
    <row r="3106" spans="1:6" ht="12.6" customHeight="1" x14ac:dyDescent="0.3">
      <c r="A3106" s="80"/>
      <c r="B3106" s="80"/>
      <c r="C3106" s="80"/>
      <c r="D3106" s="80"/>
      <c r="E3106" s="80"/>
      <c r="F3106" s="80"/>
    </row>
    <row r="3107" spans="1:6" ht="12.6" customHeight="1" x14ac:dyDescent="0.3">
      <c r="A3107" s="80"/>
      <c r="B3107" s="80"/>
      <c r="C3107" s="80"/>
      <c r="D3107" s="80"/>
      <c r="E3107" s="80"/>
      <c r="F3107" s="80"/>
    </row>
    <row r="3108" spans="1:6" ht="12.6" customHeight="1" x14ac:dyDescent="0.3">
      <c r="A3108" s="80"/>
      <c r="B3108" s="80"/>
      <c r="C3108" s="80"/>
      <c r="D3108" s="80"/>
      <c r="E3108" s="80"/>
      <c r="F3108" s="80"/>
    </row>
    <row r="3109" spans="1:6" ht="12.6" customHeight="1" x14ac:dyDescent="0.3">
      <c r="A3109" s="80"/>
      <c r="B3109" s="80"/>
      <c r="C3109" s="80"/>
      <c r="D3109" s="80"/>
      <c r="E3109" s="80"/>
      <c r="F3109" s="80"/>
    </row>
    <row r="3110" spans="1:6" ht="12.6" customHeight="1" x14ac:dyDescent="0.3">
      <c r="A3110" s="80"/>
      <c r="B3110" s="80"/>
      <c r="C3110" s="80"/>
      <c r="D3110" s="80"/>
      <c r="E3110" s="80"/>
      <c r="F3110" s="80"/>
    </row>
    <row r="3111" spans="1:6" ht="12.6" customHeight="1" x14ac:dyDescent="0.3">
      <c r="A3111" s="80"/>
      <c r="B3111" s="80"/>
      <c r="C3111" s="80"/>
      <c r="D3111" s="80"/>
      <c r="E3111" s="80"/>
      <c r="F3111" s="80"/>
    </row>
    <row r="3112" spans="1:6" ht="12.6" customHeight="1" x14ac:dyDescent="0.3">
      <c r="A3112" s="80"/>
      <c r="B3112" s="80"/>
      <c r="C3112" s="80"/>
      <c r="D3112" s="80"/>
      <c r="E3112" s="80"/>
      <c r="F3112" s="80"/>
    </row>
    <row r="3113" spans="1:6" ht="12.6" customHeight="1" x14ac:dyDescent="0.3">
      <c r="A3113" s="80"/>
      <c r="B3113" s="80"/>
      <c r="C3113" s="80"/>
      <c r="D3113" s="80"/>
      <c r="E3113" s="80"/>
      <c r="F3113" s="80"/>
    </row>
    <row r="3114" spans="1:6" ht="12.6" customHeight="1" x14ac:dyDescent="0.3">
      <c r="A3114" s="80"/>
      <c r="B3114" s="80"/>
      <c r="C3114" s="80"/>
      <c r="D3114" s="80"/>
      <c r="E3114" s="80"/>
      <c r="F3114" s="80"/>
    </row>
    <row r="3115" spans="1:6" ht="12.6" customHeight="1" x14ac:dyDescent="0.3">
      <c r="A3115" s="80"/>
      <c r="B3115" s="80"/>
      <c r="C3115" s="80"/>
      <c r="D3115" s="80"/>
      <c r="E3115" s="80"/>
      <c r="F3115" s="80"/>
    </row>
    <row r="3116" spans="1:6" ht="12.6" customHeight="1" x14ac:dyDescent="0.3">
      <c r="A3116" s="80"/>
      <c r="B3116" s="80"/>
      <c r="C3116" s="80"/>
      <c r="D3116" s="80"/>
      <c r="E3116" s="80"/>
      <c r="F3116" s="80"/>
    </row>
    <row r="3117" spans="1:6" ht="12.6" customHeight="1" x14ac:dyDescent="0.3">
      <c r="A3117" s="80"/>
      <c r="B3117" s="80"/>
      <c r="C3117" s="80"/>
      <c r="D3117" s="80"/>
      <c r="E3117" s="80"/>
      <c r="F3117" s="80"/>
    </row>
    <row r="3118" spans="1:6" ht="12.6" customHeight="1" x14ac:dyDescent="0.3">
      <c r="A3118" s="80"/>
      <c r="B3118" s="80"/>
      <c r="C3118" s="80"/>
      <c r="D3118" s="80"/>
      <c r="E3118" s="80"/>
      <c r="F3118" s="80"/>
    </row>
    <row r="3119" spans="1:6" ht="12.6" customHeight="1" x14ac:dyDescent="0.3">
      <c r="A3119" s="80"/>
      <c r="B3119" s="80"/>
      <c r="C3119" s="80"/>
      <c r="D3119" s="80"/>
      <c r="E3119" s="80"/>
      <c r="F3119" s="80"/>
    </row>
    <row r="3120" spans="1:6" ht="12.6" customHeight="1" x14ac:dyDescent="0.3">
      <c r="A3120" s="80"/>
      <c r="B3120" s="80"/>
      <c r="C3120" s="80"/>
      <c r="D3120" s="80"/>
      <c r="E3120" s="80"/>
      <c r="F3120" s="80"/>
    </row>
    <row r="3121" spans="1:14" ht="12.6" customHeight="1" x14ac:dyDescent="0.3">
      <c r="A3121" s="80"/>
      <c r="B3121" s="80"/>
      <c r="C3121" s="80"/>
      <c r="D3121" s="80"/>
      <c r="E3121" s="80"/>
      <c r="F3121" s="80"/>
    </row>
    <row r="3122" spans="1:14" ht="12.6" customHeight="1" x14ac:dyDescent="0.3">
      <c r="A3122" s="58"/>
      <c r="B3122" s="58"/>
      <c r="C3122" s="58"/>
      <c r="D3122" s="58"/>
      <c r="E3122" s="58"/>
      <c r="F3122" s="58"/>
    </row>
    <row r="3123" spans="1:14" ht="12.6" customHeight="1" x14ac:dyDescent="0.3">
      <c r="A3123" s="141" t="s">
        <v>1171</v>
      </c>
      <c r="B3123" s="142"/>
      <c r="C3123" s="55">
        <f>E3123+D3123+F3123</f>
        <v>6926</v>
      </c>
      <c r="D3123" s="54">
        <f>ROUNDDOWN(SUMIF(N3023:N3100,M3123,D3023:D3100),0)</f>
        <v>4415</v>
      </c>
      <c r="E3123" s="63">
        <f>ROUNDDOWN(SUMIF(N3023:N3100,M3123,E3023:E3100),0)</f>
        <v>827</v>
      </c>
      <c r="F3123" s="55">
        <f>ROUNDDOWN(SUMIF(N3023:N3100,M3123,F3023:F3100),0)</f>
        <v>1684</v>
      </c>
      <c r="M3123" s="20" t="s">
        <v>1129</v>
      </c>
      <c r="N3123" s="20" t="s">
        <v>1172</v>
      </c>
    </row>
    <row r="3124" spans="1:14" ht="12.6" customHeight="1" x14ac:dyDescent="0.3">
      <c r="A3124" s="141" t="s">
        <v>1173</v>
      </c>
      <c r="B3124" s="142"/>
      <c r="C3124" s="55">
        <f>E3124+D3124+F3124</f>
        <v>6128</v>
      </c>
      <c r="D3124" s="54">
        <f>ROUNDDOWN(D3123*H3124/100,0)</f>
        <v>3907</v>
      </c>
      <c r="E3124" s="63">
        <f>ROUNDDOWN(E3123*H3124/100,0)</f>
        <v>731</v>
      </c>
      <c r="F3124" s="55">
        <f>ROUNDDOWN(F3123*H3124/100,0)</f>
        <v>1490</v>
      </c>
      <c r="H3124" s="67">
        <v>88.5</v>
      </c>
      <c r="M3124" s="20" t="s">
        <v>1172</v>
      </c>
    </row>
    <row r="3125" spans="1:14" ht="12.6" customHeight="1" x14ac:dyDescent="0.3">
      <c r="A3125" s="99" t="s">
        <v>333</v>
      </c>
      <c r="B3125" s="100" t="s">
        <v>333</v>
      </c>
      <c r="C3125" s="147">
        <f>C3263</f>
        <v>6924</v>
      </c>
      <c r="D3125" s="147">
        <f>D3263</f>
        <v>4429</v>
      </c>
      <c r="E3125" s="147">
        <f>E3263</f>
        <v>798</v>
      </c>
      <c r="F3125" s="147">
        <f>F3263</f>
        <v>1697</v>
      </c>
      <c r="G3125" s="36" t="str">
        <f>HYPERLINK("#G"&amp;ROW(G3233),"_x0005_`BDCOD|D02294_x0007_`POSS|"&amp;ROW(G3127)&amp;"_x0007_`POSE|"&amp;ROW(G3233)&amp;"_x0007_`")</f>
        <v>_x0005_`BDCOD|D02294_x0007_`POSS|3127_x0007_`POSE|3233_x0007_`</v>
      </c>
    </row>
    <row r="3126" spans="1:14" ht="12.6" customHeight="1" x14ac:dyDescent="0.3">
      <c r="A3126" s="85"/>
      <c r="B3126" s="100" t="s">
        <v>332</v>
      </c>
      <c r="C3126" s="137"/>
      <c r="D3126" s="137"/>
      <c r="E3126" s="137"/>
      <c r="F3126" s="137"/>
      <c r="M3126" s="20" t="s">
        <v>331</v>
      </c>
    </row>
    <row r="3127" spans="1:14" ht="12.6" customHeight="1" x14ac:dyDescent="0.3">
      <c r="A3127" s="70"/>
      <c r="B3127" s="79" t="s">
        <v>1894</v>
      </c>
      <c r="C3127" s="102"/>
      <c r="D3127" s="102"/>
      <c r="E3127" s="102"/>
      <c r="F3127" s="102"/>
      <c r="G3127" s="16" t="s">
        <v>1893</v>
      </c>
    </row>
    <row r="3128" spans="1:14" ht="12.6" customHeight="1" x14ac:dyDescent="0.3">
      <c r="A3128" s="80"/>
      <c r="B3128" s="80"/>
      <c r="C3128" s="80"/>
      <c r="D3128" s="80"/>
      <c r="E3128" s="80"/>
      <c r="F3128" s="80"/>
      <c r="G3128" s="16" t="s">
        <v>1324</v>
      </c>
    </row>
    <row r="3129" spans="1:14" ht="12.6" customHeight="1" x14ac:dyDescent="0.3">
      <c r="A3129" s="70"/>
      <c r="B3129" s="79" t="s">
        <v>1896</v>
      </c>
      <c r="C3129" s="80"/>
      <c r="D3129" s="80"/>
      <c r="E3129" s="80"/>
      <c r="F3129" s="80"/>
      <c r="G3129" s="16" t="s">
        <v>1895</v>
      </c>
    </row>
    <row r="3130" spans="1:14" ht="12.6" customHeight="1" x14ac:dyDescent="0.3">
      <c r="A3130" s="80"/>
      <c r="B3130" s="80"/>
      <c r="C3130" s="80"/>
      <c r="D3130" s="80"/>
      <c r="E3130" s="80"/>
      <c r="F3130" s="80"/>
      <c r="G3130" s="16" t="s">
        <v>1324</v>
      </c>
    </row>
    <row r="3131" spans="1:14" ht="12.6" customHeight="1" x14ac:dyDescent="0.3">
      <c r="A3131" s="70"/>
      <c r="B3131" s="79" t="s">
        <v>2405</v>
      </c>
      <c r="C3131" s="80"/>
      <c r="D3131" s="80"/>
      <c r="E3131" s="80"/>
      <c r="F3131" s="80"/>
      <c r="G3131" s="16" t="s">
        <v>2404</v>
      </c>
    </row>
    <row r="3132" spans="1:14" ht="12.6" customHeight="1" x14ac:dyDescent="0.3">
      <c r="A3132" s="80"/>
      <c r="B3132" s="80"/>
      <c r="C3132" s="80"/>
      <c r="D3132" s="80"/>
      <c r="E3132" s="80"/>
      <c r="F3132" s="80"/>
      <c r="G3132" s="16" t="s">
        <v>1324</v>
      </c>
    </row>
    <row r="3133" spans="1:14" ht="12.6" customHeight="1" x14ac:dyDescent="0.3">
      <c r="A3133" s="70"/>
      <c r="B3133" s="79" t="s">
        <v>1900</v>
      </c>
      <c r="C3133" s="80"/>
      <c r="D3133" s="80"/>
      <c r="E3133" s="80"/>
      <c r="F3133" s="80"/>
      <c r="G3133" s="16" t="s">
        <v>1899</v>
      </c>
    </row>
    <row r="3134" spans="1:14" ht="12.6" customHeight="1" x14ac:dyDescent="0.3">
      <c r="A3134" s="80"/>
      <c r="B3134" s="80"/>
      <c r="C3134" s="80"/>
      <c r="D3134" s="80"/>
      <c r="E3134" s="80"/>
      <c r="F3134" s="80"/>
      <c r="G3134" s="16" t="s">
        <v>1324</v>
      </c>
    </row>
    <row r="3135" spans="1:14" ht="12.6" customHeight="1" x14ac:dyDescent="0.3">
      <c r="A3135" s="70"/>
      <c r="B3135" s="79" t="s">
        <v>1960</v>
      </c>
      <c r="C3135" s="80"/>
      <c r="D3135" s="80"/>
      <c r="E3135" s="80"/>
      <c r="F3135" s="80"/>
      <c r="G3135" s="16" t="s">
        <v>1959</v>
      </c>
    </row>
    <row r="3136" spans="1:14" ht="12.6" customHeight="1" x14ac:dyDescent="0.3">
      <c r="A3136" s="80"/>
      <c r="B3136" s="80"/>
      <c r="C3136" s="80"/>
      <c r="D3136" s="80"/>
      <c r="E3136" s="80"/>
      <c r="F3136" s="80"/>
      <c r="G3136" s="16" t="s">
        <v>1324</v>
      </c>
    </row>
    <row r="3137" spans="1:25" ht="12.6" customHeight="1" x14ac:dyDescent="0.3">
      <c r="A3137" s="70"/>
      <c r="B3137" s="79" t="s">
        <v>1962</v>
      </c>
      <c r="C3137" s="80"/>
      <c r="D3137" s="80"/>
      <c r="E3137" s="80"/>
      <c r="F3137" s="80"/>
      <c r="G3137" s="16" t="s">
        <v>1961</v>
      </c>
    </row>
    <row r="3138" spans="1:25" ht="12.6" customHeight="1" x14ac:dyDescent="0.3">
      <c r="A3138" s="80"/>
      <c r="B3138" s="80"/>
      <c r="C3138" s="80"/>
      <c r="D3138" s="80"/>
      <c r="E3138" s="80"/>
      <c r="F3138" s="80"/>
      <c r="G3138" s="16" t="s">
        <v>1324</v>
      </c>
    </row>
    <row r="3139" spans="1:25" ht="12.6" customHeight="1" x14ac:dyDescent="0.3">
      <c r="A3139" s="70"/>
      <c r="B3139" s="79" t="s">
        <v>1964</v>
      </c>
      <c r="C3139" s="80"/>
      <c r="D3139" s="80"/>
      <c r="E3139" s="80"/>
      <c r="F3139" s="80"/>
      <c r="G3139" s="16" t="s">
        <v>1963</v>
      </c>
    </row>
    <row r="3140" spans="1:25" ht="12.6" customHeight="1" x14ac:dyDescent="0.3">
      <c r="A3140" s="80"/>
      <c r="B3140" s="80"/>
      <c r="C3140" s="80"/>
      <c r="D3140" s="80"/>
      <c r="E3140" s="80"/>
      <c r="F3140" s="80"/>
      <c r="G3140" s="16" t="s">
        <v>1324</v>
      </c>
    </row>
    <row r="3141" spans="1:25" ht="12.6" customHeight="1" x14ac:dyDescent="0.3">
      <c r="A3141" s="70"/>
      <c r="B3141" s="79" t="s">
        <v>1965</v>
      </c>
      <c r="C3141" s="80"/>
      <c r="D3141" s="80"/>
      <c r="E3141" s="80"/>
      <c r="F3141" s="80"/>
      <c r="G3141" s="16" t="s">
        <v>1952</v>
      </c>
    </row>
    <row r="3142" spans="1:25" ht="12.6" customHeight="1" x14ac:dyDescent="0.3">
      <c r="A3142" s="80"/>
      <c r="B3142" s="80"/>
      <c r="C3142" s="80"/>
      <c r="D3142" s="80"/>
      <c r="E3142" s="80"/>
      <c r="F3142" s="80"/>
      <c r="G3142" s="16" t="s">
        <v>1324</v>
      </c>
    </row>
    <row r="3143" spans="1:25" ht="12.6" customHeight="1" x14ac:dyDescent="0.3">
      <c r="A3143" s="70" t="s">
        <v>1394</v>
      </c>
      <c r="B3143" s="101" t="str">
        <f>" 노 무 비  :  "&amp;TEXT(I3143,"#,##0"&amp;IF(I3143&lt;&gt;INT(I3143),".###",""))&amp;" / Q  = "&amp;TEXT(C3143,"#,##0.0")&amp;""</f>
        <v xml:space="preserve"> 노 무 비  :  55,700 / Q  = 2,178.3</v>
      </c>
      <c r="C3143" s="103">
        <f>E3143+D3143+F3143</f>
        <v>2178.3000000000002</v>
      </c>
      <c r="D3143" s="103">
        <f>IF(H3143=0,0,ROUNDDOWN(J3143*H3143,1))</f>
        <v>2178.3000000000002</v>
      </c>
      <c r="E3143" s="103">
        <f>IF(H3143=0,0,ROUNDDOWN(K3143*H3143,1))</f>
        <v>0</v>
      </c>
      <c r="F3143" s="103">
        <f>IF(H3143=0,0,ROUNDDOWN(L3143*H3143,1))</f>
        <v>0</v>
      </c>
      <c r="G3143" s="16" t="s">
        <v>1966</v>
      </c>
      <c r="H3143" s="108">
        <v>3.9108330084399998E-2</v>
      </c>
      <c r="I3143" s="109">
        <f>K3143+J3143+L3143</f>
        <v>55700</v>
      </c>
      <c r="J3143" s="39">
        <f>중기목록표!F9</f>
        <v>55700</v>
      </c>
      <c r="M3143" s="20" t="s">
        <v>1395</v>
      </c>
      <c r="N3143" s="20" t="s">
        <v>1345</v>
      </c>
      <c r="X3143" s="110" t="str">
        <f>중기목록표!B9&amp;" / "&amp;중기목록표!C9</f>
        <v>굴삭기(0.7m3) / 0.7㎥,(암석)</v>
      </c>
      <c r="Y3143" s="19" t="str">
        <f ca="1">HYPERLINK("#"&amp;중기목록표!J2&amp;"!A"&amp;ROW(중기목록표!A9),"중기    6 →")</f>
        <v>중기    6 →</v>
      </c>
    </row>
    <row r="3144" spans="1:25" ht="12.6" customHeight="1" x14ac:dyDescent="0.3">
      <c r="A3144" s="80"/>
      <c r="B3144" s="80"/>
      <c r="C3144" s="80"/>
      <c r="D3144" s="80"/>
      <c r="E3144" s="80"/>
      <c r="F3144" s="80"/>
      <c r="G3144" s="16" t="s">
        <v>1324</v>
      </c>
    </row>
    <row r="3145" spans="1:25" ht="12.6" customHeight="1" x14ac:dyDescent="0.3">
      <c r="A3145" s="70" t="s">
        <v>1397</v>
      </c>
      <c r="B3145" s="101" t="str">
        <f>" 재 료 비  :  "&amp;TEXT(I3145,"#,##0"&amp;IF(I3145&lt;&gt;INT(I3145),".###",""))&amp;" / Q  = "&amp;TEXT(C3145,"#,##0.0")&amp;""</f>
        <v xml:space="preserve"> 재 료 비  :  18,001 / Q  = 703.9</v>
      </c>
      <c r="C3145" s="103">
        <f>E3145+D3145+F3145</f>
        <v>703.9</v>
      </c>
      <c r="D3145" s="103">
        <f>IF(H3145=0,0,ROUNDDOWN(J3145*H3145,1))</f>
        <v>0</v>
      </c>
      <c r="E3145" s="103">
        <f>IF(H3145=0,0,ROUNDDOWN(K3145*H3145,1))</f>
        <v>703.9</v>
      </c>
      <c r="F3145" s="103">
        <f>IF(H3145=0,0,ROUNDDOWN(L3145*H3145,1))</f>
        <v>0</v>
      </c>
      <c r="G3145" s="16" t="s">
        <v>1967</v>
      </c>
      <c r="H3145" s="108">
        <v>3.9108330084399998E-2</v>
      </c>
      <c r="I3145" s="109">
        <f>K3145+J3145+L3145</f>
        <v>18001</v>
      </c>
      <c r="K3145" s="39">
        <f>중기목록표!G9</f>
        <v>18001</v>
      </c>
      <c r="M3145" s="20" t="s">
        <v>1395</v>
      </c>
      <c r="N3145" s="20" t="s">
        <v>1345</v>
      </c>
      <c r="X3145" s="110" t="str">
        <f>중기목록표!B9&amp;" / "&amp;중기목록표!C9</f>
        <v>굴삭기(0.7m3) / 0.7㎥,(암석)</v>
      </c>
      <c r="Y3145" s="19" t="str">
        <f ca="1">HYPERLINK("#"&amp;중기목록표!J2&amp;"!A"&amp;ROW(중기목록표!A9),"중기    6 →")</f>
        <v>중기    6 →</v>
      </c>
    </row>
    <row r="3146" spans="1:25" ht="12.6" customHeight="1" x14ac:dyDescent="0.3">
      <c r="A3146" s="80"/>
      <c r="B3146" s="80"/>
      <c r="C3146" s="80"/>
      <c r="D3146" s="80"/>
      <c r="E3146" s="80"/>
      <c r="F3146" s="80"/>
      <c r="G3146" s="16" t="s">
        <v>1324</v>
      </c>
    </row>
    <row r="3147" spans="1:25" ht="12.6" customHeight="1" x14ac:dyDescent="0.3">
      <c r="A3147" s="70" t="s">
        <v>1399</v>
      </c>
      <c r="B3147" s="101" t="str">
        <f>" 경    비  :  "&amp;TEXT(I3147,"#,##0"&amp;IF(I3147&lt;&gt;INT(I3147),".###",""))&amp;" / Q  = "&amp;TEXT(C3147,"#,##0.0")&amp;""</f>
        <v xml:space="preserve"> 경    비  :  26,677 / Q  = 1,043.2</v>
      </c>
      <c r="C3147" s="103">
        <f>E3147+D3147+F3147</f>
        <v>1043.2</v>
      </c>
      <c r="D3147" s="103">
        <f>IF(H3147=0,0,ROUNDDOWN(J3147*H3147,1))</f>
        <v>0</v>
      </c>
      <c r="E3147" s="103">
        <f>IF(H3147=0,0,ROUNDDOWN(K3147*H3147,1))</f>
        <v>0</v>
      </c>
      <c r="F3147" s="103">
        <f>IF(H3147=0,0,ROUNDDOWN(L3147*H3147,1))</f>
        <v>1043.2</v>
      </c>
      <c r="G3147" s="16" t="s">
        <v>1968</v>
      </c>
      <c r="H3147" s="108">
        <v>3.9108330084399998E-2</v>
      </c>
      <c r="I3147" s="109">
        <f>K3147+J3147+L3147</f>
        <v>26677</v>
      </c>
      <c r="L3147" s="39">
        <f>중기목록표!H9</f>
        <v>26677</v>
      </c>
      <c r="M3147" s="20" t="s">
        <v>1395</v>
      </c>
      <c r="N3147" s="20" t="s">
        <v>1345</v>
      </c>
      <c r="X3147" s="110" t="str">
        <f>중기목록표!B9&amp;" / "&amp;중기목록표!C9</f>
        <v>굴삭기(0.7m3) / 0.7㎥,(암석)</v>
      </c>
      <c r="Y3147" s="19" t="str">
        <f ca="1">HYPERLINK("#"&amp;중기목록표!J2&amp;"!A"&amp;ROW(중기목록표!A9),"중기    6 →")</f>
        <v>중기    6 →</v>
      </c>
    </row>
    <row r="3148" spans="1:25" ht="12.6" customHeight="1" x14ac:dyDescent="0.3">
      <c r="A3148" s="80"/>
      <c r="B3148" s="80"/>
      <c r="C3148" s="80"/>
      <c r="D3148" s="80"/>
      <c r="E3148" s="80"/>
      <c r="F3148" s="80"/>
      <c r="G3148" s="16" t="s">
        <v>1324</v>
      </c>
    </row>
    <row r="3149" spans="1:25" ht="12.6" customHeight="1" x14ac:dyDescent="0.3">
      <c r="A3149" s="70"/>
      <c r="B3149" s="79" t="s">
        <v>1344</v>
      </c>
      <c r="C3149" s="104">
        <f>E3149+D3149+F3149</f>
        <v>3925.4000000000005</v>
      </c>
      <c r="D3149" s="104">
        <f>SUMIF(N3127:N3148,M3149,D3127:D3148)</f>
        <v>2178.3000000000002</v>
      </c>
      <c r="E3149" s="104">
        <f>SUMIF(N3127:N3148,M3149,E3127:E3148)</f>
        <v>703.9</v>
      </c>
      <c r="F3149" s="104">
        <f>SUMIF(N3127:N3148,M3149,F3127:F3148)</f>
        <v>1043.2</v>
      </c>
      <c r="G3149" s="16" t="s">
        <v>1343</v>
      </c>
      <c r="M3149" s="20" t="s">
        <v>1345</v>
      </c>
      <c r="N3149" s="20" t="s">
        <v>1368</v>
      </c>
    </row>
    <row r="3150" spans="1:25" ht="12.6" customHeight="1" x14ac:dyDescent="0.3">
      <c r="A3150" s="80"/>
      <c r="B3150" s="80"/>
      <c r="C3150" s="102"/>
      <c r="D3150" s="102"/>
      <c r="E3150" s="102"/>
      <c r="F3150" s="102"/>
      <c r="G3150" s="16" t="s">
        <v>1324</v>
      </c>
    </row>
    <row r="3151" spans="1:25" ht="12.6" customHeight="1" x14ac:dyDescent="0.3">
      <c r="A3151" s="70"/>
      <c r="B3151" s="79" t="s">
        <v>1970</v>
      </c>
      <c r="C3151" s="80"/>
      <c r="D3151" s="80"/>
      <c r="E3151" s="80"/>
      <c r="F3151" s="80"/>
      <c r="G3151" s="16" t="s">
        <v>1969</v>
      </c>
    </row>
    <row r="3152" spans="1:25" ht="12.6" customHeight="1" x14ac:dyDescent="0.3">
      <c r="A3152" s="80"/>
      <c r="B3152" s="80"/>
      <c r="C3152" s="80"/>
      <c r="D3152" s="80"/>
      <c r="E3152" s="80"/>
      <c r="F3152" s="80"/>
      <c r="G3152" s="16" t="s">
        <v>1324</v>
      </c>
    </row>
    <row r="3153" spans="1:7" ht="12.6" customHeight="1" x14ac:dyDescent="0.3">
      <c r="A3153" s="70"/>
      <c r="B3153" s="79" t="s">
        <v>1972</v>
      </c>
      <c r="C3153" s="80"/>
      <c r="D3153" s="80"/>
      <c r="E3153" s="80"/>
      <c r="F3153" s="80"/>
      <c r="G3153" s="16" t="s">
        <v>1971</v>
      </c>
    </row>
    <row r="3154" spans="1:7" ht="12.6" customHeight="1" x14ac:dyDescent="0.3">
      <c r="A3154" s="80"/>
      <c r="B3154" s="80"/>
      <c r="C3154" s="80"/>
      <c r="D3154" s="80"/>
      <c r="E3154" s="80"/>
      <c r="F3154" s="80"/>
      <c r="G3154" s="16" t="s">
        <v>1324</v>
      </c>
    </row>
    <row r="3155" spans="1:7" ht="12.6" customHeight="1" x14ac:dyDescent="0.3">
      <c r="A3155" s="70"/>
      <c r="B3155" s="79" t="s">
        <v>1974</v>
      </c>
      <c r="C3155" s="80"/>
      <c r="D3155" s="80"/>
      <c r="E3155" s="80"/>
      <c r="F3155" s="80"/>
      <c r="G3155" s="16" t="s">
        <v>1973</v>
      </c>
    </row>
    <row r="3156" spans="1:7" ht="12.6" customHeight="1" x14ac:dyDescent="0.3">
      <c r="A3156" s="80"/>
      <c r="B3156" s="80"/>
      <c r="C3156" s="80"/>
      <c r="D3156" s="80"/>
      <c r="E3156" s="80"/>
      <c r="F3156" s="80"/>
      <c r="G3156" s="16" t="s">
        <v>1324</v>
      </c>
    </row>
    <row r="3157" spans="1:7" ht="12.6" customHeight="1" x14ac:dyDescent="0.3">
      <c r="A3157" s="70"/>
      <c r="B3157" s="79" t="s">
        <v>1976</v>
      </c>
      <c r="C3157" s="80"/>
      <c r="D3157" s="80"/>
      <c r="E3157" s="80"/>
      <c r="F3157" s="80"/>
      <c r="G3157" s="16" t="s">
        <v>1975</v>
      </c>
    </row>
    <row r="3158" spans="1:7" ht="12.6" customHeight="1" x14ac:dyDescent="0.3">
      <c r="A3158" s="80"/>
      <c r="B3158" s="80"/>
      <c r="C3158" s="80"/>
      <c r="D3158" s="80"/>
      <c r="E3158" s="80"/>
      <c r="F3158" s="80"/>
      <c r="G3158" s="16" t="s">
        <v>1324</v>
      </c>
    </row>
    <row r="3159" spans="1:7" ht="12.6" customHeight="1" x14ac:dyDescent="0.3">
      <c r="A3159" s="70"/>
      <c r="B3159" s="79" t="s">
        <v>1409</v>
      </c>
      <c r="C3159" s="80"/>
      <c r="D3159" s="80"/>
      <c r="E3159" s="80"/>
      <c r="F3159" s="80"/>
      <c r="G3159" s="16" t="s">
        <v>1922</v>
      </c>
    </row>
    <row r="3160" spans="1:7" ht="12.6" customHeight="1" x14ac:dyDescent="0.3">
      <c r="A3160" s="80"/>
      <c r="B3160" s="80"/>
      <c r="C3160" s="80"/>
      <c r="D3160" s="80"/>
      <c r="E3160" s="80"/>
      <c r="F3160" s="80"/>
      <c r="G3160" s="16" t="s">
        <v>1324</v>
      </c>
    </row>
    <row r="3161" spans="1:7" ht="12.6" customHeight="1" x14ac:dyDescent="0.3">
      <c r="A3161" s="70"/>
      <c r="B3161" s="79" t="s">
        <v>1978</v>
      </c>
      <c r="C3161" s="80"/>
      <c r="D3161" s="80"/>
      <c r="E3161" s="80"/>
      <c r="F3161" s="80"/>
      <c r="G3161" s="16" t="s">
        <v>1977</v>
      </c>
    </row>
    <row r="3162" spans="1:7" ht="12.6" customHeight="1" x14ac:dyDescent="0.3">
      <c r="A3162" s="80"/>
      <c r="B3162" s="80"/>
      <c r="C3162" s="80"/>
      <c r="D3162" s="80"/>
      <c r="E3162" s="80"/>
      <c r="F3162" s="80"/>
      <c r="G3162" s="16" t="s">
        <v>1324</v>
      </c>
    </row>
    <row r="3163" spans="1:7" ht="12.6" customHeight="1" x14ac:dyDescent="0.3">
      <c r="A3163" s="70"/>
      <c r="B3163" s="79" t="s">
        <v>1980</v>
      </c>
      <c r="C3163" s="80"/>
      <c r="D3163" s="80"/>
      <c r="E3163" s="80"/>
      <c r="F3163" s="80"/>
      <c r="G3163" s="16" t="s">
        <v>1979</v>
      </c>
    </row>
    <row r="3164" spans="1:7" ht="12.6" customHeight="1" x14ac:dyDescent="0.3">
      <c r="A3164" s="80"/>
      <c r="B3164" s="80"/>
      <c r="C3164" s="80"/>
      <c r="D3164" s="80"/>
      <c r="E3164" s="80"/>
      <c r="F3164" s="80"/>
      <c r="G3164" s="16" t="s">
        <v>1324</v>
      </c>
    </row>
    <row r="3165" spans="1:7" ht="12.6" customHeight="1" x14ac:dyDescent="0.3">
      <c r="A3165" s="70"/>
      <c r="B3165" s="79" t="s">
        <v>2406</v>
      </c>
      <c r="C3165" s="80"/>
      <c r="D3165" s="80"/>
      <c r="E3165" s="80"/>
      <c r="F3165" s="80"/>
      <c r="G3165" s="16" t="s">
        <v>1927</v>
      </c>
    </row>
    <row r="3166" spans="1:7" ht="12.6" customHeight="1" x14ac:dyDescent="0.3">
      <c r="A3166" s="80"/>
      <c r="B3166" s="80"/>
      <c r="C3166" s="80"/>
      <c r="D3166" s="80"/>
      <c r="E3166" s="80"/>
      <c r="F3166" s="80"/>
      <c r="G3166" s="16" t="s">
        <v>1324</v>
      </c>
    </row>
    <row r="3167" spans="1:7" ht="12.6" customHeight="1" x14ac:dyDescent="0.3">
      <c r="A3167" s="70"/>
      <c r="B3167" s="79" t="s">
        <v>1930</v>
      </c>
      <c r="C3167" s="80"/>
      <c r="D3167" s="80"/>
      <c r="E3167" s="80"/>
      <c r="F3167" s="80"/>
      <c r="G3167" s="16" t="s">
        <v>1929</v>
      </c>
    </row>
    <row r="3168" spans="1:7" ht="12.6" customHeight="1" x14ac:dyDescent="0.3">
      <c r="A3168" s="80"/>
      <c r="B3168" s="80"/>
      <c r="C3168" s="80"/>
      <c r="D3168" s="80"/>
      <c r="E3168" s="80"/>
      <c r="F3168" s="80"/>
      <c r="G3168" s="16" t="s">
        <v>1324</v>
      </c>
    </row>
    <row r="3169" spans="1:25" ht="12.6" customHeight="1" x14ac:dyDescent="0.3">
      <c r="A3169" s="70"/>
      <c r="B3169" s="79" t="s">
        <v>1983</v>
      </c>
      <c r="C3169" s="80"/>
      <c r="D3169" s="80"/>
      <c r="E3169" s="80"/>
      <c r="F3169" s="80"/>
      <c r="G3169" s="16" t="s">
        <v>1982</v>
      </c>
    </row>
    <row r="3170" spans="1:25" ht="12.6" customHeight="1" x14ac:dyDescent="0.3">
      <c r="A3170" s="80"/>
      <c r="B3170" s="80"/>
      <c r="C3170" s="80"/>
      <c r="D3170" s="80"/>
      <c r="E3170" s="80"/>
      <c r="F3170" s="80"/>
      <c r="G3170" s="16" t="s">
        <v>1324</v>
      </c>
    </row>
    <row r="3171" spans="1:25" ht="12.6" customHeight="1" x14ac:dyDescent="0.3">
      <c r="A3171" s="70"/>
      <c r="B3171" s="79" t="s">
        <v>2410</v>
      </c>
      <c r="C3171" s="80"/>
      <c r="D3171" s="80"/>
      <c r="E3171" s="80"/>
      <c r="F3171" s="80"/>
      <c r="G3171" s="16" t="s">
        <v>1984</v>
      </c>
    </row>
    <row r="3172" spans="1:25" ht="12.6" customHeight="1" x14ac:dyDescent="0.3">
      <c r="A3172" s="80"/>
      <c r="B3172" s="80"/>
      <c r="C3172" s="80"/>
      <c r="D3172" s="80"/>
      <c r="E3172" s="80"/>
      <c r="F3172" s="80"/>
      <c r="G3172" s="16" t="s">
        <v>1324</v>
      </c>
    </row>
    <row r="3173" spans="1:25" ht="12.6" customHeight="1" x14ac:dyDescent="0.3">
      <c r="A3173" s="70"/>
      <c r="B3173" s="79" t="s">
        <v>2411</v>
      </c>
      <c r="C3173" s="80"/>
      <c r="D3173" s="80"/>
      <c r="E3173" s="80"/>
      <c r="F3173" s="80"/>
      <c r="G3173" s="16" t="s">
        <v>1986</v>
      </c>
    </row>
    <row r="3174" spans="1:25" ht="12.6" customHeight="1" x14ac:dyDescent="0.3">
      <c r="A3174" s="80"/>
      <c r="B3174" s="80"/>
      <c r="C3174" s="80"/>
      <c r="D3174" s="80"/>
      <c r="E3174" s="80"/>
      <c r="F3174" s="80"/>
      <c r="G3174" s="16" t="s">
        <v>1324</v>
      </c>
    </row>
    <row r="3175" spans="1:25" ht="12.6" customHeight="1" x14ac:dyDescent="0.3">
      <c r="A3175" s="70"/>
      <c r="B3175" s="79" t="s">
        <v>2412</v>
      </c>
      <c r="C3175" s="80"/>
      <c r="D3175" s="80"/>
      <c r="E3175" s="80"/>
      <c r="F3175" s="80"/>
      <c r="G3175" s="16" t="s">
        <v>1988</v>
      </c>
    </row>
    <row r="3176" spans="1:25" ht="12.6" customHeight="1" x14ac:dyDescent="0.3">
      <c r="A3176" s="80"/>
      <c r="B3176" s="80"/>
      <c r="C3176" s="80"/>
      <c r="D3176" s="80"/>
      <c r="E3176" s="80"/>
      <c r="F3176" s="80"/>
      <c r="G3176" s="16" t="s">
        <v>1324</v>
      </c>
    </row>
    <row r="3177" spans="1:25" ht="12.6" customHeight="1" x14ac:dyDescent="0.3">
      <c r="A3177" s="70" t="s">
        <v>1991</v>
      </c>
      <c r="B3177" s="101" t="str">
        <f>" 노 무 비  :  "&amp;TEXT(I3177,"#,##0"&amp;IF(I3177&lt;&gt;INT(I3177),".###",""))&amp;" / Q1  = "&amp;TEXT(C3177,"#,##0.0")&amp;""</f>
        <v xml:space="preserve"> 노 무 비  :  55,700 / Q1  = 2,711.7</v>
      </c>
      <c r="C3177" s="103">
        <f>E3177+D3177+F3177</f>
        <v>2711.7</v>
      </c>
      <c r="D3177" s="103">
        <f>IF(H3177=0,0,ROUNDDOWN(J3177*H3177,1))</f>
        <v>2711.7</v>
      </c>
      <c r="E3177" s="103">
        <f>IF(H3177=0,0,ROUNDDOWN(K3177*H3177,1))</f>
        <v>0</v>
      </c>
      <c r="F3177" s="103">
        <f>IF(H3177=0,0,ROUNDDOWN(L3177*H3177,1))</f>
        <v>0</v>
      </c>
      <c r="G3177" s="16" t="s">
        <v>1990</v>
      </c>
      <c r="H3177" s="108">
        <v>4.8685491733599998E-2</v>
      </c>
      <c r="I3177" s="109">
        <f>K3177+J3177+L3177</f>
        <v>55700</v>
      </c>
      <c r="J3177" s="39">
        <f>중기목록표!F13</f>
        <v>55700</v>
      </c>
      <c r="M3177" s="20" t="s">
        <v>1992</v>
      </c>
      <c r="N3177" s="20" t="s">
        <v>1999</v>
      </c>
      <c r="X3177" s="110" t="str">
        <f>중기목록표!B13&amp;" / "&amp;중기목록표!C13</f>
        <v>덤프트럭15ton(암) / 할증율:1.25</v>
      </c>
      <c r="Y3177" s="19" t="str">
        <f ca="1">HYPERLINK("#"&amp;중기목록표!J2&amp;"!A"&amp;ROW(중기목록표!A13),"중기   10 →")</f>
        <v>중기   10 →</v>
      </c>
    </row>
    <row r="3178" spans="1:25" ht="12.6" customHeight="1" x14ac:dyDescent="0.3">
      <c r="A3178" s="80"/>
      <c r="B3178" s="80"/>
      <c r="C3178" s="80"/>
      <c r="D3178" s="80"/>
      <c r="E3178" s="80"/>
      <c r="F3178" s="80"/>
      <c r="G3178" s="16" t="s">
        <v>1324</v>
      </c>
    </row>
    <row r="3179" spans="1:25" ht="12.6" customHeight="1" x14ac:dyDescent="0.3">
      <c r="A3179" s="70" t="s">
        <v>1994</v>
      </c>
      <c r="B3179" s="101" t="str">
        <f>" 재 료 비  :  "&amp;TEXT(I3179,"#,##0"&amp;IF(I3179&lt;&gt;INT(I3179),".###",""))&amp;" / Q1 * OH = "&amp;TEXT(C3179,"#,##0.0")&amp;""</f>
        <v xml:space="preserve"> 재 료 비  :  27,910 / Q1 * OH = 54.3</v>
      </c>
      <c r="C3179" s="103">
        <f>E3179+D3179+F3179</f>
        <v>54.3</v>
      </c>
      <c r="D3179" s="103">
        <f>IF(H3179=0,0,ROUNDDOWN(J3179*H3179,1))</f>
        <v>0</v>
      </c>
      <c r="E3179" s="103">
        <f>IF(H3179=0,0,ROUNDDOWN(K3179*H3179,1))</f>
        <v>54.3</v>
      </c>
      <c r="F3179" s="103">
        <f>IF(H3179=0,0,ROUNDDOWN(L3179*H3179,1))</f>
        <v>0</v>
      </c>
      <c r="G3179" s="16" t="s">
        <v>1993</v>
      </c>
      <c r="H3179" s="108">
        <v>1.947419679E-3</v>
      </c>
      <c r="I3179" s="109">
        <f>K3179+J3179+L3179</f>
        <v>27910</v>
      </c>
      <c r="K3179" s="39">
        <f>중기목록표!G13</f>
        <v>27910</v>
      </c>
      <c r="M3179" s="20" t="s">
        <v>1992</v>
      </c>
      <c r="N3179" s="20" t="s">
        <v>1999</v>
      </c>
      <c r="X3179" s="110" t="str">
        <f>중기목록표!B13&amp;" / "&amp;중기목록표!C13</f>
        <v>덤프트럭15ton(암) / 할증율:1.25</v>
      </c>
      <c r="Y3179" s="19" t="str">
        <f ca="1">HYPERLINK("#"&amp;중기목록표!J2&amp;"!A"&amp;ROW(중기목록표!A13),"중기   10 →")</f>
        <v>중기   10 →</v>
      </c>
    </row>
    <row r="3180" spans="1:25" ht="12.6" customHeight="1" x14ac:dyDescent="0.3">
      <c r="A3180" s="80"/>
      <c r="B3180" s="80"/>
      <c r="C3180" s="80"/>
      <c r="D3180" s="80"/>
      <c r="E3180" s="80"/>
      <c r="F3180" s="80"/>
      <c r="G3180" s="16" t="s">
        <v>1324</v>
      </c>
    </row>
    <row r="3181" spans="1:25" ht="12.6" customHeight="1" x14ac:dyDescent="0.3">
      <c r="A3181" s="70" t="s">
        <v>1996</v>
      </c>
      <c r="B3181" s="101" t="str">
        <f>" 경    비  :  "&amp;TEXT(I3181,"#,##0"&amp;IF(I3181&lt;&gt;INT(I3181),".###",""))&amp;" / Q1  = "&amp;TEXT(C3181,"#,##0.0")&amp;""</f>
        <v xml:space="preserve"> 경    비  :  23,077 / Q1  = 1,123.5</v>
      </c>
      <c r="C3181" s="103">
        <f>E3181+D3181+F3181</f>
        <v>1123.5</v>
      </c>
      <c r="D3181" s="103">
        <f>IF(H3181=0,0,ROUNDDOWN(J3181*H3181,1))</f>
        <v>0</v>
      </c>
      <c r="E3181" s="103">
        <f>IF(H3181=0,0,ROUNDDOWN(K3181*H3181,1))</f>
        <v>0</v>
      </c>
      <c r="F3181" s="103">
        <f>IF(H3181=0,0,ROUNDDOWN(L3181*H3181,1))</f>
        <v>1123.5</v>
      </c>
      <c r="G3181" s="16" t="s">
        <v>1995</v>
      </c>
      <c r="H3181" s="108">
        <v>4.8685491733599998E-2</v>
      </c>
      <c r="I3181" s="109">
        <f>K3181+J3181+L3181</f>
        <v>23077</v>
      </c>
      <c r="L3181" s="39">
        <f>중기목록표!H13</f>
        <v>23077</v>
      </c>
      <c r="M3181" s="20" t="s">
        <v>1992</v>
      </c>
      <c r="N3181" s="20" t="s">
        <v>1999</v>
      </c>
      <c r="X3181" s="110" t="str">
        <f>중기목록표!B13&amp;" / "&amp;중기목록표!C13</f>
        <v>덤프트럭15ton(암) / 할증율:1.25</v>
      </c>
      <c r="Y3181" s="19" t="str">
        <f ca="1">HYPERLINK("#"&amp;중기목록표!J2&amp;"!A"&amp;ROW(중기목록표!A13),"중기   10 →")</f>
        <v>중기   10 →</v>
      </c>
    </row>
    <row r="3182" spans="1:25" ht="12.6" customHeight="1" x14ac:dyDescent="0.3">
      <c r="A3182" s="80"/>
      <c r="B3182" s="80"/>
      <c r="C3182" s="80"/>
      <c r="D3182" s="80"/>
      <c r="E3182" s="80"/>
      <c r="F3182" s="80"/>
      <c r="G3182" s="16" t="s">
        <v>1324</v>
      </c>
    </row>
    <row r="3183" spans="1:25" ht="12.6" customHeight="1" x14ac:dyDescent="0.3">
      <c r="A3183" s="70"/>
      <c r="B3183" s="79" t="s">
        <v>1998</v>
      </c>
      <c r="C3183" s="106">
        <f>E3183+D3183+F3183</f>
        <v>3889.5</v>
      </c>
      <c r="D3183" s="106">
        <f>SUMIF(N3150:N3182,M3183,D3150:D3182)</f>
        <v>2711.7</v>
      </c>
      <c r="E3183" s="106">
        <f>SUMIF(N3150:N3182,M3183,E3150:E3182)</f>
        <v>54.3</v>
      </c>
      <c r="F3183" s="106">
        <f>SUMIF(N3150:N3182,M3183,F3150:F3182)</f>
        <v>1123.5</v>
      </c>
      <c r="G3183" s="16" t="s">
        <v>1997</v>
      </c>
      <c r="M3183" s="20" t="s">
        <v>1999</v>
      </c>
    </row>
    <row r="3184" spans="1:25" ht="12.6" customHeight="1" x14ac:dyDescent="0.3">
      <c r="A3184" s="80"/>
      <c r="B3184" s="80"/>
      <c r="C3184" s="107"/>
      <c r="D3184" s="107"/>
      <c r="E3184" s="107"/>
      <c r="F3184" s="107"/>
      <c r="G3184" s="16" t="s">
        <v>1324</v>
      </c>
    </row>
    <row r="3185" spans="1:7" ht="12.6" customHeight="1" x14ac:dyDescent="0.3">
      <c r="A3185" s="70"/>
      <c r="B3185" s="79" t="s">
        <v>2001</v>
      </c>
      <c r="C3185" s="80"/>
      <c r="D3185" s="80"/>
      <c r="E3185" s="80"/>
      <c r="F3185" s="80"/>
      <c r="G3185" s="16" t="s">
        <v>2000</v>
      </c>
    </row>
    <row r="3186" spans="1:7" ht="12.6" customHeight="1" x14ac:dyDescent="0.3">
      <c r="A3186" s="80"/>
      <c r="B3186" s="80"/>
      <c r="C3186" s="80"/>
      <c r="D3186" s="80"/>
      <c r="E3186" s="80"/>
      <c r="F3186" s="80"/>
      <c r="G3186" s="16" t="s">
        <v>1324</v>
      </c>
    </row>
    <row r="3187" spans="1:7" ht="12.6" customHeight="1" x14ac:dyDescent="0.3">
      <c r="A3187" s="70"/>
      <c r="B3187" s="79" t="s">
        <v>1974</v>
      </c>
      <c r="C3187" s="80"/>
      <c r="D3187" s="80"/>
      <c r="E3187" s="80"/>
      <c r="F3187" s="80"/>
      <c r="G3187" s="16" t="s">
        <v>1973</v>
      </c>
    </row>
    <row r="3188" spans="1:7" ht="12.6" customHeight="1" x14ac:dyDescent="0.3">
      <c r="A3188" s="80"/>
      <c r="B3188" s="80"/>
      <c r="C3188" s="80"/>
      <c r="D3188" s="80"/>
      <c r="E3188" s="80"/>
      <c r="F3188" s="80"/>
      <c r="G3188" s="16" t="s">
        <v>1324</v>
      </c>
    </row>
    <row r="3189" spans="1:7" ht="12.6" customHeight="1" x14ac:dyDescent="0.3">
      <c r="A3189" s="70"/>
      <c r="B3189" s="79" t="s">
        <v>2003</v>
      </c>
      <c r="C3189" s="80"/>
      <c r="D3189" s="80"/>
      <c r="E3189" s="80"/>
      <c r="F3189" s="80"/>
      <c r="G3189" s="16" t="s">
        <v>2002</v>
      </c>
    </row>
    <row r="3190" spans="1:7" ht="12.6" customHeight="1" x14ac:dyDescent="0.3">
      <c r="A3190" s="80"/>
      <c r="B3190" s="80"/>
      <c r="C3190" s="80"/>
      <c r="D3190" s="80"/>
      <c r="E3190" s="80"/>
      <c r="F3190" s="80"/>
      <c r="G3190" s="16" t="s">
        <v>1324</v>
      </c>
    </row>
    <row r="3191" spans="1:7" ht="12.6" customHeight="1" x14ac:dyDescent="0.3">
      <c r="A3191" s="70"/>
      <c r="B3191" s="79" t="s">
        <v>1409</v>
      </c>
      <c r="C3191" s="80"/>
      <c r="D3191" s="80"/>
      <c r="E3191" s="80"/>
      <c r="F3191" s="80"/>
      <c r="G3191" s="16" t="s">
        <v>1922</v>
      </c>
    </row>
    <row r="3192" spans="1:7" ht="12.6" customHeight="1" x14ac:dyDescent="0.3">
      <c r="A3192" s="80"/>
      <c r="B3192" s="80"/>
      <c r="C3192" s="80"/>
      <c r="D3192" s="80"/>
      <c r="E3192" s="80"/>
      <c r="F3192" s="80"/>
      <c r="G3192" s="16" t="s">
        <v>1324</v>
      </c>
    </row>
    <row r="3193" spans="1:7" ht="12.6" customHeight="1" x14ac:dyDescent="0.3">
      <c r="A3193" s="70"/>
      <c r="B3193" s="79" t="s">
        <v>2004</v>
      </c>
      <c r="C3193" s="80"/>
      <c r="D3193" s="80"/>
      <c r="E3193" s="80"/>
      <c r="F3193" s="80"/>
      <c r="G3193" s="16" t="s">
        <v>1977</v>
      </c>
    </row>
    <row r="3194" spans="1:7" ht="12.6" customHeight="1" x14ac:dyDescent="0.3">
      <c r="A3194" s="80"/>
      <c r="B3194" s="80"/>
      <c r="C3194" s="80"/>
      <c r="D3194" s="80"/>
      <c r="E3194" s="80"/>
      <c r="F3194" s="80"/>
      <c r="G3194" s="16" t="s">
        <v>1324</v>
      </c>
    </row>
    <row r="3195" spans="1:7" ht="12.6" customHeight="1" x14ac:dyDescent="0.3">
      <c r="A3195" s="70"/>
      <c r="B3195" s="79" t="s">
        <v>2005</v>
      </c>
      <c r="C3195" s="80"/>
      <c r="D3195" s="80"/>
      <c r="E3195" s="80"/>
      <c r="F3195" s="80"/>
      <c r="G3195" s="16" t="s">
        <v>1979</v>
      </c>
    </row>
    <row r="3196" spans="1:7" ht="12.6" customHeight="1" x14ac:dyDescent="0.3">
      <c r="A3196" s="80"/>
      <c r="B3196" s="80"/>
      <c r="C3196" s="80"/>
      <c r="D3196" s="80"/>
      <c r="E3196" s="80"/>
      <c r="F3196" s="80"/>
      <c r="G3196" s="16" t="s">
        <v>1324</v>
      </c>
    </row>
    <row r="3197" spans="1:7" ht="12.6" customHeight="1" x14ac:dyDescent="0.3">
      <c r="A3197" s="70"/>
      <c r="B3197" s="79" t="s">
        <v>2406</v>
      </c>
      <c r="C3197" s="80"/>
      <c r="D3197" s="80"/>
      <c r="E3197" s="80"/>
      <c r="F3197" s="80"/>
      <c r="G3197" s="16" t="s">
        <v>1927</v>
      </c>
    </row>
    <row r="3198" spans="1:7" ht="12.6" customHeight="1" x14ac:dyDescent="0.3">
      <c r="A3198" s="80"/>
      <c r="B3198" s="80"/>
      <c r="C3198" s="80"/>
      <c r="D3198" s="80"/>
      <c r="E3198" s="80"/>
      <c r="F3198" s="80"/>
      <c r="G3198" s="16" t="s">
        <v>1324</v>
      </c>
    </row>
    <row r="3199" spans="1:7" ht="12.6" customHeight="1" x14ac:dyDescent="0.3">
      <c r="A3199" s="70"/>
      <c r="B3199" s="79" t="s">
        <v>1930</v>
      </c>
      <c r="C3199" s="80"/>
      <c r="D3199" s="80"/>
      <c r="E3199" s="80"/>
      <c r="F3199" s="80"/>
      <c r="G3199" s="16" t="s">
        <v>1929</v>
      </c>
    </row>
    <row r="3200" spans="1:7" ht="12.6" customHeight="1" x14ac:dyDescent="0.3">
      <c r="A3200" s="80"/>
      <c r="B3200" s="80"/>
      <c r="C3200" s="80"/>
      <c r="D3200" s="80"/>
      <c r="E3200" s="80"/>
      <c r="F3200" s="80"/>
      <c r="G3200" s="16" t="s">
        <v>1324</v>
      </c>
    </row>
    <row r="3201" spans="1:25" ht="12.6" customHeight="1" x14ac:dyDescent="0.3">
      <c r="A3201" s="70"/>
      <c r="B3201" s="79" t="s">
        <v>1983</v>
      </c>
      <c r="C3201" s="80"/>
      <c r="D3201" s="80"/>
      <c r="E3201" s="80"/>
      <c r="F3201" s="80"/>
      <c r="G3201" s="16" t="s">
        <v>1982</v>
      </c>
    </row>
    <row r="3202" spans="1:25" ht="12.6" customHeight="1" x14ac:dyDescent="0.3">
      <c r="A3202" s="80"/>
      <c r="B3202" s="80"/>
      <c r="C3202" s="80"/>
      <c r="D3202" s="80"/>
      <c r="E3202" s="80"/>
      <c r="F3202" s="80"/>
      <c r="G3202" s="16" t="s">
        <v>1324</v>
      </c>
    </row>
    <row r="3203" spans="1:25" ht="12.6" customHeight="1" x14ac:dyDescent="0.3">
      <c r="A3203" s="70"/>
      <c r="B3203" s="79" t="s">
        <v>2413</v>
      </c>
      <c r="C3203" s="80"/>
      <c r="D3203" s="80"/>
      <c r="E3203" s="80"/>
      <c r="F3203" s="80"/>
      <c r="G3203" s="16" t="s">
        <v>1984</v>
      </c>
    </row>
    <row r="3204" spans="1:25" ht="12.6" customHeight="1" x14ac:dyDescent="0.3">
      <c r="A3204" s="80"/>
      <c r="B3204" s="80"/>
      <c r="C3204" s="80"/>
      <c r="D3204" s="80"/>
      <c r="E3204" s="80"/>
      <c r="F3204" s="80"/>
      <c r="G3204" s="16" t="s">
        <v>1324</v>
      </c>
    </row>
    <row r="3205" spans="1:25" ht="12.6" customHeight="1" x14ac:dyDescent="0.3">
      <c r="A3205" s="70"/>
      <c r="B3205" s="79" t="s">
        <v>2414</v>
      </c>
      <c r="C3205" s="80"/>
      <c r="D3205" s="80"/>
      <c r="E3205" s="80"/>
      <c r="F3205" s="80"/>
      <c r="G3205" s="16" t="s">
        <v>2007</v>
      </c>
    </row>
    <row r="3206" spans="1:25" ht="12.6" customHeight="1" x14ac:dyDescent="0.3">
      <c r="A3206" s="80"/>
      <c r="B3206" s="80"/>
      <c r="C3206" s="80"/>
      <c r="D3206" s="80"/>
      <c r="E3206" s="80"/>
      <c r="F3206" s="80"/>
      <c r="G3206" s="16" t="s">
        <v>1324</v>
      </c>
    </row>
    <row r="3207" spans="1:25" ht="12.6" customHeight="1" x14ac:dyDescent="0.3">
      <c r="A3207" s="70"/>
      <c r="B3207" s="79" t="s">
        <v>2415</v>
      </c>
      <c r="C3207" s="80"/>
      <c r="D3207" s="80"/>
      <c r="E3207" s="80"/>
      <c r="F3207" s="80"/>
      <c r="G3207" s="16" t="s">
        <v>2009</v>
      </c>
    </row>
    <row r="3208" spans="1:25" ht="12.6" customHeight="1" x14ac:dyDescent="0.3">
      <c r="A3208" s="80"/>
      <c r="B3208" s="80"/>
      <c r="C3208" s="80"/>
      <c r="D3208" s="80"/>
      <c r="E3208" s="80"/>
      <c r="F3208" s="80"/>
      <c r="G3208" s="16" t="s">
        <v>1324</v>
      </c>
    </row>
    <row r="3209" spans="1:25" ht="12.6" customHeight="1" x14ac:dyDescent="0.3">
      <c r="A3209" s="70" t="s">
        <v>2012</v>
      </c>
      <c r="B3209" s="101" t="str">
        <f>" 노 무 비  :  "&amp;TEXT(I3209,"#,##0"&amp;IF(I3209&lt;&gt;INT(I3209),".###",""))&amp;" / Q2 = "&amp;TEXT(C3209,"#,##0.0")&amp;""</f>
        <v xml:space="preserve"> 노 무 비  :  47,231 / Q2 = 2,406.0</v>
      </c>
      <c r="C3209" s="103">
        <f>E3209+D3209+F3209</f>
        <v>2406</v>
      </c>
      <c r="D3209" s="103">
        <f>IF(H3209=0,0,ROUNDDOWN(J3209*H3209,1))</f>
        <v>2406</v>
      </c>
      <c r="E3209" s="103">
        <f>IF(H3209=0,0,ROUNDDOWN(K3209*H3209,1))</f>
        <v>0</v>
      </c>
      <c r="F3209" s="103">
        <f>IF(H3209=0,0,ROUNDDOWN(L3209*H3209,1))</f>
        <v>0</v>
      </c>
      <c r="G3209" s="16" t="s">
        <v>2011</v>
      </c>
      <c r="H3209" s="108">
        <v>5.0942435058499998E-2</v>
      </c>
      <c r="I3209" s="109">
        <f>K3209+J3209+L3209</f>
        <v>47231</v>
      </c>
      <c r="J3209" s="39">
        <f>중기목록표!F12</f>
        <v>47231</v>
      </c>
      <c r="M3209" s="20" t="s">
        <v>2013</v>
      </c>
      <c r="N3209" s="20" t="s">
        <v>1345</v>
      </c>
      <c r="X3209" s="110" t="str">
        <f>중기목록표!B12&amp;" / "&amp;중기목록표!C12</f>
        <v>덤프트럭10.5ton(암) / 할증율:1.25</v>
      </c>
      <c r="Y3209" s="19" t="str">
        <f ca="1">HYPERLINK("#"&amp;중기목록표!J2&amp;"!A"&amp;ROW(중기목록표!A12),"중기    9 →")</f>
        <v>중기    9 →</v>
      </c>
    </row>
    <row r="3210" spans="1:25" ht="12.6" customHeight="1" x14ac:dyDescent="0.3">
      <c r="A3210" s="80"/>
      <c r="B3210" s="80"/>
      <c r="C3210" s="80"/>
      <c r="D3210" s="80"/>
      <c r="E3210" s="80"/>
      <c r="F3210" s="80"/>
      <c r="G3210" s="16" t="s">
        <v>1324</v>
      </c>
    </row>
    <row r="3211" spans="1:25" ht="12.6" customHeight="1" x14ac:dyDescent="0.3">
      <c r="A3211" s="70" t="s">
        <v>2015</v>
      </c>
      <c r="B3211" s="101" t="str">
        <f>" 재 료 비  :  "&amp;TEXT(I3211,"#,##0"&amp;IF(I3211&lt;&gt;INT(I3211),".###",""))&amp;" / Q2 * OH = "&amp;TEXT(C3211,"#,##0.0")&amp;""</f>
        <v xml:space="preserve"> 재 료 비  :  24,750 / Q2 * OH = 63.0</v>
      </c>
      <c r="C3211" s="103">
        <f>E3211+D3211+F3211</f>
        <v>63</v>
      </c>
      <c r="D3211" s="103">
        <f>IF(H3211=0,0,ROUNDDOWN(J3211*H3211,1))</f>
        <v>0</v>
      </c>
      <c r="E3211" s="103">
        <f>IF(H3211=0,0,ROUNDDOWN(K3211*H3211,1))</f>
        <v>63</v>
      </c>
      <c r="F3211" s="103">
        <f>IF(H3211=0,0,ROUNDDOWN(L3211*H3211,1))</f>
        <v>0</v>
      </c>
      <c r="G3211" s="16" t="s">
        <v>2014</v>
      </c>
      <c r="H3211" s="108">
        <v>2.5471217625000001E-3</v>
      </c>
      <c r="I3211" s="109">
        <f>K3211+J3211+L3211</f>
        <v>24750</v>
      </c>
      <c r="K3211" s="39">
        <f>중기목록표!G12</f>
        <v>24750</v>
      </c>
      <c r="M3211" s="20" t="s">
        <v>2013</v>
      </c>
      <c r="N3211" s="20" t="s">
        <v>1345</v>
      </c>
      <c r="X3211" s="110" t="str">
        <f>중기목록표!B12&amp;" / "&amp;중기목록표!C12</f>
        <v>덤프트럭10.5ton(암) / 할증율:1.25</v>
      </c>
      <c r="Y3211" s="19" t="str">
        <f ca="1">HYPERLINK("#"&amp;중기목록표!J2&amp;"!A"&amp;ROW(중기목록표!A12),"중기    9 →")</f>
        <v>중기    9 →</v>
      </c>
    </row>
    <row r="3212" spans="1:25" ht="12.6" customHeight="1" x14ac:dyDescent="0.3">
      <c r="A3212" s="80"/>
      <c r="B3212" s="80"/>
      <c r="C3212" s="80"/>
      <c r="D3212" s="80"/>
      <c r="E3212" s="80"/>
      <c r="F3212" s="80"/>
      <c r="G3212" s="16" t="s">
        <v>1324</v>
      </c>
    </row>
    <row r="3213" spans="1:25" ht="12.6" customHeight="1" x14ac:dyDescent="0.3">
      <c r="A3213" s="70" t="s">
        <v>2017</v>
      </c>
      <c r="B3213" s="101" t="str">
        <f>" 경    비  :  "&amp;TEXT(I3213,"#,##0"&amp;IF(I3213&lt;&gt;INT(I3213),".###",""))&amp;" / Q2 = "&amp;TEXT(C3213,"#,##0.0")&amp;""</f>
        <v xml:space="preserve"> 경    비  :  13,222 / Q2 = 673.5</v>
      </c>
      <c r="C3213" s="103">
        <f>E3213+D3213+F3213</f>
        <v>673.5</v>
      </c>
      <c r="D3213" s="103">
        <f>IF(H3213=0,0,ROUNDDOWN(J3213*H3213,1))</f>
        <v>0</v>
      </c>
      <c r="E3213" s="103">
        <f>IF(H3213=0,0,ROUNDDOWN(K3213*H3213,1))</f>
        <v>0</v>
      </c>
      <c r="F3213" s="103">
        <f>IF(H3213=0,0,ROUNDDOWN(L3213*H3213,1))</f>
        <v>673.5</v>
      </c>
      <c r="G3213" s="16" t="s">
        <v>2016</v>
      </c>
      <c r="H3213" s="108">
        <v>5.0942435058499998E-2</v>
      </c>
      <c r="I3213" s="109">
        <f>K3213+J3213+L3213</f>
        <v>13222</v>
      </c>
      <c r="L3213" s="39">
        <f>중기목록표!H12</f>
        <v>13222</v>
      </c>
      <c r="M3213" s="20" t="s">
        <v>2013</v>
      </c>
      <c r="N3213" s="20" t="s">
        <v>1345</v>
      </c>
      <c r="X3213" s="110" t="str">
        <f>중기목록표!B12&amp;" / "&amp;중기목록표!C12</f>
        <v>덤프트럭10.5ton(암) / 할증율:1.25</v>
      </c>
      <c r="Y3213" s="19" t="str">
        <f ca="1">HYPERLINK("#"&amp;중기목록표!J2&amp;"!A"&amp;ROW(중기목록표!A12),"중기    9 →")</f>
        <v>중기    9 →</v>
      </c>
    </row>
    <row r="3214" spans="1:25" ht="12.6" customHeight="1" x14ac:dyDescent="0.3">
      <c r="A3214" s="80"/>
      <c r="B3214" s="80"/>
      <c r="C3214" s="80"/>
      <c r="D3214" s="80"/>
      <c r="E3214" s="80"/>
      <c r="F3214" s="80"/>
      <c r="G3214" s="16" t="s">
        <v>1324</v>
      </c>
    </row>
    <row r="3215" spans="1:25" ht="12.6" customHeight="1" x14ac:dyDescent="0.3">
      <c r="A3215" s="70"/>
      <c r="B3215" s="79" t="s">
        <v>1344</v>
      </c>
      <c r="C3215" s="104">
        <f>E3215+D3215+F3215</f>
        <v>3142.5</v>
      </c>
      <c r="D3215" s="104">
        <f>SUMIF(N3184:N3214,M3215,D3184:D3214)</f>
        <v>2406</v>
      </c>
      <c r="E3215" s="104">
        <f>SUMIF(N3184:N3214,M3215,E3184:E3214)</f>
        <v>63</v>
      </c>
      <c r="F3215" s="104">
        <f>SUMIF(N3184:N3214,M3215,F3184:F3214)</f>
        <v>673.5</v>
      </c>
      <c r="G3215" s="16" t="s">
        <v>1603</v>
      </c>
      <c r="M3215" s="20" t="s">
        <v>1345</v>
      </c>
      <c r="N3215" s="20" t="s">
        <v>1368</v>
      </c>
    </row>
    <row r="3216" spans="1:25" ht="12.6" customHeight="1" x14ac:dyDescent="0.3">
      <c r="A3216" s="80"/>
      <c r="B3216" s="80"/>
      <c r="C3216" s="102"/>
      <c r="D3216" s="102"/>
      <c r="E3216" s="102"/>
      <c r="F3216" s="102"/>
      <c r="G3216" s="16" t="s">
        <v>1324</v>
      </c>
    </row>
    <row r="3217" spans="1:25" ht="12.6" customHeight="1" x14ac:dyDescent="0.3">
      <c r="A3217" s="70"/>
      <c r="B3217" s="79" t="s">
        <v>1947</v>
      </c>
      <c r="C3217" s="80"/>
      <c r="D3217" s="80"/>
      <c r="E3217" s="80"/>
      <c r="F3217" s="80"/>
      <c r="G3217" s="16" t="s">
        <v>1946</v>
      </c>
    </row>
    <row r="3218" spans="1:25" ht="12.6" customHeight="1" x14ac:dyDescent="0.3">
      <c r="A3218" s="80"/>
      <c r="B3218" s="80"/>
      <c r="C3218" s="80"/>
      <c r="D3218" s="80"/>
      <c r="E3218" s="80"/>
      <c r="F3218" s="80"/>
      <c r="G3218" s="16" t="s">
        <v>1324</v>
      </c>
    </row>
    <row r="3219" spans="1:25" ht="12.6" customHeight="1" x14ac:dyDescent="0.3">
      <c r="A3219" s="70"/>
      <c r="B3219" s="79" t="s">
        <v>1949</v>
      </c>
      <c r="C3219" s="80"/>
      <c r="D3219" s="80"/>
      <c r="E3219" s="80"/>
      <c r="F3219" s="80"/>
      <c r="G3219" s="16" t="s">
        <v>1948</v>
      </c>
    </row>
    <row r="3220" spans="1:25" ht="12.6" customHeight="1" x14ac:dyDescent="0.3">
      <c r="A3220" s="80"/>
      <c r="B3220" s="80"/>
      <c r="C3220" s="80"/>
      <c r="D3220" s="80"/>
      <c r="E3220" s="80"/>
      <c r="F3220" s="80"/>
      <c r="G3220" s="16" t="s">
        <v>1324</v>
      </c>
    </row>
    <row r="3221" spans="1:25" ht="12.6" customHeight="1" x14ac:dyDescent="0.3">
      <c r="A3221" s="70"/>
      <c r="B3221" s="79" t="s">
        <v>2019</v>
      </c>
      <c r="C3221" s="80"/>
      <c r="D3221" s="80"/>
      <c r="E3221" s="80"/>
      <c r="F3221" s="80"/>
      <c r="G3221" s="16" t="s">
        <v>2018</v>
      </c>
    </row>
    <row r="3222" spans="1:25" ht="12.6" customHeight="1" x14ac:dyDescent="0.3">
      <c r="A3222" s="80"/>
      <c r="B3222" s="80"/>
      <c r="C3222" s="80"/>
      <c r="D3222" s="80"/>
      <c r="E3222" s="80"/>
      <c r="F3222" s="80"/>
      <c r="G3222" s="16" t="s">
        <v>1324</v>
      </c>
    </row>
    <row r="3223" spans="1:25" ht="12.6" customHeight="1" x14ac:dyDescent="0.3">
      <c r="A3223" s="70"/>
      <c r="B3223" s="79" t="s">
        <v>2021</v>
      </c>
      <c r="C3223" s="80"/>
      <c r="D3223" s="80"/>
      <c r="E3223" s="80"/>
      <c r="F3223" s="80"/>
      <c r="G3223" s="16" t="s">
        <v>2020</v>
      </c>
    </row>
    <row r="3224" spans="1:25" ht="12.6" customHeight="1" x14ac:dyDescent="0.3">
      <c r="A3224" s="80"/>
      <c r="B3224" s="80"/>
      <c r="C3224" s="80"/>
      <c r="D3224" s="80"/>
      <c r="E3224" s="80"/>
      <c r="F3224" s="80"/>
      <c r="G3224" s="16" t="s">
        <v>1324</v>
      </c>
    </row>
    <row r="3225" spans="1:25" ht="12.6" customHeight="1" x14ac:dyDescent="0.3">
      <c r="A3225" s="70" t="s">
        <v>1394</v>
      </c>
      <c r="B3225" s="101" t="str">
        <f>" 노 무 비  :  "&amp;TEXT(I3225,"#,##0"&amp;IF(I3225&lt;&gt;INT(I3225),".###",""))&amp;" / Q3/ 3 = "&amp;TEXT(C3225,"#,##0.0")&amp;""</f>
        <v xml:space="preserve"> 노 무 비  :  55,700 / Q3/ 3 = 421.0</v>
      </c>
      <c r="C3225" s="103">
        <f>E3225+D3225+F3225</f>
        <v>421</v>
      </c>
      <c r="D3225" s="103">
        <f>IF(H3225=0,0,ROUNDDOWN(J3225*H3225,1))</f>
        <v>421</v>
      </c>
      <c r="E3225" s="103">
        <f>IF(H3225=0,0,ROUNDDOWN(K3225*H3225,1))</f>
        <v>0</v>
      </c>
      <c r="F3225" s="103">
        <f>IF(H3225=0,0,ROUNDDOWN(L3225*H3225,1))</f>
        <v>0</v>
      </c>
      <c r="G3225" s="16" t="s">
        <v>2022</v>
      </c>
      <c r="H3225" s="108">
        <v>7.5585789973000002E-3</v>
      </c>
      <c r="I3225" s="109">
        <f>K3225+J3225+L3225</f>
        <v>55700</v>
      </c>
      <c r="J3225" s="39">
        <f>중기목록표!F9</f>
        <v>55700</v>
      </c>
      <c r="M3225" s="20" t="s">
        <v>1395</v>
      </c>
      <c r="N3225" s="20" t="s">
        <v>1345</v>
      </c>
      <c r="X3225" s="110" t="str">
        <f>중기목록표!B9&amp;" / "&amp;중기목록표!C9</f>
        <v>굴삭기(0.7m3) / 0.7㎥,(암석)</v>
      </c>
      <c r="Y3225" s="19" t="str">
        <f ca="1">HYPERLINK("#"&amp;중기목록표!J2&amp;"!A"&amp;ROW(중기목록표!A9),"중기    6 →")</f>
        <v>중기    6 →</v>
      </c>
    </row>
    <row r="3226" spans="1:25" ht="12.6" customHeight="1" x14ac:dyDescent="0.3">
      <c r="A3226" s="80"/>
      <c r="B3226" s="80"/>
      <c r="C3226" s="80"/>
      <c r="D3226" s="80"/>
      <c r="E3226" s="80"/>
      <c r="F3226" s="80"/>
      <c r="G3226" s="16" t="s">
        <v>1324</v>
      </c>
    </row>
    <row r="3227" spans="1:25" ht="12.6" customHeight="1" x14ac:dyDescent="0.3">
      <c r="A3227" s="70" t="s">
        <v>1397</v>
      </c>
      <c r="B3227" s="101" t="str">
        <f>" 재 료 비  :  "&amp;TEXT(I3227,"#,##0"&amp;IF(I3227&lt;&gt;INT(I3227),".###",""))&amp;" / Q3/ 3 = "&amp;TEXT(C3227,"#,##0.0")&amp;""</f>
        <v xml:space="preserve"> 재 료 비  :  18,001 / Q3/ 3 = 136.0</v>
      </c>
      <c r="C3227" s="103">
        <f>E3227+D3227+F3227</f>
        <v>136</v>
      </c>
      <c r="D3227" s="103">
        <f>IF(H3227=0,0,ROUNDDOWN(J3227*H3227,1))</f>
        <v>0</v>
      </c>
      <c r="E3227" s="103">
        <f>IF(H3227=0,0,ROUNDDOWN(K3227*H3227,1))</f>
        <v>136</v>
      </c>
      <c r="F3227" s="103">
        <f>IF(H3227=0,0,ROUNDDOWN(L3227*H3227,1))</f>
        <v>0</v>
      </c>
      <c r="G3227" s="16" t="s">
        <v>2023</v>
      </c>
      <c r="H3227" s="108">
        <v>7.5585789973000002E-3</v>
      </c>
      <c r="I3227" s="109">
        <f>K3227+J3227+L3227</f>
        <v>18001</v>
      </c>
      <c r="K3227" s="39">
        <f>중기목록표!G9</f>
        <v>18001</v>
      </c>
      <c r="M3227" s="20" t="s">
        <v>1395</v>
      </c>
      <c r="N3227" s="20" t="s">
        <v>1345</v>
      </c>
      <c r="X3227" s="110" t="str">
        <f>중기목록표!B9&amp;" / "&amp;중기목록표!C9</f>
        <v>굴삭기(0.7m3) / 0.7㎥,(암석)</v>
      </c>
      <c r="Y3227" s="19" t="str">
        <f ca="1">HYPERLINK("#"&amp;중기목록표!J2&amp;"!A"&amp;ROW(중기목록표!A9),"중기    6 →")</f>
        <v>중기    6 →</v>
      </c>
    </row>
    <row r="3228" spans="1:25" ht="12.6" customHeight="1" x14ac:dyDescent="0.3">
      <c r="A3228" s="80"/>
      <c r="B3228" s="80"/>
      <c r="C3228" s="80"/>
      <c r="D3228" s="80"/>
      <c r="E3228" s="80"/>
      <c r="F3228" s="80"/>
      <c r="G3228" s="16" t="s">
        <v>1324</v>
      </c>
    </row>
    <row r="3229" spans="1:25" ht="12.6" customHeight="1" x14ac:dyDescent="0.3">
      <c r="A3229" s="70" t="s">
        <v>1399</v>
      </c>
      <c r="B3229" s="101" t="str">
        <f>" 경    비  :  "&amp;TEXT(I3229,"#,##0"&amp;IF(I3229&lt;&gt;INT(I3229),".###",""))&amp;" / Q3/ 3 = "&amp;TEXT(C3229,"#,##0.0")&amp;""</f>
        <v xml:space="preserve"> 경    비  :  26,677 / Q3/ 3 = 201.6</v>
      </c>
      <c r="C3229" s="103">
        <f>E3229+D3229+F3229</f>
        <v>201.6</v>
      </c>
      <c r="D3229" s="103">
        <f>IF(H3229=0,0,ROUNDDOWN(J3229*H3229,1))</f>
        <v>0</v>
      </c>
      <c r="E3229" s="103">
        <f>IF(H3229=0,0,ROUNDDOWN(K3229*H3229,1))</f>
        <v>0</v>
      </c>
      <c r="F3229" s="103">
        <f>IF(H3229=0,0,ROUNDDOWN(L3229*H3229,1))</f>
        <v>201.6</v>
      </c>
      <c r="G3229" s="16" t="s">
        <v>2024</v>
      </c>
      <c r="H3229" s="108">
        <v>7.5585789973000002E-3</v>
      </c>
      <c r="I3229" s="109">
        <f>K3229+J3229+L3229</f>
        <v>26677</v>
      </c>
      <c r="L3229" s="39">
        <f>중기목록표!H9</f>
        <v>26677</v>
      </c>
      <c r="M3229" s="20" t="s">
        <v>1395</v>
      </c>
      <c r="N3229" s="20" t="s">
        <v>1345</v>
      </c>
      <c r="X3229" s="110" t="str">
        <f>중기목록표!B9&amp;" / "&amp;중기목록표!C9</f>
        <v>굴삭기(0.7m3) / 0.7㎥,(암석)</v>
      </c>
      <c r="Y3229" s="19" t="str">
        <f ca="1">HYPERLINK("#"&amp;중기목록표!J2&amp;"!A"&amp;ROW(중기목록표!A9),"중기    6 →")</f>
        <v>중기    6 →</v>
      </c>
    </row>
    <row r="3230" spans="1:25" ht="12.6" customHeight="1" x14ac:dyDescent="0.3">
      <c r="A3230" s="80"/>
      <c r="B3230" s="80"/>
      <c r="C3230" s="80"/>
      <c r="D3230" s="80"/>
      <c r="E3230" s="80"/>
      <c r="F3230" s="80"/>
      <c r="G3230" s="16" t="s">
        <v>1324</v>
      </c>
    </row>
    <row r="3231" spans="1:25" ht="12.6" customHeight="1" x14ac:dyDescent="0.3">
      <c r="A3231" s="70"/>
      <c r="B3231" s="79" t="s">
        <v>1344</v>
      </c>
      <c r="C3231" s="104">
        <f>E3231+D3231+F3231</f>
        <v>758.6</v>
      </c>
      <c r="D3231" s="104">
        <f>SUMIF(N3216:N3230,M3231,D3216:D3230)</f>
        <v>421</v>
      </c>
      <c r="E3231" s="104">
        <f>SUMIF(N3216:N3230,M3231,E3216:E3230)</f>
        <v>136</v>
      </c>
      <c r="F3231" s="104">
        <f>SUMIF(N3216:N3230,M3231,F3216:F3230)</f>
        <v>201.6</v>
      </c>
      <c r="G3231" s="16" t="s">
        <v>1343</v>
      </c>
      <c r="M3231" s="20" t="s">
        <v>1345</v>
      </c>
      <c r="N3231" s="20" t="s">
        <v>1368</v>
      </c>
    </row>
    <row r="3232" spans="1:25" ht="12.6" customHeight="1" x14ac:dyDescent="0.3">
      <c r="A3232" s="80"/>
      <c r="B3232" s="80"/>
      <c r="C3232" s="102"/>
      <c r="D3232" s="102"/>
      <c r="E3232" s="102"/>
      <c r="F3232" s="102"/>
      <c r="G3232" s="16" t="s">
        <v>1324</v>
      </c>
    </row>
    <row r="3233" spans="1:14" ht="12.6" customHeight="1" x14ac:dyDescent="0.3">
      <c r="A3233" s="70"/>
      <c r="B3233" s="79" t="s">
        <v>1171</v>
      </c>
      <c r="C3233" s="104">
        <f>E3233+D3233+F3233</f>
        <v>7826.5</v>
      </c>
      <c r="D3233" s="104">
        <f>SUMIF(N3127:N3232,M3233,D3127:D3232)</f>
        <v>5005.3</v>
      </c>
      <c r="E3233" s="104">
        <f>SUMIF(N3127:N3232,M3233,E3127:E3232)</f>
        <v>902.9</v>
      </c>
      <c r="F3233" s="104">
        <f>SUMIF(N3127:N3232,M3233,F3127:F3232)</f>
        <v>1918.3</v>
      </c>
      <c r="G3233" s="16" t="s">
        <v>1367</v>
      </c>
      <c r="M3233" s="20" t="s">
        <v>1368</v>
      </c>
      <c r="N3233" s="20" t="s">
        <v>1129</v>
      </c>
    </row>
    <row r="3234" spans="1:14" ht="12.6" customHeight="1" x14ac:dyDescent="0.3">
      <c r="A3234" s="80"/>
      <c r="B3234" s="80"/>
      <c r="C3234" s="102"/>
      <c r="D3234" s="102"/>
      <c r="E3234" s="102"/>
      <c r="F3234" s="102"/>
    </row>
    <row r="3235" spans="1:14" ht="12.6" customHeight="1" x14ac:dyDescent="0.3">
      <c r="A3235" s="80"/>
      <c r="B3235" s="80"/>
      <c r="C3235" s="80"/>
      <c r="D3235" s="80"/>
      <c r="E3235" s="80"/>
      <c r="F3235" s="80"/>
    </row>
    <row r="3236" spans="1:14" ht="12.6" customHeight="1" x14ac:dyDescent="0.3">
      <c r="A3236" s="80"/>
      <c r="B3236" s="80"/>
      <c r="C3236" s="80"/>
      <c r="D3236" s="80"/>
      <c r="E3236" s="80"/>
      <c r="F3236" s="80"/>
    </row>
    <row r="3237" spans="1:14" ht="12.6" customHeight="1" x14ac:dyDescent="0.3">
      <c r="A3237" s="80"/>
      <c r="B3237" s="80"/>
      <c r="C3237" s="80"/>
      <c r="D3237" s="80"/>
      <c r="E3237" s="80"/>
      <c r="F3237" s="80"/>
    </row>
    <row r="3238" spans="1:14" ht="12.6" customHeight="1" x14ac:dyDescent="0.3">
      <c r="A3238" s="80"/>
      <c r="B3238" s="80"/>
      <c r="C3238" s="80"/>
      <c r="D3238" s="80"/>
      <c r="E3238" s="80"/>
      <c r="F3238" s="80"/>
    </row>
    <row r="3239" spans="1:14" ht="12.6" customHeight="1" x14ac:dyDescent="0.3">
      <c r="A3239" s="80"/>
      <c r="B3239" s="80"/>
      <c r="C3239" s="80"/>
      <c r="D3239" s="80"/>
      <c r="E3239" s="80"/>
      <c r="F3239" s="80"/>
    </row>
    <row r="3240" spans="1:14" ht="12.6" customHeight="1" x14ac:dyDescent="0.3">
      <c r="A3240" s="80"/>
      <c r="B3240" s="80"/>
      <c r="C3240" s="80"/>
      <c r="D3240" s="80"/>
      <c r="E3240" s="80"/>
      <c r="F3240" s="80"/>
    </row>
    <row r="3241" spans="1:14" ht="12.6" customHeight="1" x14ac:dyDescent="0.3">
      <c r="A3241" s="80"/>
      <c r="B3241" s="80"/>
      <c r="C3241" s="80"/>
      <c r="D3241" s="80"/>
      <c r="E3241" s="80"/>
      <c r="F3241" s="80"/>
    </row>
    <row r="3242" spans="1:14" ht="12.6" customHeight="1" x14ac:dyDescent="0.3">
      <c r="A3242" s="80"/>
      <c r="B3242" s="80"/>
      <c r="C3242" s="80"/>
      <c r="D3242" s="80"/>
      <c r="E3242" s="80"/>
      <c r="F3242" s="80"/>
    </row>
    <row r="3243" spans="1:14" ht="12.6" customHeight="1" x14ac:dyDescent="0.3">
      <c r="A3243" s="80"/>
      <c r="B3243" s="80"/>
      <c r="C3243" s="80"/>
      <c r="D3243" s="80"/>
      <c r="E3243" s="80"/>
      <c r="F3243" s="80"/>
    </row>
    <row r="3244" spans="1:14" ht="12.6" customHeight="1" x14ac:dyDescent="0.3">
      <c r="A3244" s="80"/>
      <c r="B3244" s="80"/>
      <c r="C3244" s="80"/>
      <c r="D3244" s="80"/>
      <c r="E3244" s="80"/>
      <c r="F3244" s="80"/>
    </row>
    <row r="3245" spans="1:14" ht="12.6" customHeight="1" x14ac:dyDescent="0.3">
      <c r="A3245" s="80"/>
      <c r="B3245" s="80"/>
      <c r="C3245" s="80"/>
      <c r="D3245" s="80"/>
      <c r="E3245" s="80"/>
      <c r="F3245" s="80"/>
    </row>
    <row r="3246" spans="1:14" ht="12.6" customHeight="1" x14ac:dyDescent="0.3">
      <c r="A3246" s="80"/>
      <c r="B3246" s="80"/>
      <c r="C3246" s="80"/>
      <c r="D3246" s="80"/>
      <c r="E3246" s="80"/>
      <c r="F3246" s="80"/>
    </row>
    <row r="3247" spans="1:14" ht="12.6" customHeight="1" x14ac:dyDescent="0.3">
      <c r="A3247" s="80"/>
      <c r="B3247" s="80"/>
      <c r="C3247" s="80"/>
      <c r="D3247" s="80"/>
      <c r="E3247" s="80"/>
      <c r="F3247" s="80"/>
    </row>
    <row r="3248" spans="1:14" ht="12.6" customHeight="1" x14ac:dyDescent="0.3">
      <c r="A3248" s="80"/>
      <c r="B3248" s="80"/>
      <c r="C3248" s="80"/>
      <c r="D3248" s="80"/>
      <c r="E3248" s="80"/>
      <c r="F3248" s="80"/>
    </row>
    <row r="3249" spans="1:14" ht="12.6" customHeight="1" x14ac:dyDescent="0.3">
      <c r="A3249" s="80"/>
      <c r="B3249" s="80"/>
      <c r="C3249" s="80"/>
      <c r="D3249" s="80"/>
      <c r="E3249" s="80"/>
      <c r="F3249" s="80"/>
    </row>
    <row r="3250" spans="1:14" ht="12.6" customHeight="1" x14ac:dyDescent="0.3">
      <c r="A3250" s="80"/>
      <c r="B3250" s="80"/>
      <c r="C3250" s="80"/>
      <c r="D3250" s="80"/>
      <c r="E3250" s="80"/>
      <c r="F3250" s="80"/>
    </row>
    <row r="3251" spans="1:14" ht="12.6" customHeight="1" x14ac:dyDescent="0.3">
      <c r="A3251" s="80"/>
      <c r="B3251" s="80"/>
      <c r="C3251" s="80"/>
      <c r="D3251" s="80"/>
      <c r="E3251" s="80"/>
      <c r="F3251" s="80"/>
    </row>
    <row r="3252" spans="1:14" ht="12.6" customHeight="1" x14ac:dyDescent="0.3">
      <c r="A3252" s="80"/>
      <c r="B3252" s="80"/>
      <c r="C3252" s="80"/>
      <c r="D3252" s="80"/>
      <c r="E3252" s="80"/>
      <c r="F3252" s="80"/>
    </row>
    <row r="3253" spans="1:14" ht="12.6" customHeight="1" x14ac:dyDescent="0.3">
      <c r="A3253" s="80"/>
      <c r="B3253" s="80"/>
      <c r="C3253" s="80"/>
      <c r="D3253" s="80"/>
      <c r="E3253" s="80"/>
      <c r="F3253" s="80"/>
    </row>
    <row r="3254" spans="1:14" ht="12.6" customHeight="1" x14ac:dyDescent="0.3">
      <c r="A3254" s="80"/>
      <c r="B3254" s="80"/>
      <c r="C3254" s="80"/>
      <c r="D3254" s="80"/>
      <c r="E3254" s="80"/>
      <c r="F3254" s="80"/>
    </row>
    <row r="3255" spans="1:14" ht="12.6" customHeight="1" x14ac:dyDescent="0.3">
      <c r="A3255" s="80"/>
      <c r="B3255" s="80"/>
      <c r="C3255" s="80"/>
      <c r="D3255" s="80"/>
      <c r="E3255" s="80"/>
      <c r="F3255" s="80"/>
    </row>
    <row r="3256" spans="1:14" ht="12.6" customHeight="1" x14ac:dyDescent="0.3">
      <c r="A3256" s="80"/>
      <c r="B3256" s="80"/>
      <c r="C3256" s="80"/>
      <c r="D3256" s="80"/>
      <c r="E3256" s="80"/>
      <c r="F3256" s="80"/>
    </row>
    <row r="3257" spans="1:14" ht="12.6" customHeight="1" x14ac:dyDescent="0.3">
      <c r="A3257" s="80"/>
      <c r="B3257" s="80"/>
      <c r="C3257" s="80"/>
      <c r="D3257" s="80"/>
      <c r="E3257" s="80"/>
      <c r="F3257" s="80"/>
    </row>
    <row r="3258" spans="1:14" ht="12.6" customHeight="1" x14ac:dyDescent="0.3">
      <c r="A3258" s="80"/>
      <c r="B3258" s="80"/>
      <c r="C3258" s="80"/>
      <c r="D3258" s="80"/>
      <c r="E3258" s="80"/>
      <c r="F3258" s="80"/>
    </row>
    <row r="3259" spans="1:14" ht="12.6" customHeight="1" x14ac:dyDescent="0.3">
      <c r="A3259" s="80"/>
      <c r="B3259" s="80"/>
      <c r="C3259" s="80"/>
      <c r="D3259" s="80"/>
      <c r="E3259" s="80"/>
      <c r="F3259" s="80"/>
    </row>
    <row r="3260" spans="1:14" ht="12.6" customHeight="1" x14ac:dyDescent="0.3">
      <c r="A3260" s="80"/>
      <c r="B3260" s="80"/>
      <c r="C3260" s="80"/>
      <c r="D3260" s="80"/>
      <c r="E3260" s="80"/>
      <c r="F3260" s="80"/>
    </row>
    <row r="3261" spans="1:14" ht="12.6" customHeight="1" x14ac:dyDescent="0.3">
      <c r="A3261" s="58"/>
      <c r="B3261" s="58"/>
      <c r="C3261" s="58"/>
      <c r="D3261" s="58"/>
      <c r="E3261" s="58"/>
      <c r="F3261" s="58"/>
    </row>
    <row r="3262" spans="1:14" ht="12.6" customHeight="1" x14ac:dyDescent="0.3">
      <c r="A3262" s="141" t="s">
        <v>1171</v>
      </c>
      <c r="B3262" s="142"/>
      <c r="C3262" s="55">
        <f>E3262+D3262+F3262</f>
        <v>7825</v>
      </c>
      <c r="D3262" s="54">
        <f>ROUNDDOWN(SUMIF(N3127:N3233,M3262,D3127:D3233),0)</f>
        <v>5005</v>
      </c>
      <c r="E3262" s="63">
        <f>ROUNDDOWN(SUMIF(N3127:N3233,M3262,E3127:E3233),0)</f>
        <v>902</v>
      </c>
      <c r="F3262" s="55">
        <f>ROUNDDOWN(SUMIF(N3127:N3233,M3262,F3127:F3233),0)</f>
        <v>1918</v>
      </c>
      <c r="M3262" s="20" t="s">
        <v>1129</v>
      </c>
      <c r="N3262" s="20" t="s">
        <v>1172</v>
      </c>
    </row>
    <row r="3263" spans="1:14" ht="12.6" customHeight="1" x14ac:dyDescent="0.3">
      <c r="A3263" s="141" t="s">
        <v>1173</v>
      </c>
      <c r="B3263" s="142"/>
      <c r="C3263" s="55">
        <f>E3263+D3263+F3263</f>
        <v>6924</v>
      </c>
      <c r="D3263" s="54">
        <f>ROUNDDOWN(D3262*H3263/100,0)</f>
        <v>4429</v>
      </c>
      <c r="E3263" s="63">
        <f>ROUNDDOWN(E3262*H3263/100,0)</f>
        <v>798</v>
      </c>
      <c r="F3263" s="55">
        <f>ROUNDDOWN(F3262*H3263/100,0)</f>
        <v>1697</v>
      </c>
      <c r="H3263" s="67">
        <v>88.5</v>
      </c>
      <c r="M3263" s="20" t="s">
        <v>1172</v>
      </c>
    </row>
    <row r="3264" spans="1:14" ht="12.6" customHeight="1" x14ac:dyDescent="0.3">
      <c r="A3264" s="99" t="s">
        <v>336</v>
      </c>
      <c r="B3264" s="100" t="s">
        <v>336</v>
      </c>
      <c r="C3264" s="147">
        <f>C3297</f>
        <v>904</v>
      </c>
      <c r="D3264" s="147">
        <f>D3297</f>
        <v>521</v>
      </c>
      <c r="E3264" s="147">
        <f>E3297</f>
        <v>168</v>
      </c>
      <c r="F3264" s="147">
        <f>F3297</f>
        <v>215</v>
      </c>
      <c r="G3264" s="36" t="str">
        <f>HYPERLINK("#G"&amp;ROW(G3283),"_x0005_`BDCOD|D02295_x0007_`POSS|"&amp;ROW(G3266)&amp;"_x0007_`POSE|"&amp;ROW(G3283)&amp;"_x0007_`")</f>
        <v>_x0005_`BDCOD|D02295_x0007_`POSS|3266_x0007_`POSE|3283_x0007_`</v>
      </c>
    </row>
    <row r="3265" spans="1:25" ht="12.6" customHeight="1" x14ac:dyDescent="0.3">
      <c r="A3265" s="85"/>
      <c r="B3265" s="100" t="s">
        <v>266</v>
      </c>
      <c r="C3265" s="137"/>
      <c r="D3265" s="137"/>
      <c r="E3265" s="137"/>
      <c r="F3265" s="137"/>
      <c r="M3265" s="20" t="s">
        <v>335</v>
      </c>
    </row>
    <row r="3266" spans="1:25" ht="12.6" customHeight="1" x14ac:dyDescent="0.3">
      <c r="A3266" s="80"/>
      <c r="B3266" s="80"/>
      <c r="C3266" s="102"/>
      <c r="D3266" s="102"/>
      <c r="E3266" s="102"/>
      <c r="F3266" s="102"/>
      <c r="G3266" s="16" t="s">
        <v>1324</v>
      </c>
    </row>
    <row r="3267" spans="1:25" ht="12.6" customHeight="1" x14ac:dyDescent="0.3">
      <c r="A3267" s="80"/>
      <c r="B3267" s="80"/>
      <c r="C3267" s="80"/>
      <c r="D3267" s="80"/>
      <c r="E3267" s="80"/>
      <c r="F3267" s="80"/>
      <c r="G3267" s="16" t="s">
        <v>1324</v>
      </c>
    </row>
    <row r="3268" spans="1:25" ht="12.6" customHeight="1" x14ac:dyDescent="0.3">
      <c r="A3268" s="70"/>
      <c r="B3268" s="79" t="s">
        <v>2416</v>
      </c>
      <c r="C3268" s="80"/>
      <c r="D3268" s="80"/>
      <c r="E3268" s="80"/>
      <c r="F3268" s="80"/>
      <c r="G3268" s="16" t="s">
        <v>334</v>
      </c>
    </row>
    <row r="3269" spans="1:25" ht="12.6" customHeight="1" x14ac:dyDescent="0.3">
      <c r="A3269" s="80"/>
      <c r="B3269" s="80"/>
      <c r="C3269" s="80"/>
      <c r="D3269" s="80"/>
      <c r="E3269" s="80"/>
      <c r="F3269" s="80"/>
      <c r="G3269" s="16" t="s">
        <v>1324</v>
      </c>
    </row>
    <row r="3270" spans="1:25" ht="12.6" customHeight="1" x14ac:dyDescent="0.3">
      <c r="A3270" s="70"/>
      <c r="B3270" s="79" t="s">
        <v>2030</v>
      </c>
      <c r="C3270" s="80"/>
      <c r="D3270" s="80"/>
      <c r="E3270" s="80"/>
      <c r="F3270" s="80"/>
      <c r="G3270" s="16" t="s">
        <v>2029</v>
      </c>
    </row>
    <row r="3271" spans="1:25" ht="12.6" customHeight="1" x14ac:dyDescent="0.3">
      <c r="A3271" s="80"/>
      <c r="B3271" s="80"/>
      <c r="C3271" s="80"/>
      <c r="D3271" s="80"/>
      <c r="E3271" s="80"/>
      <c r="F3271" s="80"/>
      <c r="G3271" s="16" t="s">
        <v>1324</v>
      </c>
    </row>
    <row r="3272" spans="1:25" ht="12.6" customHeight="1" x14ac:dyDescent="0.3">
      <c r="A3272" s="70"/>
      <c r="B3272" s="79" t="s">
        <v>2418</v>
      </c>
      <c r="C3272" s="80"/>
      <c r="D3272" s="80"/>
      <c r="E3272" s="80"/>
      <c r="F3272" s="80"/>
      <c r="G3272" s="16" t="s">
        <v>2417</v>
      </c>
    </row>
    <row r="3273" spans="1:25" ht="12.6" customHeight="1" x14ac:dyDescent="0.3">
      <c r="A3273" s="80"/>
      <c r="B3273" s="80"/>
      <c r="C3273" s="80"/>
      <c r="D3273" s="80"/>
      <c r="E3273" s="80"/>
      <c r="F3273" s="80"/>
      <c r="G3273" s="16" t="s">
        <v>1324</v>
      </c>
    </row>
    <row r="3274" spans="1:25" ht="12.6" customHeight="1" x14ac:dyDescent="0.3">
      <c r="A3274" s="70"/>
      <c r="B3274" s="79" t="s">
        <v>2419</v>
      </c>
      <c r="C3274" s="80"/>
      <c r="D3274" s="80"/>
      <c r="E3274" s="80"/>
      <c r="F3274" s="80"/>
      <c r="G3274" s="16" t="s">
        <v>1907</v>
      </c>
    </row>
    <row r="3275" spans="1:25" ht="12.6" customHeight="1" x14ac:dyDescent="0.3">
      <c r="A3275" s="80"/>
      <c r="B3275" s="80"/>
      <c r="C3275" s="80"/>
      <c r="D3275" s="80"/>
      <c r="E3275" s="80"/>
      <c r="F3275" s="80"/>
      <c r="G3275" s="16" t="s">
        <v>1324</v>
      </c>
    </row>
    <row r="3276" spans="1:25" ht="12.6" customHeight="1" x14ac:dyDescent="0.3">
      <c r="A3276" s="70" t="s">
        <v>1524</v>
      </c>
      <c r="B3276" s="101" t="str">
        <f>" 노 무 비  :   "&amp;TEXT(I3276,"#,##0"&amp;IF(I3276&lt;&gt;INT(I3276),".###",""))&amp;" / Q  = "&amp;TEXT(C3276,"#,##0.0")&amp;""</f>
        <v xml:space="preserve"> 노 무 비  :   55,700 / Q  = 589.4</v>
      </c>
      <c r="C3276" s="103">
        <f>E3276+D3276+F3276</f>
        <v>589.4</v>
      </c>
      <c r="D3276" s="103">
        <f>IF(H3276=0,0,ROUNDDOWN(J3276*H3276,1))</f>
        <v>589.4</v>
      </c>
      <c r="E3276" s="103">
        <f>IF(H3276=0,0,ROUNDDOWN(K3276*H3276,1))</f>
        <v>0</v>
      </c>
      <c r="F3276" s="103">
        <f>IF(H3276=0,0,ROUNDDOWN(L3276*H3276,1))</f>
        <v>0</v>
      </c>
      <c r="G3276" s="16" t="s">
        <v>1909</v>
      </c>
      <c r="H3276" s="108">
        <v>1.05820105921E-2</v>
      </c>
      <c r="I3276" s="109">
        <f>K3276+J3276+L3276</f>
        <v>55700</v>
      </c>
      <c r="J3276" s="39">
        <f>중기목록표!F7</f>
        <v>55700</v>
      </c>
      <c r="M3276" s="20" t="s">
        <v>1179</v>
      </c>
      <c r="N3276" s="20" t="s">
        <v>1345</v>
      </c>
      <c r="X3276" s="110" t="str">
        <f>중기목록표!B7&amp;" / "&amp;중기목록표!C7</f>
        <v xml:space="preserve">굴삭기(0.7m3) / </v>
      </c>
      <c r="Y3276" s="19" t="str">
        <f ca="1">HYPERLINK("#"&amp;중기목록표!J2&amp;"!A"&amp;ROW(중기목록표!A7),"중기    4 →")</f>
        <v>중기    4 →</v>
      </c>
    </row>
    <row r="3277" spans="1:25" ht="12.6" customHeight="1" x14ac:dyDescent="0.3">
      <c r="A3277" s="80"/>
      <c r="B3277" s="80"/>
      <c r="C3277" s="80"/>
      <c r="D3277" s="80"/>
      <c r="E3277" s="80"/>
      <c r="F3277" s="80"/>
      <c r="G3277" s="16" t="s">
        <v>1324</v>
      </c>
    </row>
    <row r="3278" spans="1:25" ht="12.6" customHeight="1" x14ac:dyDescent="0.3">
      <c r="A3278" s="70" t="s">
        <v>1526</v>
      </c>
      <c r="B3278" s="101" t="str">
        <f>" 재 료 비  :   "&amp;TEXT(I3278,"#,##0"&amp;IF(I3278&lt;&gt;INT(I3278),".###",""))&amp;" / Q  = "&amp;TEXT(C3278,"#,##0.0")&amp;""</f>
        <v xml:space="preserve"> 재 료 비  :   18,001 / Q  = 190.4</v>
      </c>
      <c r="C3278" s="103">
        <f>E3278+D3278+F3278</f>
        <v>190.4</v>
      </c>
      <c r="D3278" s="103">
        <f>IF(H3278=0,0,ROUNDDOWN(J3278*H3278,1))</f>
        <v>0</v>
      </c>
      <c r="E3278" s="103">
        <f>IF(H3278=0,0,ROUNDDOWN(K3278*H3278,1))</f>
        <v>190.4</v>
      </c>
      <c r="F3278" s="103">
        <f>IF(H3278=0,0,ROUNDDOWN(L3278*H3278,1))</f>
        <v>0</v>
      </c>
      <c r="G3278" s="16" t="s">
        <v>1910</v>
      </c>
      <c r="H3278" s="108">
        <v>1.05820105921E-2</v>
      </c>
      <c r="I3278" s="109">
        <f>K3278+J3278+L3278</f>
        <v>18001</v>
      </c>
      <c r="K3278" s="39">
        <f>중기목록표!G7</f>
        <v>18001</v>
      </c>
      <c r="M3278" s="20" t="s">
        <v>1179</v>
      </c>
      <c r="N3278" s="20" t="s">
        <v>1345</v>
      </c>
      <c r="X3278" s="110" t="str">
        <f>중기목록표!B7&amp;" / "&amp;중기목록표!C7</f>
        <v xml:space="preserve">굴삭기(0.7m3) / </v>
      </c>
      <c r="Y3278" s="19" t="str">
        <f ca="1">HYPERLINK("#"&amp;중기목록표!J2&amp;"!A"&amp;ROW(중기목록표!A7),"중기    4 →")</f>
        <v>중기    4 →</v>
      </c>
    </row>
    <row r="3279" spans="1:25" ht="12.6" customHeight="1" x14ac:dyDescent="0.3">
      <c r="A3279" s="80"/>
      <c r="B3279" s="80"/>
      <c r="C3279" s="80"/>
      <c r="D3279" s="80"/>
      <c r="E3279" s="80"/>
      <c r="F3279" s="80"/>
      <c r="G3279" s="16" t="s">
        <v>1324</v>
      </c>
    </row>
    <row r="3280" spans="1:25" ht="12.6" customHeight="1" x14ac:dyDescent="0.3">
      <c r="A3280" s="70" t="s">
        <v>1528</v>
      </c>
      <c r="B3280" s="101" t="str">
        <f>" 경    비  :   "&amp;TEXT(I3280,"#,##0"&amp;IF(I3280&lt;&gt;INT(I3280),".###",""))&amp;" / Q  = "&amp;TEXT(C3280,"#,##0.0")&amp;""</f>
        <v xml:space="preserve"> 경    비  :   23,128 / Q  = 244.7</v>
      </c>
      <c r="C3280" s="103">
        <f>E3280+D3280+F3280</f>
        <v>244.7</v>
      </c>
      <c r="D3280" s="103">
        <f>IF(H3280=0,0,ROUNDDOWN(J3280*H3280,1))</f>
        <v>0</v>
      </c>
      <c r="E3280" s="103">
        <f>IF(H3280=0,0,ROUNDDOWN(K3280*H3280,1))</f>
        <v>0</v>
      </c>
      <c r="F3280" s="103">
        <f>IF(H3280=0,0,ROUNDDOWN(L3280*H3280,1))</f>
        <v>244.7</v>
      </c>
      <c r="G3280" s="16" t="s">
        <v>1911</v>
      </c>
      <c r="H3280" s="108">
        <v>1.05820105921E-2</v>
      </c>
      <c r="I3280" s="109">
        <f>K3280+J3280+L3280</f>
        <v>23128</v>
      </c>
      <c r="L3280" s="39">
        <f>중기목록표!H7</f>
        <v>23128</v>
      </c>
      <c r="M3280" s="20" t="s">
        <v>1179</v>
      </c>
      <c r="N3280" s="20" t="s">
        <v>1345</v>
      </c>
      <c r="X3280" s="110" t="str">
        <f>중기목록표!B7&amp;" / "&amp;중기목록표!C7</f>
        <v xml:space="preserve">굴삭기(0.7m3) / </v>
      </c>
      <c r="Y3280" s="19" t="str">
        <f ca="1">HYPERLINK("#"&amp;중기목록표!J2&amp;"!A"&amp;ROW(중기목록표!A7),"중기    4 →")</f>
        <v>중기    4 →</v>
      </c>
    </row>
    <row r="3281" spans="1:14" ht="12.6" customHeight="1" x14ac:dyDescent="0.3">
      <c r="A3281" s="80"/>
      <c r="B3281" s="80"/>
      <c r="C3281" s="80"/>
      <c r="D3281" s="80"/>
      <c r="E3281" s="80"/>
      <c r="F3281" s="80"/>
      <c r="G3281" s="16" t="s">
        <v>1324</v>
      </c>
    </row>
    <row r="3282" spans="1:14" ht="12.6" customHeight="1" x14ac:dyDescent="0.3">
      <c r="A3282" s="70"/>
      <c r="B3282" s="79" t="s">
        <v>1344</v>
      </c>
      <c r="C3282" s="104">
        <f>E3282+D3282+F3282</f>
        <v>1024.5</v>
      </c>
      <c r="D3282" s="104">
        <f>SUMIF(N3266:N3281,M3282,D3266:D3281)</f>
        <v>589.4</v>
      </c>
      <c r="E3282" s="104">
        <f>SUMIF(N3266:N3281,M3282,E3266:E3281)</f>
        <v>190.4</v>
      </c>
      <c r="F3282" s="104">
        <f>SUMIF(N3266:N3281,M3282,F3266:F3281)</f>
        <v>244.7</v>
      </c>
      <c r="G3282" s="16" t="s">
        <v>1343</v>
      </c>
      <c r="M3282" s="20" t="s">
        <v>1345</v>
      </c>
      <c r="N3282" s="20" t="s">
        <v>1129</v>
      </c>
    </row>
    <row r="3283" spans="1:14" ht="12.6" customHeight="1" x14ac:dyDescent="0.3">
      <c r="A3283" s="80"/>
      <c r="B3283" s="80"/>
      <c r="C3283" s="102"/>
      <c r="D3283" s="102"/>
      <c r="E3283" s="102"/>
      <c r="F3283" s="102"/>
      <c r="G3283" s="16" t="s">
        <v>1324</v>
      </c>
    </row>
    <row r="3284" spans="1:14" ht="12.6" customHeight="1" x14ac:dyDescent="0.3">
      <c r="A3284" s="80"/>
      <c r="B3284" s="80"/>
      <c r="C3284" s="80"/>
      <c r="D3284" s="80"/>
      <c r="E3284" s="80"/>
      <c r="F3284" s="80"/>
    </row>
    <row r="3285" spans="1:14" ht="12.6" customHeight="1" x14ac:dyDescent="0.3">
      <c r="A3285" s="80"/>
      <c r="B3285" s="80"/>
      <c r="C3285" s="80"/>
      <c r="D3285" s="80"/>
      <c r="E3285" s="80"/>
      <c r="F3285" s="80"/>
    </row>
    <row r="3286" spans="1:14" ht="12.6" customHeight="1" x14ac:dyDescent="0.3">
      <c r="A3286" s="80"/>
      <c r="B3286" s="80"/>
      <c r="C3286" s="80"/>
      <c r="D3286" s="80"/>
      <c r="E3286" s="80"/>
      <c r="F3286" s="80"/>
    </row>
    <row r="3287" spans="1:14" ht="12.6" customHeight="1" x14ac:dyDescent="0.3">
      <c r="A3287" s="80"/>
      <c r="B3287" s="80"/>
      <c r="C3287" s="80"/>
      <c r="D3287" s="80"/>
      <c r="E3287" s="80"/>
      <c r="F3287" s="80"/>
    </row>
    <row r="3288" spans="1:14" ht="12.6" customHeight="1" x14ac:dyDescent="0.3">
      <c r="A3288" s="80"/>
      <c r="B3288" s="80"/>
      <c r="C3288" s="80"/>
      <c r="D3288" s="80"/>
      <c r="E3288" s="80"/>
      <c r="F3288" s="80"/>
    </row>
    <row r="3289" spans="1:14" ht="12.6" customHeight="1" x14ac:dyDescent="0.3">
      <c r="A3289" s="80"/>
      <c r="B3289" s="80"/>
      <c r="C3289" s="80"/>
      <c r="D3289" s="80"/>
      <c r="E3289" s="80"/>
      <c r="F3289" s="80"/>
    </row>
    <row r="3290" spans="1:14" ht="12.6" customHeight="1" x14ac:dyDescent="0.3">
      <c r="A3290" s="80"/>
      <c r="B3290" s="80"/>
      <c r="C3290" s="80"/>
      <c r="D3290" s="80"/>
      <c r="E3290" s="80"/>
      <c r="F3290" s="80"/>
    </row>
    <row r="3291" spans="1:14" ht="12.6" customHeight="1" x14ac:dyDescent="0.3">
      <c r="A3291" s="80"/>
      <c r="B3291" s="80"/>
      <c r="C3291" s="80"/>
      <c r="D3291" s="80"/>
      <c r="E3291" s="80"/>
      <c r="F3291" s="80"/>
    </row>
    <row r="3292" spans="1:14" ht="12.6" customHeight="1" x14ac:dyDescent="0.3">
      <c r="A3292" s="80"/>
      <c r="B3292" s="80"/>
      <c r="C3292" s="80"/>
      <c r="D3292" s="80"/>
      <c r="E3292" s="80"/>
      <c r="F3292" s="80"/>
    </row>
    <row r="3293" spans="1:14" ht="12.6" customHeight="1" x14ac:dyDescent="0.3">
      <c r="A3293" s="80"/>
      <c r="B3293" s="80"/>
      <c r="C3293" s="80"/>
      <c r="D3293" s="80"/>
      <c r="E3293" s="80"/>
      <c r="F3293" s="80"/>
    </row>
    <row r="3294" spans="1:14" ht="12.6" customHeight="1" x14ac:dyDescent="0.3">
      <c r="A3294" s="80"/>
      <c r="B3294" s="80"/>
      <c r="C3294" s="80"/>
      <c r="D3294" s="80"/>
      <c r="E3294" s="80"/>
      <c r="F3294" s="80"/>
    </row>
    <row r="3295" spans="1:14" ht="12.6" customHeight="1" x14ac:dyDescent="0.3">
      <c r="A3295" s="58"/>
      <c r="B3295" s="58"/>
      <c r="C3295" s="58"/>
      <c r="D3295" s="58"/>
      <c r="E3295" s="58"/>
      <c r="F3295" s="58"/>
    </row>
    <row r="3296" spans="1:14" ht="12.6" customHeight="1" x14ac:dyDescent="0.3">
      <c r="A3296" s="141" t="s">
        <v>1171</v>
      </c>
      <c r="B3296" s="142"/>
      <c r="C3296" s="55">
        <f>E3296+D3296+F3296</f>
        <v>1023</v>
      </c>
      <c r="D3296" s="54">
        <f>ROUNDDOWN(SUMIF(N3266:N3283,M3296,D3266:D3283),0)</f>
        <v>589</v>
      </c>
      <c r="E3296" s="63">
        <f>ROUNDDOWN(SUMIF(N3266:N3283,M3296,E3266:E3283),0)</f>
        <v>190</v>
      </c>
      <c r="F3296" s="55">
        <f>ROUNDDOWN(SUMIF(N3266:N3283,M3296,F3266:F3283),0)</f>
        <v>244</v>
      </c>
      <c r="M3296" s="20" t="s">
        <v>1129</v>
      </c>
      <c r="N3296" s="20" t="s">
        <v>1172</v>
      </c>
    </row>
    <row r="3297" spans="1:25" ht="12.6" customHeight="1" x14ac:dyDescent="0.3">
      <c r="A3297" s="141" t="s">
        <v>1173</v>
      </c>
      <c r="B3297" s="142"/>
      <c r="C3297" s="55">
        <f>E3297+D3297+F3297</f>
        <v>904</v>
      </c>
      <c r="D3297" s="54">
        <f>ROUNDDOWN(D3296*H3297/100,0)</f>
        <v>521</v>
      </c>
      <c r="E3297" s="63">
        <f>ROUNDDOWN(E3296*H3297/100,0)</f>
        <v>168</v>
      </c>
      <c r="F3297" s="55">
        <f>ROUNDDOWN(F3296*H3297/100,0)</f>
        <v>215</v>
      </c>
      <c r="H3297" s="67">
        <v>88.5</v>
      </c>
      <c r="M3297" s="20" t="s">
        <v>1172</v>
      </c>
    </row>
    <row r="3298" spans="1:25" ht="12.6" customHeight="1" x14ac:dyDescent="0.3">
      <c r="A3298" s="99" t="s">
        <v>339</v>
      </c>
      <c r="B3298" s="100" t="s">
        <v>339</v>
      </c>
      <c r="C3298" s="147">
        <f>C3331</f>
        <v>13475</v>
      </c>
      <c r="D3298" s="147">
        <f>D3331</f>
        <v>0</v>
      </c>
      <c r="E3298" s="147">
        <f>E3331</f>
        <v>0</v>
      </c>
      <c r="F3298" s="147">
        <f>F3331</f>
        <v>13475</v>
      </c>
      <c r="G3298" s="36" t="str">
        <f>HYPERLINK("#G"&amp;ROW(G3324),"_x0005_`BDCOD|D02296_x0007_`POSS|"&amp;ROW(G3300)&amp;"_x0007_`POSE|"&amp;ROW(G3324)&amp;"_x0007_`")</f>
        <v>_x0005_`BDCOD|D02296_x0007_`POSS|3300_x0007_`POSE|3324_x0007_`</v>
      </c>
    </row>
    <row r="3299" spans="1:25" ht="12.6" customHeight="1" x14ac:dyDescent="0.3">
      <c r="A3299" s="85"/>
      <c r="B3299" s="100" t="s">
        <v>338</v>
      </c>
      <c r="C3299" s="137"/>
      <c r="D3299" s="137"/>
      <c r="E3299" s="137"/>
      <c r="F3299" s="137"/>
      <c r="M3299" s="20" t="s">
        <v>337</v>
      </c>
    </row>
    <row r="3300" spans="1:25" ht="12.6" customHeight="1" x14ac:dyDescent="0.3">
      <c r="A3300" s="80"/>
      <c r="B3300" s="80"/>
      <c r="C3300" s="102"/>
      <c r="D3300" s="102"/>
      <c r="E3300" s="102"/>
      <c r="F3300" s="102"/>
      <c r="G3300" s="16" t="s">
        <v>1324</v>
      </c>
    </row>
    <row r="3301" spans="1:25" ht="12.6" customHeight="1" x14ac:dyDescent="0.3">
      <c r="A3301" s="70"/>
      <c r="B3301" s="79" t="s">
        <v>2421</v>
      </c>
      <c r="C3301" s="80"/>
      <c r="D3301" s="80"/>
      <c r="E3301" s="80"/>
      <c r="F3301" s="80"/>
      <c r="G3301" s="16" t="s">
        <v>2420</v>
      </c>
    </row>
    <row r="3302" spans="1:25" ht="12.6" customHeight="1" x14ac:dyDescent="0.3">
      <c r="A3302" s="80"/>
      <c r="B3302" s="80"/>
      <c r="C3302" s="80"/>
      <c r="D3302" s="80"/>
      <c r="E3302" s="80"/>
      <c r="F3302" s="80"/>
      <c r="G3302" s="16" t="s">
        <v>1324</v>
      </c>
    </row>
    <row r="3303" spans="1:25" ht="12.6" customHeight="1" x14ac:dyDescent="0.3">
      <c r="A3303" s="80"/>
      <c r="B3303" s="80"/>
      <c r="C3303" s="80"/>
      <c r="D3303" s="80"/>
      <c r="E3303" s="80"/>
      <c r="F3303" s="80"/>
      <c r="G3303" s="16" t="s">
        <v>1324</v>
      </c>
    </row>
    <row r="3304" spans="1:25" ht="12.6" customHeight="1" x14ac:dyDescent="0.3">
      <c r="A3304" s="70"/>
      <c r="B3304" s="79" t="s">
        <v>2423</v>
      </c>
      <c r="C3304" s="80"/>
      <c r="D3304" s="80"/>
      <c r="E3304" s="80"/>
      <c r="F3304" s="80"/>
      <c r="G3304" s="16" t="s">
        <v>2422</v>
      </c>
    </row>
    <row r="3305" spans="1:25" ht="12.6" customHeight="1" x14ac:dyDescent="0.3">
      <c r="A3305" s="70"/>
      <c r="B3305" s="79" t="s">
        <v>2425</v>
      </c>
      <c r="C3305" s="80"/>
      <c r="D3305" s="80"/>
      <c r="E3305" s="80"/>
      <c r="F3305" s="80"/>
      <c r="G3305" s="16" t="s">
        <v>2424</v>
      </c>
    </row>
    <row r="3306" spans="1:25" ht="12.6" customHeight="1" x14ac:dyDescent="0.3">
      <c r="A3306" s="70"/>
      <c r="B3306" s="79" t="s">
        <v>2427</v>
      </c>
      <c r="C3306" s="80"/>
      <c r="D3306" s="80"/>
      <c r="E3306" s="80"/>
      <c r="F3306" s="80"/>
      <c r="G3306" s="16" t="s">
        <v>2426</v>
      </c>
    </row>
    <row r="3307" spans="1:25" ht="12.6" customHeight="1" x14ac:dyDescent="0.3">
      <c r="A3307" s="80"/>
      <c r="B3307" s="80"/>
      <c r="C3307" s="80"/>
      <c r="D3307" s="80"/>
      <c r="E3307" s="80"/>
      <c r="F3307" s="80"/>
      <c r="G3307" s="16" t="s">
        <v>1324</v>
      </c>
    </row>
    <row r="3308" spans="1:25" ht="12.6" customHeight="1" x14ac:dyDescent="0.3">
      <c r="A3308" s="80"/>
      <c r="B3308" s="80"/>
      <c r="C3308" s="80"/>
      <c r="D3308" s="80"/>
      <c r="E3308" s="80"/>
      <c r="F3308" s="80"/>
      <c r="G3308" s="16" t="s">
        <v>1324</v>
      </c>
    </row>
    <row r="3309" spans="1:25" ht="12.6" customHeight="1" x14ac:dyDescent="0.3">
      <c r="A3309" s="80"/>
      <c r="B3309" s="80"/>
      <c r="C3309" s="80"/>
      <c r="D3309" s="80"/>
      <c r="E3309" s="80"/>
      <c r="F3309" s="80"/>
      <c r="G3309" s="16" t="s">
        <v>1324</v>
      </c>
    </row>
    <row r="3310" spans="1:25" ht="12.6" customHeight="1" x14ac:dyDescent="0.3">
      <c r="A3310" s="70"/>
      <c r="B3310" s="79" t="s">
        <v>2429</v>
      </c>
      <c r="C3310" s="80"/>
      <c r="D3310" s="80"/>
      <c r="E3310" s="80"/>
      <c r="F3310" s="80"/>
      <c r="G3310" s="16" t="s">
        <v>2428</v>
      </c>
    </row>
    <row r="3311" spans="1:25" ht="12.6" customHeight="1" x14ac:dyDescent="0.3">
      <c r="A3311" s="80"/>
      <c r="B3311" s="80"/>
      <c r="C3311" s="80"/>
      <c r="D3311" s="80"/>
      <c r="E3311" s="80"/>
      <c r="F3311" s="80"/>
      <c r="G3311" s="16" t="s">
        <v>1324</v>
      </c>
    </row>
    <row r="3312" spans="1:25" ht="12.6" customHeight="1" x14ac:dyDescent="0.3">
      <c r="A3312" s="70" t="s">
        <v>731</v>
      </c>
      <c r="B3312" s="101" t="str">
        <f>"    "&amp;TEXT(I3312,"#,##0"&amp;IF(I3312&lt;&gt;INT(I3312),".###",""))&amp;" / 1.1 / 5 = "&amp;TEXT(C3312,"#,##0.0")&amp;""</f>
        <v xml:space="preserve">    61,500 / 1.1 / 5 = 11,181.8</v>
      </c>
      <c r="C3312" s="103">
        <f>E3312+D3312+F3312</f>
        <v>11181.8</v>
      </c>
      <c r="D3312" s="103">
        <f>IF(H3312=0,0,ROUNDDOWN(J3312*H3312,1))</f>
        <v>0</v>
      </c>
      <c r="E3312" s="103">
        <f>IF(H3312=0,0,ROUNDDOWN(K3312*H3312,1))</f>
        <v>0</v>
      </c>
      <c r="F3312" s="103">
        <f>IF(H3312=0,0,ROUNDDOWN(L3312*H3312,1))</f>
        <v>11181.8</v>
      </c>
      <c r="G3312" s="16" t="s">
        <v>2430</v>
      </c>
      <c r="H3312" s="108">
        <v>0.18181818182830001</v>
      </c>
      <c r="I3312" s="109">
        <f>K3312+J3312+L3312</f>
        <v>61500</v>
      </c>
      <c r="L3312" s="39">
        <f>경비목록표!E19</f>
        <v>61500</v>
      </c>
      <c r="M3312" s="20" t="s">
        <v>2128</v>
      </c>
      <c r="N3312" s="20" t="s">
        <v>1345</v>
      </c>
      <c r="X3312" s="110" t="str">
        <f>경비목록표!B19&amp;" / "&amp;경비목록표!C19</f>
        <v>구역화물자동차 / 5톤(20km 이내)</v>
      </c>
      <c r="Y3312" s="19" t="str">
        <f ca="1">HYPERLINK("#"&amp;경비목록표!G2&amp;"!A"&amp;ROW(경비목록표!A19),"경비   16 →")</f>
        <v>경비   16 →</v>
      </c>
    </row>
    <row r="3313" spans="1:25" ht="12.6" customHeight="1" x14ac:dyDescent="0.3">
      <c r="A3313" s="80"/>
      <c r="B3313" s="80"/>
      <c r="C3313" s="80"/>
      <c r="D3313" s="80"/>
      <c r="E3313" s="80"/>
      <c r="F3313" s="80"/>
      <c r="G3313" s="16" t="s">
        <v>1324</v>
      </c>
    </row>
    <row r="3314" spans="1:25" ht="12.6" customHeight="1" x14ac:dyDescent="0.3">
      <c r="A3314" s="70"/>
      <c r="B3314" s="79" t="s">
        <v>1344</v>
      </c>
      <c r="C3314" s="104">
        <f>E3314+D3314+F3314</f>
        <v>11181.8</v>
      </c>
      <c r="D3314" s="104">
        <f>SUMIF(N3300:N3313,M3314,D3300:D3313)</f>
        <v>0</v>
      </c>
      <c r="E3314" s="104">
        <f>SUMIF(N3300:N3313,M3314,E3300:E3313)</f>
        <v>0</v>
      </c>
      <c r="F3314" s="104">
        <f>SUMIF(N3300:N3313,M3314,F3300:F3313)</f>
        <v>11181.8</v>
      </c>
      <c r="G3314" s="16" t="s">
        <v>1343</v>
      </c>
      <c r="M3314" s="20" t="s">
        <v>1345</v>
      </c>
      <c r="N3314" s="20" t="s">
        <v>1368</v>
      </c>
    </row>
    <row r="3315" spans="1:25" ht="12.6" customHeight="1" x14ac:dyDescent="0.3">
      <c r="A3315" s="80"/>
      <c r="B3315" s="80"/>
      <c r="C3315" s="102"/>
      <c r="D3315" s="102"/>
      <c r="E3315" s="102"/>
      <c r="F3315" s="102"/>
      <c r="G3315" s="16" t="s">
        <v>1324</v>
      </c>
    </row>
    <row r="3316" spans="1:25" ht="12.6" customHeight="1" x14ac:dyDescent="0.3">
      <c r="A3316" s="80"/>
      <c r="B3316" s="80"/>
      <c r="C3316" s="80"/>
      <c r="D3316" s="80"/>
      <c r="E3316" s="80"/>
      <c r="F3316" s="80"/>
      <c r="G3316" s="16" t="s">
        <v>1324</v>
      </c>
    </row>
    <row r="3317" spans="1:25" ht="12.6" customHeight="1" x14ac:dyDescent="0.3">
      <c r="A3317" s="80"/>
      <c r="B3317" s="80"/>
      <c r="C3317" s="80"/>
      <c r="D3317" s="80"/>
      <c r="E3317" s="80"/>
      <c r="F3317" s="80"/>
      <c r="G3317" s="16" t="s">
        <v>1324</v>
      </c>
    </row>
    <row r="3318" spans="1:25" ht="12.6" customHeight="1" x14ac:dyDescent="0.3">
      <c r="A3318" s="70"/>
      <c r="B3318" s="79" t="s">
        <v>2432</v>
      </c>
      <c r="C3318" s="80"/>
      <c r="D3318" s="80"/>
      <c r="E3318" s="80"/>
      <c r="F3318" s="80"/>
      <c r="G3318" s="16" t="s">
        <v>2431</v>
      </c>
    </row>
    <row r="3319" spans="1:25" ht="12.6" customHeight="1" x14ac:dyDescent="0.3">
      <c r="A3319" s="80"/>
      <c r="B3319" s="80"/>
      <c r="C3319" s="80"/>
      <c r="D3319" s="80"/>
      <c r="E3319" s="80"/>
      <c r="F3319" s="80"/>
      <c r="G3319" s="16" t="s">
        <v>1324</v>
      </c>
    </row>
    <row r="3320" spans="1:25" ht="12.6" customHeight="1" x14ac:dyDescent="0.3">
      <c r="A3320" s="70" t="s">
        <v>666</v>
      </c>
      <c r="B3320" s="101" t="str">
        <f>"  2 * 11 / 2 / (480-30) * "&amp;TEXT(I3320,"#,##0"&amp;IF(I3320&lt;&gt;INT(I3320),".###",""))&amp;"  = "&amp;TEXT(C3320,"#,##0.0")&amp;""</f>
        <v xml:space="preserve">  2 * 11 / 2 / (480-30) * 165,545  = 4,046.6</v>
      </c>
      <c r="C3320" s="103">
        <f>E3320+D3320+F3320</f>
        <v>4046.6</v>
      </c>
      <c r="D3320" s="103">
        <f>IF(H3320=0,0,ROUNDDOWN(J3320*H3320,1))</f>
        <v>4046.6</v>
      </c>
      <c r="E3320" s="103">
        <f>IF(H3320=0,0,ROUNDDOWN(K3320*H3320,1))</f>
        <v>0</v>
      </c>
      <c r="F3320" s="103">
        <f>IF(H3320=0,0,ROUNDDOWN(L3320*H3320,1))</f>
        <v>0</v>
      </c>
      <c r="G3320" s="16" t="s">
        <v>2433</v>
      </c>
      <c r="H3320" s="108">
        <v>2.4444444454499999E-2</v>
      </c>
      <c r="I3320" s="109">
        <f>K3320+J3320+L3320</f>
        <v>165545</v>
      </c>
      <c r="J3320" s="39">
        <f>노무비목록표!E9</f>
        <v>165545</v>
      </c>
      <c r="M3320" s="20" t="s">
        <v>1127</v>
      </c>
      <c r="N3320" s="20" t="s">
        <v>1345</v>
      </c>
      <c r="X3320" s="110" t="str">
        <f>노무비목록표!B9&amp;" / "&amp;노무비목록표!C9</f>
        <v xml:space="preserve">보통인부 / </v>
      </c>
      <c r="Y3320" s="19" t="str">
        <f ca="1">HYPERLINK("#"&amp;노무비목록표!G2&amp;"!A"&amp;ROW(노무비목록표!A9),"노무    6 →")</f>
        <v>노무    6 →</v>
      </c>
    </row>
    <row r="3321" spans="1:25" ht="12.6" customHeight="1" x14ac:dyDescent="0.3">
      <c r="A3321" s="80"/>
      <c r="B3321" s="80"/>
      <c r="C3321" s="80"/>
      <c r="D3321" s="80"/>
      <c r="E3321" s="80"/>
      <c r="F3321" s="80"/>
      <c r="G3321" s="16" t="s">
        <v>1324</v>
      </c>
    </row>
    <row r="3322" spans="1:25" ht="12.6" customHeight="1" x14ac:dyDescent="0.3">
      <c r="A3322" s="70"/>
      <c r="B3322" s="79" t="s">
        <v>1344</v>
      </c>
      <c r="C3322" s="104">
        <f>E3322+D3322+F3322</f>
        <v>4046.6</v>
      </c>
      <c r="D3322" s="104">
        <f>SUMIF(N3315:N3321,M3322,D3315:D3321)</f>
        <v>4046.6</v>
      </c>
      <c r="E3322" s="104">
        <f>SUMIF(N3315:N3321,M3322,E3315:E3321)</f>
        <v>0</v>
      </c>
      <c r="F3322" s="104">
        <f>SUMIF(N3315:N3321,M3322,F3315:F3321)</f>
        <v>0</v>
      </c>
      <c r="G3322" s="16" t="s">
        <v>1343</v>
      </c>
      <c r="M3322" s="20" t="s">
        <v>1345</v>
      </c>
      <c r="N3322" s="20" t="s">
        <v>1368</v>
      </c>
    </row>
    <row r="3323" spans="1:25" ht="12.6" customHeight="1" x14ac:dyDescent="0.3">
      <c r="A3323" s="80"/>
      <c r="B3323" s="80"/>
      <c r="C3323" s="102"/>
      <c r="D3323" s="102"/>
      <c r="E3323" s="102"/>
      <c r="F3323" s="102"/>
      <c r="G3323" s="16" t="s">
        <v>1324</v>
      </c>
    </row>
    <row r="3324" spans="1:25" ht="12.6" customHeight="1" x14ac:dyDescent="0.3">
      <c r="A3324" s="70"/>
      <c r="B3324" s="79" t="s">
        <v>1171</v>
      </c>
      <c r="C3324" s="104">
        <f>E3324+D3324+F3324</f>
        <v>15228.4</v>
      </c>
      <c r="D3324" s="104">
        <f>SUMIF(N3300:N3323,M3324,D3300:D3323)</f>
        <v>4046.6</v>
      </c>
      <c r="E3324" s="104">
        <f>SUMIF(N3300:N3323,M3324,E3300:E3323)</f>
        <v>0</v>
      </c>
      <c r="F3324" s="104">
        <f>SUMIF(N3300:N3323,M3324,F3300:F3323)</f>
        <v>11181.8</v>
      </c>
      <c r="G3324" s="16" t="s">
        <v>1367</v>
      </c>
      <c r="M3324" s="20" t="s">
        <v>1368</v>
      </c>
      <c r="N3324" s="20" t="s">
        <v>1129</v>
      </c>
    </row>
    <row r="3325" spans="1:25" ht="12.6" customHeight="1" x14ac:dyDescent="0.3">
      <c r="A3325" s="80"/>
      <c r="B3325" s="80"/>
      <c r="C3325" s="102"/>
      <c r="D3325" s="102"/>
      <c r="E3325" s="102"/>
      <c r="F3325" s="102"/>
    </row>
    <row r="3326" spans="1:25" ht="12.6" customHeight="1" x14ac:dyDescent="0.3">
      <c r="A3326" s="80"/>
      <c r="B3326" s="80"/>
      <c r="C3326" s="80"/>
      <c r="D3326" s="80"/>
      <c r="E3326" s="80"/>
      <c r="F3326" s="80"/>
    </row>
    <row r="3327" spans="1:25" ht="12.6" customHeight="1" x14ac:dyDescent="0.3">
      <c r="A3327" s="80"/>
      <c r="B3327" s="80"/>
      <c r="C3327" s="80"/>
      <c r="D3327" s="80"/>
      <c r="E3327" s="80"/>
      <c r="F3327" s="80"/>
    </row>
    <row r="3328" spans="1:25" ht="12.6" customHeight="1" x14ac:dyDescent="0.3">
      <c r="A3328" s="80"/>
      <c r="B3328" s="80"/>
      <c r="C3328" s="80"/>
      <c r="D3328" s="80"/>
      <c r="E3328" s="80"/>
      <c r="F3328" s="80"/>
    </row>
    <row r="3329" spans="1:14" ht="12.6" customHeight="1" x14ac:dyDescent="0.3">
      <c r="A3329" s="58"/>
      <c r="B3329" s="58"/>
      <c r="C3329" s="58"/>
      <c r="D3329" s="58"/>
      <c r="E3329" s="58"/>
      <c r="F3329" s="58"/>
    </row>
    <row r="3330" spans="1:14" ht="12.6" customHeight="1" x14ac:dyDescent="0.3">
      <c r="A3330" s="141" t="s">
        <v>2118</v>
      </c>
      <c r="B3330" s="142"/>
      <c r="C3330" s="55">
        <f>E3330+D3330+F3330</f>
        <v>15227</v>
      </c>
      <c r="D3330" s="11">
        <v>0</v>
      </c>
      <c r="E3330" s="12">
        <v>0</v>
      </c>
      <c r="F3330" s="55">
        <f>ROUNDDOWN(SUMIF(N3300:N3324,M3330,E3300:E3324),0)+ROUNDDOWN(SUMIF(N3300:N3324,M3330,D3300:D3324),0)+ROUNDDOWN(SUMIF(N3300:N3324,M3330,F3300:F3324),0)</f>
        <v>15227</v>
      </c>
      <c r="M3330" s="20" t="s">
        <v>1129</v>
      </c>
      <c r="N3330" s="20" t="s">
        <v>1172</v>
      </c>
    </row>
    <row r="3331" spans="1:14" ht="12.6" customHeight="1" x14ac:dyDescent="0.3">
      <c r="A3331" s="141" t="s">
        <v>1173</v>
      </c>
      <c r="B3331" s="142"/>
      <c r="C3331" s="55">
        <f>E3331+D3331+F3331</f>
        <v>13475</v>
      </c>
      <c r="D3331" s="54">
        <f>ROUNDDOWN(D3330*H3331/100,0)</f>
        <v>0</v>
      </c>
      <c r="E3331" s="63">
        <f>ROUNDDOWN(E3330*H3331/100,0)</f>
        <v>0</v>
      </c>
      <c r="F3331" s="55">
        <f>ROUNDDOWN(F3330*H3331/100,0)</f>
        <v>13475</v>
      </c>
      <c r="H3331" s="67">
        <v>88.5</v>
      </c>
      <c r="M3331" s="20" t="s">
        <v>1172</v>
      </c>
    </row>
  </sheetData>
  <mergeCells count="274">
    <mergeCell ref="A3331:B3331"/>
    <mergeCell ref="A3297:B3297"/>
    <mergeCell ref="C3298:C3299"/>
    <mergeCell ref="D3298:D3299"/>
    <mergeCell ref="E3298:E3299"/>
    <mergeCell ref="F3298:F3299"/>
    <mergeCell ref="A3330:B3330"/>
    <mergeCell ref="A3263:B3263"/>
    <mergeCell ref="C3264:C3265"/>
    <mergeCell ref="D3264:D3265"/>
    <mergeCell ref="E3264:E3265"/>
    <mergeCell ref="F3264:F3265"/>
    <mergeCell ref="A3296:B3296"/>
    <mergeCell ref="A3124:B3124"/>
    <mergeCell ref="C3125:C3126"/>
    <mergeCell ref="D3125:D3126"/>
    <mergeCell ref="E3125:E3126"/>
    <mergeCell ref="F3125:F3126"/>
    <mergeCell ref="A3262:B3262"/>
    <mergeCell ref="A3020:B3020"/>
    <mergeCell ref="C3021:C3022"/>
    <mergeCell ref="D3021:D3022"/>
    <mergeCell ref="E3021:E3022"/>
    <mergeCell ref="F3021:F3022"/>
    <mergeCell ref="A3123:B3123"/>
    <mergeCell ref="A2951:B2951"/>
    <mergeCell ref="C2952:C2953"/>
    <mergeCell ref="D2952:D2953"/>
    <mergeCell ref="E2952:E2953"/>
    <mergeCell ref="F2952:F2953"/>
    <mergeCell ref="A3019:B3019"/>
    <mergeCell ref="A2882:B2882"/>
    <mergeCell ref="C2883:C2884"/>
    <mergeCell ref="D2883:D2884"/>
    <mergeCell ref="E2883:E2884"/>
    <mergeCell ref="F2883:F2884"/>
    <mergeCell ref="A2950:B2950"/>
    <mergeCell ref="A2743:B2743"/>
    <mergeCell ref="C2744:C2745"/>
    <mergeCell ref="D2744:D2745"/>
    <mergeCell ref="E2744:E2745"/>
    <mergeCell ref="F2744:F2745"/>
    <mergeCell ref="A2881:B2881"/>
    <mergeCell ref="A2604:B2604"/>
    <mergeCell ref="C2605:C2606"/>
    <mergeCell ref="D2605:D2606"/>
    <mergeCell ref="E2605:E2606"/>
    <mergeCell ref="F2605:F2606"/>
    <mergeCell ref="A2742:B2742"/>
    <mergeCell ref="A2500:B2500"/>
    <mergeCell ref="C2501:C2502"/>
    <mergeCell ref="D2501:D2502"/>
    <mergeCell ref="E2501:E2502"/>
    <mergeCell ref="F2501:F2502"/>
    <mergeCell ref="A2603:B2603"/>
    <mergeCell ref="A2431:B2431"/>
    <mergeCell ref="C2432:C2433"/>
    <mergeCell ref="D2432:D2433"/>
    <mergeCell ref="E2432:E2433"/>
    <mergeCell ref="F2432:F2433"/>
    <mergeCell ref="A2499:B2499"/>
    <mergeCell ref="A2362:B2362"/>
    <mergeCell ref="C2363:C2364"/>
    <mergeCell ref="D2363:D2364"/>
    <mergeCell ref="E2363:E2364"/>
    <mergeCell ref="F2363:F2364"/>
    <mergeCell ref="A2430:B2430"/>
    <mergeCell ref="A2293:B2293"/>
    <mergeCell ref="C2294:C2295"/>
    <mergeCell ref="D2294:D2295"/>
    <mergeCell ref="E2294:E2295"/>
    <mergeCell ref="F2294:F2295"/>
    <mergeCell ref="A2361:B2361"/>
    <mergeCell ref="A2154:B2154"/>
    <mergeCell ref="C2155:C2156"/>
    <mergeCell ref="D2155:D2156"/>
    <mergeCell ref="E2155:E2156"/>
    <mergeCell ref="F2155:F2156"/>
    <mergeCell ref="A2292:B2292"/>
    <mergeCell ref="A2050:B2050"/>
    <mergeCell ref="C2051:C2052"/>
    <mergeCell ref="D2051:D2052"/>
    <mergeCell ref="E2051:E2052"/>
    <mergeCell ref="F2051:F2052"/>
    <mergeCell ref="A2153:B2153"/>
    <mergeCell ref="A1946:B1946"/>
    <mergeCell ref="C1947:C1948"/>
    <mergeCell ref="D1947:D1948"/>
    <mergeCell ref="E1947:E1948"/>
    <mergeCell ref="F1947:F1948"/>
    <mergeCell ref="A2049:B2049"/>
    <mergeCell ref="A1912:B1912"/>
    <mergeCell ref="C1913:C1914"/>
    <mergeCell ref="D1913:D1914"/>
    <mergeCell ref="E1913:E1914"/>
    <mergeCell ref="F1913:F1914"/>
    <mergeCell ref="A1945:B1945"/>
    <mergeCell ref="A1843:B1843"/>
    <mergeCell ref="C1844:C1845"/>
    <mergeCell ref="D1844:D1845"/>
    <mergeCell ref="E1844:E1845"/>
    <mergeCell ref="F1844:F1845"/>
    <mergeCell ref="A1911:B1911"/>
    <mergeCell ref="A1809:B1809"/>
    <mergeCell ref="C1810:C1811"/>
    <mergeCell ref="D1810:D1811"/>
    <mergeCell ref="E1810:E1811"/>
    <mergeCell ref="F1810:F1811"/>
    <mergeCell ref="A1842:B1842"/>
    <mergeCell ref="A1775:B1775"/>
    <mergeCell ref="C1776:C1777"/>
    <mergeCell ref="D1776:D1777"/>
    <mergeCell ref="E1776:E1777"/>
    <mergeCell ref="F1776:F1777"/>
    <mergeCell ref="A1808:B1808"/>
    <mergeCell ref="A1706:B1706"/>
    <mergeCell ref="C1707:C1708"/>
    <mergeCell ref="D1707:D1708"/>
    <mergeCell ref="E1707:E1708"/>
    <mergeCell ref="F1707:F1708"/>
    <mergeCell ref="A1774:B1774"/>
    <mergeCell ref="A1567:B1567"/>
    <mergeCell ref="C1568:C1569"/>
    <mergeCell ref="D1568:D1569"/>
    <mergeCell ref="E1568:E1569"/>
    <mergeCell ref="F1568:F1569"/>
    <mergeCell ref="A1705:B1705"/>
    <mergeCell ref="A1463:B1463"/>
    <mergeCell ref="C1464:C1465"/>
    <mergeCell ref="D1464:D1465"/>
    <mergeCell ref="E1464:E1465"/>
    <mergeCell ref="F1464:F1465"/>
    <mergeCell ref="A1566:B1566"/>
    <mergeCell ref="A1394:B1394"/>
    <mergeCell ref="C1395:C1396"/>
    <mergeCell ref="D1395:D1396"/>
    <mergeCell ref="E1395:E1396"/>
    <mergeCell ref="F1395:F1396"/>
    <mergeCell ref="A1462:B1462"/>
    <mergeCell ref="A1325:B1325"/>
    <mergeCell ref="C1326:C1327"/>
    <mergeCell ref="D1326:D1327"/>
    <mergeCell ref="E1326:E1327"/>
    <mergeCell ref="F1326:F1327"/>
    <mergeCell ref="A1393:B1393"/>
    <mergeCell ref="A1291:B1291"/>
    <mergeCell ref="C1292:C1293"/>
    <mergeCell ref="D1292:D1293"/>
    <mergeCell ref="E1292:E1293"/>
    <mergeCell ref="F1292:F1293"/>
    <mergeCell ref="A1324:B1324"/>
    <mergeCell ref="A1222:B1222"/>
    <mergeCell ref="C1223:C1224"/>
    <mergeCell ref="D1223:D1224"/>
    <mergeCell ref="E1223:E1224"/>
    <mergeCell ref="F1223:F1224"/>
    <mergeCell ref="A1290:B1290"/>
    <mergeCell ref="A1188:B1188"/>
    <mergeCell ref="C1189:C1190"/>
    <mergeCell ref="D1189:D1190"/>
    <mergeCell ref="E1189:E1190"/>
    <mergeCell ref="F1189:F1190"/>
    <mergeCell ref="A1221:B1221"/>
    <mergeCell ref="A1119:B1119"/>
    <mergeCell ref="C1120:C1121"/>
    <mergeCell ref="D1120:D1121"/>
    <mergeCell ref="E1120:E1121"/>
    <mergeCell ref="F1120:F1121"/>
    <mergeCell ref="A1187:B1187"/>
    <mergeCell ref="A1050:B1050"/>
    <mergeCell ref="C1051:C1052"/>
    <mergeCell ref="D1051:D1052"/>
    <mergeCell ref="E1051:E1052"/>
    <mergeCell ref="F1051:F1052"/>
    <mergeCell ref="A1118:B1118"/>
    <mergeCell ref="A1016:B1016"/>
    <mergeCell ref="C1017:C1018"/>
    <mergeCell ref="D1017:D1018"/>
    <mergeCell ref="E1017:E1018"/>
    <mergeCell ref="F1017:F1018"/>
    <mergeCell ref="A1049:B1049"/>
    <mergeCell ref="A912:B912"/>
    <mergeCell ref="C913:C914"/>
    <mergeCell ref="D913:D914"/>
    <mergeCell ref="E913:E914"/>
    <mergeCell ref="F913:F914"/>
    <mergeCell ref="A1015:B1015"/>
    <mergeCell ref="A843:B843"/>
    <mergeCell ref="C844:C845"/>
    <mergeCell ref="D844:D845"/>
    <mergeCell ref="E844:E845"/>
    <mergeCell ref="F844:F845"/>
    <mergeCell ref="A911:B911"/>
    <mergeCell ref="A809:B809"/>
    <mergeCell ref="C810:C811"/>
    <mergeCell ref="D810:D811"/>
    <mergeCell ref="E810:E811"/>
    <mergeCell ref="F810:F811"/>
    <mergeCell ref="A842:B842"/>
    <mergeCell ref="C670:C671"/>
    <mergeCell ref="D670:D671"/>
    <mergeCell ref="E670:E671"/>
    <mergeCell ref="F670:F671"/>
    <mergeCell ref="A739:B739"/>
    <mergeCell ref="C740:C741"/>
    <mergeCell ref="D740:D741"/>
    <mergeCell ref="E740:E741"/>
    <mergeCell ref="F740:F741"/>
    <mergeCell ref="A634:B634"/>
    <mergeCell ref="C635:C636"/>
    <mergeCell ref="D635:D636"/>
    <mergeCell ref="E635:E636"/>
    <mergeCell ref="F635:F636"/>
    <mergeCell ref="A669:B669"/>
    <mergeCell ref="C530:C531"/>
    <mergeCell ref="D530:D531"/>
    <mergeCell ref="E530:E531"/>
    <mergeCell ref="F530:F531"/>
    <mergeCell ref="A599:B599"/>
    <mergeCell ref="C600:C601"/>
    <mergeCell ref="D600:D601"/>
    <mergeCell ref="E600:E601"/>
    <mergeCell ref="F600:F601"/>
    <mergeCell ref="A494:B494"/>
    <mergeCell ref="C495:C496"/>
    <mergeCell ref="D495:D496"/>
    <mergeCell ref="E495:E496"/>
    <mergeCell ref="F495:F496"/>
    <mergeCell ref="A529:B529"/>
    <mergeCell ref="C355:C356"/>
    <mergeCell ref="D355:D356"/>
    <mergeCell ref="E355:E356"/>
    <mergeCell ref="F355:F356"/>
    <mergeCell ref="A459:B459"/>
    <mergeCell ref="C460:C461"/>
    <mergeCell ref="D460:D461"/>
    <mergeCell ref="E460:E461"/>
    <mergeCell ref="F460:F461"/>
    <mergeCell ref="A319:B319"/>
    <mergeCell ref="C320:C321"/>
    <mergeCell ref="D320:D321"/>
    <mergeCell ref="E320:E321"/>
    <mergeCell ref="F320:F321"/>
    <mergeCell ref="A354:B354"/>
    <mergeCell ref="C180:C181"/>
    <mergeCell ref="D180:D181"/>
    <mergeCell ref="E180:E181"/>
    <mergeCell ref="F180:F181"/>
    <mergeCell ref="A214:B214"/>
    <mergeCell ref="C215:C216"/>
    <mergeCell ref="D215:D216"/>
    <mergeCell ref="E215:E216"/>
    <mergeCell ref="F215:F216"/>
    <mergeCell ref="A109:B109"/>
    <mergeCell ref="C110:C111"/>
    <mergeCell ref="D110:D111"/>
    <mergeCell ref="E110:E111"/>
    <mergeCell ref="F110:F111"/>
    <mergeCell ref="A179:B179"/>
    <mergeCell ref="C5:C6"/>
    <mergeCell ref="D5:D6"/>
    <mergeCell ref="E5:E6"/>
    <mergeCell ref="F5:F6"/>
    <mergeCell ref="A39:B39"/>
    <mergeCell ref="C40:C41"/>
    <mergeCell ref="D40:D41"/>
    <mergeCell ref="E40:E41"/>
    <mergeCell ref="F40:F41"/>
    <mergeCell ref="A1:F1"/>
    <mergeCell ref="C3:C4"/>
    <mergeCell ref="D3:D4"/>
    <mergeCell ref="E3:E4"/>
    <mergeCell ref="F3:F4"/>
    <mergeCell ref="A4:B4"/>
  </mergeCells>
  <phoneticPr fontId="23" type="noConversion"/>
  <conditionalFormatting sqref="C5:F3331">
    <cfRule type="expression" dxfId="2" priority="1" stopIfTrue="1">
      <formula>AND(C5&lt;&gt;0,INT(C5)=C5)</formula>
    </cfRule>
  </conditionalFormatting>
  <hyperlinks>
    <hyperlink ref="Y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9" width="13" style="5" customWidth="1"/>
    <col min="10" max="10" width="10" style="5" customWidth="1"/>
    <col min="11" max="11" width="9.125" style="5" hidden="1" customWidth="1"/>
    <col min="12" max="12" width="9.125" style="17" customWidth="1"/>
    <col min="13" max="16384" width="9.125" style="5"/>
  </cols>
  <sheetData>
    <row r="1" spans="1:12" ht="24.95" customHeight="1" x14ac:dyDescent="0.3">
      <c r="A1" s="130" t="s">
        <v>343</v>
      </c>
      <c r="B1" s="131"/>
      <c r="C1" s="131"/>
      <c r="D1" s="131"/>
      <c r="E1" s="131"/>
      <c r="F1" s="131"/>
      <c r="G1" s="131"/>
      <c r="H1" s="131"/>
      <c r="I1" s="131"/>
      <c r="J1" s="131"/>
      <c r="K1" s="4" t="s">
        <v>166</v>
      </c>
      <c r="L1" s="18" t="s">
        <v>166</v>
      </c>
    </row>
    <row r="2" spans="1:12" ht="24.95" customHeight="1" x14ac:dyDescent="0.3">
      <c r="A2" s="1" t="s">
        <v>1</v>
      </c>
      <c r="K2" s="21" t="str">
        <f ca="1">MID(CELL("filename",$A$1),FIND("]",CELL("filename",$A$1))+1,LEN(CELL("filename",$A$1)))</f>
        <v>단가산출근거수량금액집계표</v>
      </c>
    </row>
    <row r="3" spans="1:12" ht="24.9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3" t="s">
        <v>10</v>
      </c>
      <c r="L3" s="19" t="str">
        <f>HYPERLINK("#'〓 목 차 〓'!B2","목차 →")</f>
        <v>목차 →</v>
      </c>
    </row>
    <row r="4" spans="1:12" ht="24.95" customHeight="1" x14ac:dyDescent="0.3">
      <c r="A4" s="8" t="s">
        <v>432</v>
      </c>
      <c r="B4" s="9" t="s">
        <v>168</v>
      </c>
      <c r="C4" s="9" t="s">
        <v>169</v>
      </c>
      <c r="D4" s="97">
        <v>130.28</v>
      </c>
      <c r="E4" s="33" t="s">
        <v>14</v>
      </c>
      <c r="F4" s="55">
        <f t="shared" ref="F4:F50" si="0">H4+G4+I4</f>
        <v>980747</v>
      </c>
      <c r="G4" s="54">
        <f>ROUND(D4*단가산출근거목록표!F4,0)</f>
        <v>809820</v>
      </c>
      <c r="H4" s="63">
        <f>ROUND(D4*단가산출근거목록표!G4,0)</f>
        <v>131322</v>
      </c>
      <c r="I4" s="55">
        <f>ROUND(D4*단가산출근거목록표!H4,0)</f>
        <v>39605</v>
      </c>
      <c r="J4" s="14" t="s">
        <v>432</v>
      </c>
      <c r="L4" s="19" t="str">
        <f ca="1">HYPERLINK("#"&amp;단가산출근거목록표!J2&amp;"!A"&amp;ROW(단가산출근거목록표!A4),"산근    1 →")</f>
        <v>산근    1 →</v>
      </c>
    </row>
    <row r="5" spans="1:12" ht="24.95" customHeight="1" x14ac:dyDescent="0.3">
      <c r="A5" s="8" t="s">
        <v>437</v>
      </c>
      <c r="B5" s="9" t="s">
        <v>172</v>
      </c>
      <c r="C5" s="9" t="s">
        <v>173</v>
      </c>
      <c r="D5" s="97">
        <v>307.57</v>
      </c>
      <c r="E5" s="33" t="s">
        <v>14</v>
      </c>
      <c r="F5" s="55">
        <f t="shared" si="0"/>
        <v>2561443</v>
      </c>
      <c r="G5" s="54">
        <f>ROUND(D5*단가산출근거목록표!F5,0)</f>
        <v>2115466</v>
      </c>
      <c r="H5" s="63">
        <f>ROUND(D5*단가산출근거목록표!G5,0)</f>
        <v>165473</v>
      </c>
      <c r="I5" s="55">
        <f>ROUND(D5*단가산출근거목록표!H5,0)</f>
        <v>280504</v>
      </c>
      <c r="J5" s="14" t="s">
        <v>437</v>
      </c>
      <c r="L5" s="19" t="str">
        <f ca="1">HYPERLINK("#"&amp;단가산출근거목록표!J2&amp;"!A"&amp;ROW(단가산출근거목록표!A5),"산근    2 →")</f>
        <v>산근    2 →</v>
      </c>
    </row>
    <row r="6" spans="1:12" ht="24.95" customHeight="1" x14ac:dyDescent="0.3">
      <c r="A6" s="8" t="s">
        <v>442</v>
      </c>
      <c r="B6" s="9" t="s">
        <v>176</v>
      </c>
      <c r="C6" s="9" t="s">
        <v>177</v>
      </c>
      <c r="D6" s="97">
        <v>307.57</v>
      </c>
      <c r="E6" s="33" t="s">
        <v>14</v>
      </c>
      <c r="F6" s="55">
        <f t="shared" si="0"/>
        <v>3906447</v>
      </c>
      <c r="G6" s="54">
        <f>ROUND(D6*단가산출근거목록표!F6,0)</f>
        <v>2432264</v>
      </c>
      <c r="H6" s="63">
        <f>ROUND(D6*단가산출근거목록표!G6,0)</f>
        <v>603760</v>
      </c>
      <c r="I6" s="55">
        <f>ROUND(D6*단가산출근거목록표!H6,0)</f>
        <v>870423</v>
      </c>
      <c r="J6" s="14" t="s">
        <v>442</v>
      </c>
      <c r="L6" s="19" t="str">
        <f ca="1">HYPERLINK("#"&amp;단가산출근거목록표!J2&amp;"!A"&amp;ROW(단가산출근거목록표!A6),"산근    3 →")</f>
        <v>산근    3 →</v>
      </c>
    </row>
    <row r="7" spans="1:12" ht="24.95" customHeight="1" x14ac:dyDescent="0.3">
      <c r="A7" s="8" t="s">
        <v>448</v>
      </c>
      <c r="B7" s="9" t="s">
        <v>180</v>
      </c>
      <c r="C7" s="9" t="s">
        <v>177</v>
      </c>
      <c r="D7" s="97">
        <v>210.51</v>
      </c>
      <c r="E7" s="33" t="s">
        <v>14</v>
      </c>
      <c r="F7" s="55">
        <f t="shared" si="0"/>
        <v>5224016</v>
      </c>
      <c r="G7" s="54">
        <f>ROUND(D7*단가산출근거목록표!F7,0)</f>
        <v>3806863</v>
      </c>
      <c r="H7" s="63">
        <f>ROUND(D7*단가산출근거목록표!G7,0)</f>
        <v>525854</v>
      </c>
      <c r="I7" s="55">
        <f>ROUND(D7*단가산출근거목록표!H7,0)</f>
        <v>891299</v>
      </c>
      <c r="J7" s="14" t="s">
        <v>448</v>
      </c>
      <c r="L7" s="19" t="str">
        <f ca="1">HYPERLINK("#"&amp;단가산출근거목록표!J2&amp;"!A"&amp;ROW(단가산출근거목록표!A7),"산근    4 →")</f>
        <v>산근    4 →</v>
      </c>
    </row>
    <row r="8" spans="1:12" ht="24.95" customHeight="1" x14ac:dyDescent="0.3">
      <c r="A8" s="8" t="s">
        <v>454</v>
      </c>
      <c r="B8" s="9" t="s">
        <v>183</v>
      </c>
      <c r="C8" s="9" t="s">
        <v>184</v>
      </c>
      <c r="D8" s="97">
        <v>688.6</v>
      </c>
      <c r="E8" s="33" t="s">
        <v>26</v>
      </c>
      <c r="F8" s="55">
        <f t="shared" si="0"/>
        <v>20932063</v>
      </c>
      <c r="G8" s="54">
        <f>ROUND(D8*단가산출근거목록표!F8,0)</f>
        <v>12593805</v>
      </c>
      <c r="H8" s="63">
        <f>ROUND(D8*단가산출근거목록표!G8,0)</f>
        <v>3512549</v>
      </c>
      <c r="I8" s="55">
        <f>ROUND(D8*단가산출근거목록표!H8,0)</f>
        <v>4825709</v>
      </c>
      <c r="J8" s="14" t="s">
        <v>454</v>
      </c>
      <c r="L8" s="19" t="str">
        <f ca="1">HYPERLINK("#"&amp;단가산출근거목록표!J2&amp;"!A"&amp;ROW(단가산출근거목록표!A8),"산근    5 →")</f>
        <v>산근    5 →</v>
      </c>
    </row>
    <row r="9" spans="1:12" ht="24.95" customHeight="1" x14ac:dyDescent="0.3">
      <c r="A9" s="8" t="s">
        <v>458</v>
      </c>
      <c r="B9" s="9" t="s">
        <v>187</v>
      </c>
      <c r="C9" s="9" t="s">
        <v>188</v>
      </c>
      <c r="D9" s="97">
        <v>29.92</v>
      </c>
      <c r="E9" s="33" t="s">
        <v>14</v>
      </c>
      <c r="F9" s="55">
        <f t="shared" si="0"/>
        <v>49099</v>
      </c>
      <c r="G9" s="54">
        <f>ROUND(D9*단가산출근거목록표!F9,0)</f>
        <v>28244</v>
      </c>
      <c r="H9" s="63">
        <f>ROUND(D9*단가산출근거목록표!G9,0)</f>
        <v>9126</v>
      </c>
      <c r="I9" s="55">
        <f>ROUND(D9*단가산출근거목록표!H9,0)</f>
        <v>11729</v>
      </c>
      <c r="J9" s="14" t="s">
        <v>458</v>
      </c>
      <c r="L9" s="19" t="str">
        <f ca="1">HYPERLINK("#"&amp;단가산출근거목록표!J2&amp;"!A"&amp;ROW(단가산출근거목록표!A9),"산근    6 →")</f>
        <v>산근    6 →</v>
      </c>
    </row>
    <row r="10" spans="1:12" ht="24.95" customHeight="1" x14ac:dyDescent="0.3">
      <c r="A10" s="8" t="s">
        <v>464</v>
      </c>
      <c r="B10" s="9" t="s">
        <v>183</v>
      </c>
      <c r="C10" s="9" t="s">
        <v>191</v>
      </c>
      <c r="D10" s="97">
        <v>118.8</v>
      </c>
      <c r="E10" s="33" t="s">
        <v>26</v>
      </c>
      <c r="F10" s="55">
        <f t="shared" si="0"/>
        <v>3456842</v>
      </c>
      <c r="G10" s="54">
        <f>ROUND(D10*단가산출근거목록표!F10,0)</f>
        <v>2084108</v>
      </c>
      <c r="H10" s="63">
        <f>ROUND(D10*단가산출근거목록표!G10,0)</f>
        <v>579031</v>
      </c>
      <c r="I10" s="55">
        <f>ROUND(D10*단가산출근거목록표!H10,0)</f>
        <v>793703</v>
      </c>
      <c r="J10" s="14" t="s">
        <v>464</v>
      </c>
      <c r="L10" s="19" t="str">
        <f ca="1">HYPERLINK("#"&amp;단가산출근거목록표!J2&amp;"!A"&amp;ROW(단가산출근거목록표!A10),"산근    7 →")</f>
        <v>산근    7 →</v>
      </c>
    </row>
    <row r="11" spans="1:12" ht="24.95" customHeight="1" x14ac:dyDescent="0.3">
      <c r="A11" s="8" t="s">
        <v>469</v>
      </c>
      <c r="B11" s="9" t="s">
        <v>194</v>
      </c>
      <c r="C11" s="9" t="s">
        <v>188</v>
      </c>
      <c r="D11" s="97">
        <v>29.92</v>
      </c>
      <c r="E11" s="33" t="s">
        <v>14</v>
      </c>
      <c r="F11" s="55">
        <f t="shared" si="0"/>
        <v>38268</v>
      </c>
      <c r="G11" s="54">
        <f>ROUND(D11*단가산출근거목록표!F11,0)</f>
        <v>22021</v>
      </c>
      <c r="H11" s="63">
        <f>ROUND(D11*단가산출근거목록표!G11,0)</f>
        <v>7121</v>
      </c>
      <c r="I11" s="55">
        <f>ROUND(D11*단가산출근거목록표!H11,0)</f>
        <v>9126</v>
      </c>
      <c r="J11" s="14" t="s">
        <v>469</v>
      </c>
      <c r="L11" s="19" t="str">
        <f ca="1">HYPERLINK("#"&amp;단가산출근거목록표!J2&amp;"!A"&amp;ROW(단가산출근거목록표!A11),"산근    8 →")</f>
        <v>산근    8 →</v>
      </c>
    </row>
    <row r="12" spans="1:12" ht="24.95" customHeight="1" x14ac:dyDescent="0.3">
      <c r="A12" s="8" t="s">
        <v>474</v>
      </c>
      <c r="B12" s="9" t="s">
        <v>197</v>
      </c>
      <c r="C12" s="9" t="s">
        <v>198</v>
      </c>
      <c r="D12" s="97">
        <v>89.35</v>
      </c>
      <c r="E12" s="33" t="s">
        <v>26</v>
      </c>
      <c r="F12" s="55">
        <f t="shared" si="0"/>
        <v>3241797</v>
      </c>
      <c r="G12" s="54">
        <f>ROUND(D12*단가산출근거목록표!F12,0)</f>
        <v>2826677</v>
      </c>
      <c r="H12" s="63">
        <f>ROUND(D12*단가산출근거목록표!G12,0)</f>
        <v>330327</v>
      </c>
      <c r="I12" s="55">
        <f>ROUND(D12*단가산출근거목록표!H12,0)</f>
        <v>84793</v>
      </c>
      <c r="J12" s="14" t="s">
        <v>474</v>
      </c>
      <c r="L12" s="19" t="str">
        <f ca="1">HYPERLINK("#"&amp;단가산출근거목록표!J2&amp;"!A"&amp;ROW(단가산출근거목록표!A12),"산근    9 →")</f>
        <v>산근    9 →</v>
      </c>
    </row>
    <row r="13" spans="1:12" ht="24.95" customHeight="1" x14ac:dyDescent="0.3">
      <c r="A13" s="8" t="s">
        <v>480</v>
      </c>
      <c r="B13" s="9" t="s">
        <v>42</v>
      </c>
      <c r="C13" s="9" t="s">
        <v>201</v>
      </c>
      <c r="D13" s="97">
        <v>112.56</v>
      </c>
      <c r="E13" s="33" t="s">
        <v>14</v>
      </c>
      <c r="F13" s="55">
        <f t="shared" si="0"/>
        <v>7584630</v>
      </c>
      <c r="G13" s="54">
        <f>ROUND(D13*단가산출근거목록표!F13,0)</f>
        <v>7436952</v>
      </c>
      <c r="H13" s="63">
        <f>ROUND(D13*단가산출근거목록표!G13,0)</f>
        <v>113460</v>
      </c>
      <c r="I13" s="55">
        <f>ROUND(D13*단가산출근거목록표!H13,0)</f>
        <v>34218</v>
      </c>
      <c r="J13" s="14" t="s">
        <v>480</v>
      </c>
      <c r="L13" s="19" t="str">
        <f ca="1">HYPERLINK("#"&amp;단가산출근거목록표!J2&amp;"!A"&amp;ROW(단가산출근거목록표!A13),"산근   10 →")</f>
        <v>산근   10 →</v>
      </c>
    </row>
    <row r="14" spans="1:12" ht="24.95" customHeight="1" x14ac:dyDescent="0.3">
      <c r="A14" s="8" t="s">
        <v>486</v>
      </c>
      <c r="B14" s="9" t="s">
        <v>197</v>
      </c>
      <c r="C14" s="9" t="s">
        <v>204</v>
      </c>
      <c r="D14" s="97">
        <v>3.2</v>
      </c>
      <c r="E14" s="33" t="s">
        <v>26</v>
      </c>
      <c r="F14" s="55">
        <f t="shared" si="0"/>
        <v>133565</v>
      </c>
      <c r="G14" s="54">
        <f>ROUND(D14*단가산출근거목록표!F14,0)</f>
        <v>115696</v>
      </c>
      <c r="H14" s="63">
        <f>ROUND(D14*단가산출근거목록표!G14,0)</f>
        <v>14400</v>
      </c>
      <c r="I14" s="55">
        <f>ROUND(D14*단가산출근거목록표!H14,0)</f>
        <v>3469</v>
      </c>
      <c r="J14" s="14" t="s">
        <v>486</v>
      </c>
      <c r="L14" s="19" t="str">
        <f ca="1">HYPERLINK("#"&amp;단가산출근거목록표!J2&amp;"!A"&amp;ROW(단가산출근거목록표!A14),"산근   11 →")</f>
        <v>산근   11 →</v>
      </c>
    </row>
    <row r="15" spans="1:12" ht="24.95" customHeight="1" x14ac:dyDescent="0.3">
      <c r="A15" s="8" t="s">
        <v>491</v>
      </c>
      <c r="B15" s="9" t="s">
        <v>207</v>
      </c>
      <c r="C15" s="9" t="s">
        <v>208</v>
      </c>
      <c r="D15" s="97">
        <v>48</v>
      </c>
      <c r="E15" s="33" t="s">
        <v>26</v>
      </c>
      <c r="F15" s="55">
        <f t="shared" si="0"/>
        <v>269808</v>
      </c>
      <c r="G15" s="54">
        <f>ROUND(D15*단가산출근거목록표!F15,0)</f>
        <v>261984</v>
      </c>
      <c r="H15" s="63">
        <f>ROUND(D15*단가산출근거목록표!G15,0)</f>
        <v>0</v>
      </c>
      <c r="I15" s="55">
        <f>ROUND(D15*단가산출근거목록표!H15,0)</f>
        <v>7824</v>
      </c>
      <c r="J15" s="14" t="s">
        <v>491</v>
      </c>
      <c r="L15" s="19" t="str">
        <f ca="1">HYPERLINK("#"&amp;단가산출근거목록표!J2&amp;"!A"&amp;ROW(단가산출근거목록표!A15),"산근   12 →")</f>
        <v>산근   12 →</v>
      </c>
    </row>
    <row r="16" spans="1:12" ht="24.95" customHeight="1" x14ac:dyDescent="0.3">
      <c r="A16" s="8" t="s">
        <v>496</v>
      </c>
      <c r="B16" s="9" t="s">
        <v>211</v>
      </c>
      <c r="C16" s="9" t="s">
        <v>212</v>
      </c>
      <c r="D16" s="97">
        <v>0.01</v>
      </c>
      <c r="E16" s="33" t="s">
        <v>213</v>
      </c>
      <c r="F16" s="55">
        <f t="shared" si="0"/>
        <v>9710</v>
      </c>
      <c r="G16" s="54">
        <f>ROUND(D16*단가산출근거목록표!F16,0)</f>
        <v>9223</v>
      </c>
      <c r="H16" s="63">
        <f>ROUND(D16*단가산출근거목록표!G16,0)</f>
        <v>137</v>
      </c>
      <c r="I16" s="55">
        <f>ROUND(D16*단가산출근거목록표!H16,0)</f>
        <v>350</v>
      </c>
      <c r="J16" s="14" t="s">
        <v>496</v>
      </c>
      <c r="L16" s="19" t="str">
        <f ca="1">HYPERLINK("#"&amp;단가산출근거목록표!J2&amp;"!A"&amp;ROW(단가산출근거목록표!A16),"산근   13 →")</f>
        <v>산근   13 →</v>
      </c>
    </row>
    <row r="17" spans="1:12" ht="24.95" customHeight="1" x14ac:dyDescent="0.3">
      <c r="A17" s="8" t="s">
        <v>500</v>
      </c>
      <c r="B17" s="9" t="s">
        <v>216</v>
      </c>
      <c r="C17" s="9" t="s">
        <v>217</v>
      </c>
      <c r="D17" s="97">
        <v>31</v>
      </c>
      <c r="E17" s="33" t="s">
        <v>14</v>
      </c>
      <c r="F17" s="55">
        <f t="shared" si="0"/>
        <v>857615</v>
      </c>
      <c r="G17" s="54">
        <f>ROUND(D17*단가산출근거목록표!F17,0)</f>
        <v>686402</v>
      </c>
      <c r="H17" s="63">
        <f>ROUND(D17*단가산출근거목록표!G17,0)</f>
        <v>70835</v>
      </c>
      <c r="I17" s="55">
        <f>ROUND(D17*단가산출근거목록표!H17,0)</f>
        <v>100378</v>
      </c>
      <c r="J17" s="14" t="s">
        <v>500</v>
      </c>
      <c r="L17" s="19" t="str">
        <f ca="1">HYPERLINK("#"&amp;단가산출근거목록표!J2&amp;"!A"&amp;ROW(단가산출근거목록표!A17),"산근   14 →")</f>
        <v>산근   14 →</v>
      </c>
    </row>
    <row r="18" spans="1:12" ht="24.95" customHeight="1" x14ac:dyDescent="0.3">
      <c r="A18" s="8" t="s">
        <v>505</v>
      </c>
      <c r="B18" s="9" t="s">
        <v>220</v>
      </c>
      <c r="C18" s="9" t="s">
        <v>188</v>
      </c>
      <c r="D18" s="97">
        <v>21322</v>
      </c>
      <c r="E18" s="33" t="s">
        <v>14</v>
      </c>
      <c r="F18" s="55">
        <f t="shared" si="0"/>
        <v>36545908</v>
      </c>
      <c r="G18" s="54">
        <f>ROUND(D18*단가산출근거목록표!F18,0)</f>
        <v>21044814</v>
      </c>
      <c r="H18" s="63">
        <f>ROUND(D18*단가산출근거목록표!G18,0)</f>
        <v>6780396</v>
      </c>
      <c r="I18" s="55">
        <f>ROUND(D18*단가산출근거목록표!H18,0)</f>
        <v>8720698</v>
      </c>
      <c r="J18" s="14" t="s">
        <v>505</v>
      </c>
      <c r="L18" s="19" t="str">
        <f ca="1">HYPERLINK("#"&amp;단가산출근거목록표!J2&amp;"!A"&amp;ROW(단가산출근거목록표!A18),"산근   15 →")</f>
        <v>산근   15 →</v>
      </c>
    </row>
    <row r="19" spans="1:12" ht="24.95" customHeight="1" x14ac:dyDescent="0.3">
      <c r="A19" s="8" t="s">
        <v>509</v>
      </c>
      <c r="B19" s="9" t="s">
        <v>223</v>
      </c>
      <c r="C19" s="9" t="s">
        <v>224</v>
      </c>
      <c r="D19" s="97">
        <v>6145</v>
      </c>
      <c r="E19" s="33" t="s">
        <v>14</v>
      </c>
      <c r="F19" s="55">
        <f t="shared" si="0"/>
        <v>129831560</v>
      </c>
      <c r="G19" s="54">
        <f>ROUND(D19*단가산출근거목록표!F19,0)</f>
        <v>67416795</v>
      </c>
      <c r="H19" s="63">
        <f>ROUND(D19*단가산출근거목록표!G19,0)</f>
        <v>22275625</v>
      </c>
      <c r="I19" s="55">
        <f>ROUND(D19*단가산출근거목록표!H19,0)</f>
        <v>40139140</v>
      </c>
      <c r="J19" s="14" t="s">
        <v>509</v>
      </c>
      <c r="L19" s="19" t="str">
        <f ca="1">HYPERLINK("#"&amp;단가산출근거목록표!J2&amp;"!A"&amp;ROW(단가산출근거목록표!A19),"산근   16 →")</f>
        <v>산근   16 →</v>
      </c>
    </row>
    <row r="20" spans="1:12" ht="24.95" customHeight="1" x14ac:dyDescent="0.3">
      <c r="A20" s="8" t="s">
        <v>515</v>
      </c>
      <c r="B20" s="9" t="s">
        <v>227</v>
      </c>
      <c r="C20" s="9" t="s">
        <v>228</v>
      </c>
      <c r="D20" s="97">
        <v>12987</v>
      </c>
      <c r="E20" s="33" t="s">
        <v>14</v>
      </c>
      <c r="F20" s="55">
        <f t="shared" si="0"/>
        <v>129142728</v>
      </c>
      <c r="G20" s="54">
        <f>ROUND(D20*단가산출근거목록표!F20,0)</f>
        <v>48766185</v>
      </c>
      <c r="H20" s="63">
        <f>ROUND(D20*단가산출근거목록표!G20,0)</f>
        <v>63194742</v>
      </c>
      <c r="I20" s="55">
        <f>ROUND(D20*단가산출근거목록표!H20,0)</f>
        <v>17181801</v>
      </c>
      <c r="J20" s="14" t="s">
        <v>515</v>
      </c>
      <c r="L20" s="19" t="str">
        <f ca="1">HYPERLINK("#"&amp;단가산출근거목록표!J2&amp;"!A"&amp;ROW(단가산출근거목록표!A20),"산근   17 →")</f>
        <v>산근   17 →</v>
      </c>
    </row>
    <row r="21" spans="1:12" ht="24.95" customHeight="1" x14ac:dyDescent="0.3">
      <c r="A21" s="8" t="s">
        <v>520</v>
      </c>
      <c r="B21" s="9" t="s">
        <v>187</v>
      </c>
      <c r="C21" s="9" t="s">
        <v>188</v>
      </c>
      <c r="D21" s="97">
        <v>2894</v>
      </c>
      <c r="E21" s="33" t="s">
        <v>14</v>
      </c>
      <c r="F21" s="55">
        <f t="shared" si="0"/>
        <v>4196300</v>
      </c>
      <c r="G21" s="54">
        <f>ROUND(D21*단가산출근거목록표!F21,0)</f>
        <v>2416490</v>
      </c>
      <c r="H21" s="63">
        <f>ROUND(D21*단가산출근거목록표!G21,0)</f>
        <v>778486</v>
      </c>
      <c r="I21" s="55">
        <f>ROUND(D21*단가산출근거목록표!H21,0)</f>
        <v>1001324</v>
      </c>
      <c r="J21" s="14" t="s">
        <v>520</v>
      </c>
      <c r="L21" s="19" t="str">
        <f ca="1">HYPERLINK("#"&amp;단가산출근거목록표!J2&amp;"!A"&amp;ROW(단가산출근거목록표!A21),"산근   18 →")</f>
        <v>산근   18 →</v>
      </c>
    </row>
    <row r="22" spans="1:12" ht="24.95" customHeight="1" x14ac:dyDescent="0.3">
      <c r="A22" s="8" t="s">
        <v>524</v>
      </c>
      <c r="B22" s="9" t="s">
        <v>233</v>
      </c>
      <c r="C22" s="9" t="s">
        <v>234</v>
      </c>
      <c r="D22" s="97">
        <v>239</v>
      </c>
      <c r="E22" s="33" t="s">
        <v>14</v>
      </c>
      <c r="F22" s="55">
        <f t="shared" si="0"/>
        <v>7488109</v>
      </c>
      <c r="G22" s="54">
        <f>ROUND(D22*단가산출근거목록표!F22,0)</f>
        <v>3898090</v>
      </c>
      <c r="H22" s="63">
        <f>ROUND(D22*단가산출근거목록표!G22,0)</f>
        <v>1287015</v>
      </c>
      <c r="I22" s="55">
        <f>ROUND(D22*단가산출근거목록표!H22,0)</f>
        <v>2303004</v>
      </c>
      <c r="J22" s="14" t="s">
        <v>524</v>
      </c>
      <c r="L22" s="19" t="str">
        <f ca="1">HYPERLINK("#"&amp;단가산출근거목록표!J2&amp;"!A"&amp;ROW(단가산출근거목록표!A22),"산근   19 →")</f>
        <v>산근   19 →</v>
      </c>
    </row>
    <row r="23" spans="1:12" ht="24.95" customHeight="1" x14ac:dyDescent="0.3">
      <c r="A23" s="8" t="s">
        <v>528</v>
      </c>
      <c r="B23" s="9" t="s">
        <v>237</v>
      </c>
      <c r="C23" s="9" t="s">
        <v>188</v>
      </c>
      <c r="D23" s="97">
        <v>1831</v>
      </c>
      <c r="E23" s="33" t="s">
        <v>14</v>
      </c>
      <c r="F23" s="55">
        <f t="shared" si="0"/>
        <v>2299736</v>
      </c>
      <c r="G23" s="54">
        <f>ROUND(D23*단가산출근거목록표!F23,0)</f>
        <v>1323813</v>
      </c>
      <c r="H23" s="63">
        <f>ROUND(D23*단가산출근거목록표!G23,0)</f>
        <v>426623</v>
      </c>
      <c r="I23" s="55">
        <f>ROUND(D23*단가산출근거목록표!H23,0)</f>
        <v>549300</v>
      </c>
      <c r="J23" s="14" t="s">
        <v>528</v>
      </c>
      <c r="L23" s="19" t="str">
        <f ca="1">HYPERLINK("#"&amp;단가산출근거목록표!J2&amp;"!A"&amp;ROW(단가산출근거목록표!A23),"산근   20 →")</f>
        <v>산근   20 →</v>
      </c>
    </row>
    <row r="24" spans="1:12" ht="24.95" customHeight="1" x14ac:dyDescent="0.3">
      <c r="A24" s="8" t="s">
        <v>532</v>
      </c>
      <c r="B24" s="9" t="s">
        <v>240</v>
      </c>
      <c r="C24" s="9" t="s">
        <v>241</v>
      </c>
      <c r="D24" s="97">
        <v>82</v>
      </c>
      <c r="E24" s="33" t="s">
        <v>14</v>
      </c>
      <c r="F24" s="55">
        <f t="shared" si="0"/>
        <v>169166</v>
      </c>
      <c r="G24" s="54">
        <f>ROUND(D24*단가산출근거목록표!F24,0)</f>
        <v>107830</v>
      </c>
      <c r="H24" s="63">
        <f>ROUND(D24*단가산출근거목록표!G24,0)</f>
        <v>29684</v>
      </c>
      <c r="I24" s="55">
        <f>ROUND(D24*단가산출근거목록표!H24,0)</f>
        <v>31652</v>
      </c>
      <c r="J24" s="14" t="s">
        <v>532</v>
      </c>
      <c r="L24" s="19" t="str">
        <f ca="1">HYPERLINK("#"&amp;단가산출근거목록표!J2&amp;"!A"&amp;ROW(단가산출근거목록표!A24),"산근   21 →")</f>
        <v>산근   21 →</v>
      </c>
    </row>
    <row r="25" spans="1:12" ht="24.95" customHeight="1" x14ac:dyDescent="0.3">
      <c r="A25" s="8" t="s">
        <v>535</v>
      </c>
      <c r="B25" s="9" t="s">
        <v>244</v>
      </c>
      <c r="C25" s="9" t="s">
        <v>234</v>
      </c>
      <c r="D25" s="97">
        <v>486</v>
      </c>
      <c r="E25" s="33" t="s">
        <v>14</v>
      </c>
      <c r="F25" s="55">
        <f t="shared" si="0"/>
        <v>15226866</v>
      </c>
      <c r="G25" s="54">
        <f>ROUND(D25*단가산출근거목록표!F25,0)</f>
        <v>7926660</v>
      </c>
      <c r="H25" s="63">
        <f>ROUND(D25*단가산출근거목록표!G25,0)</f>
        <v>2617110</v>
      </c>
      <c r="I25" s="55">
        <f>ROUND(D25*단가산출근거목록표!H25,0)</f>
        <v>4683096</v>
      </c>
      <c r="J25" s="14" t="s">
        <v>535</v>
      </c>
      <c r="L25" s="19" t="str">
        <f ca="1">HYPERLINK("#"&amp;단가산출근거목록표!J2&amp;"!A"&amp;ROW(단가산출근거목록표!A25),"산근   22 →")</f>
        <v>산근   22 →</v>
      </c>
    </row>
    <row r="26" spans="1:12" ht="24.95" customHeight="1" x14ac:dyDescent="0.3">
      <c r="A26" s="8" t="s">
        <v>540</v>
      </c>
      <c r="B26" s="9" t="s">
        <v>247</v>
      </c>
      <c r="C26" s="9" t="s">
        <v>248</v>
      </c>
      <c r="D26" s="97">
        <v>13987</v>
      </c>
      <c r="E26" s="33" t="s">
        <v>14</v>
      </c>
      <c r="F26" s="55">
        <f t="shared" si="0"/>
        <v>0</v>
      </c>
      <c r="G26" s="54">
        <f>ROUND(D26*단가산출근거목록표!F26,0)</f>
        <v>0</v>
      </c>
      <c r="H26" s="63">
        <f>ROUND(D26*단가산출근거목록표!G26,0)</f>
        <v>0</v>
      </c>
      <c r="I26" s="55">
        <f>ROUND(D26*단가산출근거목록표!H26,0)</f>
        <v>0</v>
      </c>
      <c r="J26" s="14" t="s">
        <v>540</v>
      </c>
      <c r="L26" s="19" t="str">
        <f ca="1">HYPERLINK("#"&amp;단가산출근거목록표!J2&amp;"!A"&amp;ROW(단가산출근거목록표!A26),"산근   23 →")</f>
        <v>산근   23 →</v>
      </c>
    </row>
    <row r="27" spans="1:12" ht="24.95" customHeight="1" x14ac:dyDescent="0.3">
      <c r="A27" s="8" t="s">
        <v>545</v>
      </c>
      <c r="B27" s="9" t="s">
        <v>251</v>
      </c>
      <c r="C27" s="9" t="s">
        <v>252</v>
      </c>
      <c r="D27" s="97">
        <v>1170</v>
      </c>
      <c r="E27" s="33" t="s">
        <v>14</v>
      </c>
      <c r="F27" s="55">
        <f t="shared" si="0"/>
        <v>2325960</v>
      </c>
      <c r="G27" s="54">
        <f>ROUND(D27*단가산출근거목록표!F27,0)</f>
        <v>1028430</v>
      </c>
      <c r="H27" s="63">
        <f>ROUND(D27*단가산출근거목록표!G27,0)</f>
        <v>680940</v>
      </c>
      <c r="I27" s="55">
        <f>ROUND(D27*단가산출근거목록표!H27,0)</f>
        <v>616590</v>
      </c>
      <c r="J27" s="14" t="s">
        <v>545</v>
      </c>
      <c r="L27" s="19" t="str">
        <f ca="1">HYPERLINK("#"&amp;단가산출근거목록표!J2&amp;"!A"&amp;ROW(단가산출근거목록표!A27),"산근   24 →")</f>
        <v>산근   24 →</v>
      </c>
    </row>
    <row r="28" spans="1:12" ht="24.95" customHeight="1" x14ac:dyDescent="0.3">
      <c r="A28" s="8" t="s">
        <v>550</v>
      </c>
      <c r="B28" s="9" t="s">
        <v>255</v>
      </c>
      <c r="C28" s="9" t="s">
        <v>256</v>
      </c>
      <c r="D28" s="97">
        <v>1554</v>
      </c>
      <c r="E28" s="33" t="s">
        <v>14</v>
      </c>
      <c r="F28" s="55">
        <f t="shared" si="0"/>
        <v>3089352</v>
      </c>
      <c r="G28" s="54">
        <f>ROUND(D28*단가산출근거목록표!F28,0)</f>
        <v>1314684</v>
      </c>
      <c r="H28" s="63">
        <f>ROUND(D28*단가산출근거목록표!G28,0)</f>
        <v>870240</v>
      </c>
      <c r="I28" s="55">
        <f>ROUND(D28*단가산출근거목록표!H28,0)</f>
        <v>904428</v>
      </c>
      <c r="J28" s="14" t="s">
        <v>550</v>
      </c>
      <c r="L28" s="19" t="str">
        <f ca="1">HYPERLINK("#"&amp;단가산출근거목록표!J2&amp;"!A"&amp;ROW(단가산출근거목록표!A28),"산근   25 →")</f>
        <v>산근   25 →</v>
      </c>
    </row>
    <row r="29" spans="1:12" ht="24.95" customHeight="1" x14ac:dyDescent="0.3">
      <c r="A29" s="8" t="s">
        <v>554</v>
      </c>
      <c r="B29" s="9" t="s">
        <v>259</v>
      </c>
      <c r="C29" s="9" t="s">
        <v>260</v>
      </c>
      <c r="D29" s="97">
        <v>1667</v>
      </c>
      <c r="E29" s="33" t="s">
        <v>14</v>
      </c>
      <c r="F29" s="55">
        <f t="shared" si="0"/>
        <v>11422284</v>
      </c>
      <c r="G29" s="54">
        <f>ROUND(D29*단가산출근거목록표!F29,0)</f>
        <v>7158098</v>
      </c>
      <c r="H29" s="63">
        <f>ROUND(D29*단가산출근거목록표!G29,0)</f>
        <v>1553644</v>
      </c>
      <c r="I29" s="55">
        <f>ROUND(D29*단가산출근거목록표!H29,0)</f>
        <v>2710542</v>
      </c>
      <c r="J29" s="14" t="s">
        <v>554</v>
      </c>
      <c r="L29" s="19" t="str">
        <f ca="1">HYPERLINK("#"&amp;단가산출근거목록표!J2&amp;"!A"&amp;ROW(단가산출근거목록표!A29),"산근   26 →")</f>
        <v>산근   26 →</v>
      </c>
    </row>
    <row r="30" spans="1:12" ht="24.95" customHeight="1" x14ac:dyDescent="0.3">
      <c r="A30" s="8" t="s">
        <v>559</v>
      </c>
      <c r="B30" s="9" t="s">
        <v>263</v>
      </c>
      <c r="C30" s="9" t="s">
        <v>264</v>
      </c>
      <c r="D30" s="97">
        <v>1714</v>
      </c>
      <c r="E30" s="33" t="s">
        <v>14</v>
      </c>
      <c r="F30" s="55">
        <f t="shared" si="0"/>
        <v>13269788</v>
      </c>
      <c r="G30" s="54">
        <f>ROUND(D30*단가산출근거목록표!F30,0)</f>
        <v>8362606</v>
      </c>
      <c r="H30" s="63">
        <f>ROUND(D30*단가산출근거목록표!G30,0)</f>
        <v>1782560</v>
      </c>
      <c r="I30" s="55">
        <f>ROUND(D30*단가산출근거목록표!H30,0)</f>
        <v>3124622</v>
      </c>
      <c r="J30" s="14" t="s">
        <v>559</v>
      </c>
      <c r="L30" s="19" t="str">
        <f ca="1">HYPERLINK("#"&amp;단가산출근거목록표!J2&amp;"!A"&amp;ROW(단가산출근거목록표!A30),"산근   27 →")</f>
        <v>산근   27 →</v>
      </c>
    </row>
    <row r="31" spans="1:12" ht="24.95" customHeight="1" x14ac:dyDescent="0.3">
      <c r="A31" s="8" t="s">
        <v>563</v>
      </c>
      <c r="B31" s="9" t="s">
        <v>267</v>
      </c>
      <c r="C31" s="9"/>
      <c r="D31" s="97">
        <v>1281</v>
      </c>
      <c r="E31" s="33" t="s">
        <v>14</v>
      </c>
      <c r="F31" s="55">
        <f t="shared" si="0"/>
        <v>2577372</v>
      </c>
      <c r="G31" s="54">
        <f>ROUND(D31*단가산출근거목록표!F31,0)</f>
        <v>1483398</v>
      </c>
      <c r="H31" s="63">
        <f>ROUND(D31*단가산출근거목록표!G31,0)</f>
        <v>479094</v>
      </c>
      <c r="I31" s="55">
        <f>ROUND(D31*단가산출근거목록표!H31,0)</f>
        <v>614880</v>
      </c>
      <c r="J31" s="14" t="s">
        <v>563</v>
      </c>
      <c r="L31" s="19" t="str">
        <f ca="1">HYPERLINK("#"&amp;단가산출근거목록표!J2&amp;"!A"&amp;ROW(단가산출근거목록표!A31),"산근   28 →")</f>
        <v>산근   28 →</v>
      </c>
    </row>
    <row r="32" spans="1:12" ht="24.95" customHeight="1" x14ac:dyDescent="0.3">
      <c r="A32" s="8" t="s">
        <v>567</v>
      </c>
      <c r="B32" s="9" t="s">
        <v>270</v>
      </c>
      <c r="C32" s="9" t="s">
        <v>188</v>
      </c>
      <c r="D32" s="97">
        <v>10539</v>
      </c>
      <c r="E32" s="33" t="s">
        <v>26</v>
      </c>
      <c r="F32" s="55">
        <f t="shared" si="0"/>
        <v>12014460</v>
      </c>
      <c r="G32" s="54">
        <f>ROUND(D32*단가산출근거목록표!F32,0)</f>
        <v>6671187</v>
      </c>
      <c r="H32" s="63">
        <f>ROUND(D32*단가산출근거목록표!G32,0)</f>
        <v>2149956</v>
      </c>
      <c r="I32" s="55">
        <f>ROUND(D32*단가산출근거목록표!H32,0)</f>
        <v>3193317</v>
      </c>
      <c r="J32" s="14" t="s">
        <v>567</v>
      </c>
      <c r="L32" s="19" t="str">
        <f ca="1">HYPERLINK("#"&amp;단가산출근거목록표!J2&amp;"!A"&amp;ROW(단가산출근거목록표!A32),"산근   29 →")</f>
        <v>산근   29 →</v>
      </c>
    </row>
    <row r="33" spans="1:12" ht="24.95" customHeight="1" x14ac:dyDescent="0.3">
      <c r="A33" s="8" t="s">
        <v>572</v>
      </c>
      <c r="B33" s="9" t="s">
        <v>273</v>
      </c>
      <c r="C33" s="9" t="s">
        <v>274</v>
      </c>
      <c r="D33" s="97">
        <v>17148</v>
      </c>
      <c r="E33" s="33" t="s">
        <v>26</v>
      </c>
      <c r="F33" s="55">
        <f t="shared" si="0"/>
        <v>6327612</v>
      </c>
      <c r="G33" s="54">
        <f>ROUND(D33*단가산출근거목록표!F33,0)</f>
        <v>3652524</v>
      </c>
      <c r="H33" s="63">
        <f>ROUND(D33*단가산출근거목록표!G33,0)</f>
        <v>1166064</v>
      </c>
      <c r="I33" s="55">
        <f>ROUND(D33*단가산출근거목록표!H33,0)</f>
        <v>1509024</v>
      </c>
      <c r="J33" s="14" t="s">
        <v>572</v>
      </c>
      <c r="L33" s="19" t="str">
        <f ca="1">HYPERLINK("#"&amp;단가산출근거목록표!J2&amp;"!A"&amp;ROW(단가산출근거목록표!A33),"산근   30 →")</f>
        <v>산근   30 →</v>
      </c>
    </row>
    <row r="34" spans="1:12" ht="24.95" customHeight="1" x14ac:dyDescent="0.3">
      <c r="A34" s="8" t="s">
        <v>577</v>
      </c>
      <c r="B34" s="9" t="s">
        <v>277</v>
      </c>
      <c r="C34" s="9" t="s">
        <v>278</v>
      </c>
      <c r="D34" s="97">
        <v>3</v>
      </c>
      <c r="E34" s="33" t="s">
        <v>279</v>
      </c>
      <c r="F34" s="55">
        <f t="shared" si="0"/>
        <v>1420662</v>
      </c>
      <c r="G34" s="54">
        <f>ROUND(D34*단가산출근거목록표!F34,0)</f>
        <v>0</v>
      </c>
      <c r="H34" s="63">
        <f>ROUND(D34*단가산출근거목록표!G34,0)</f>
        <v>0</v>
      </c>
      <c r="I34" s="55">
        <f>ROUND(D34*단가산출근거목록표!H34,0)</f>
        <v>1420662</v>
      </c>
      <c r="J34" s="14" t="s">
        <v>577</v>
      </c>
      <c r="L34" s="19" t="str">
        <f ca="1">HYPERLINK("#"&amp;단가산출근거목록표!J2&amp;"!A"&amp;ROW(단가산출근거목록표!A34),"산근   31 →")</f>
        <v>산근   31 →</v>
      </c>
    </row>
    <row r="35" spans="1:12" ht="24.95" customHeight="1" x14ac:dyDescent="0.3">
      <c r="A35" s="8" t="s">
        <v>581</v>
      </c>
      <c r="B35" s="9" t="s">
        <v>282</v>
      </c>
      <c r="C35" s="9" t="s">
        <v>278</v>
      </c>
      <c r="D35" s="97">
        <v>3</v>
      </c>
      <c r="E35" s="33" t="s">
        <v>279</v>
      </c>
      <c r="F35" s="55">
        <f t="shared" si="0"/>
        <v>148437</v>
      </c>
      <c r="G35" s="54">
        <f>ROUND(D35*단가산출근거목록표!F35,0)</f>
        <v>0</v>
      </c>
      <c r="H35" s="63">
        <f>ROUND(D35*단가산출근거목록표!G35,0)</f>
        <v>0</v>
      </c>
      <c r="I35" s="55">
        <f>ROUND(D35*단가산출근거목록표!H35,0)</f>
        <v>148437</v>
      </c>
      <c r="J35" s="14" t="s">
        <v>581</v>
      </c>
      <c r="L35" s="19" t="str">
        <f ca="1">HYPERLINK("#"&amp;단가산출근거목록표!J2&amp;"!A"&amp;ROW(단가산출근거목록표!A35),"산근   32 →")</f>
        <v>산근   32 →</v>
      </c>
    </row>
    <row r="36" spans="1:12" ht="24.95" customHeight="1" x14ac:dyDescent="0.3">
      <c r="A36" s="8" t="s">
        <v>585</v>
      </c>
      <c r="B36" s="9" t="s">
        <v>285</v>
      </c>
      <c r="C36" s="9" t="s">
        <v>286</v>
      </c>
      <c r="D36" s="97">
        <v>76</v>
      </c>
      <c r="E36" s="33" t="s">
        <v>14</v>
      </c>
      <c r="F36" s="55">
        <f t="shared" si="0"/>
        <v>1236368</v>
      </c>
      <c r="G36" s="54">
        <f>ROUND(D36*단가산출근거목록표!F36,0)</f>
        <v>0</v>
      </c>
      <c r="H36" s="63">
        <f>ROUND(D36*단가산출근거목록표!G36,0)</f>
        <v>0</v>
      </c>
      <c r="I36" s="55">
        <f>ROUND(D36*단가산출근거목록표!H36,0)</f>
        <v>1236368</v>
      </c>
      <c r="J36" s="14" t="s">
        <v>585</v>
      </c>
      <c r="L36" s="19" t="str">
        <f ca="1">HYPERLINK("#"&amp;단가산출근거목록표!J2&amp;"!A"&amp;ROW(단가산출근거목록표!A36),"산근   33 →")</f>
        <v>산근   33 →</v>
      </c>
    </row>
    <row r="37" spans="1:12" ht="24.95" customHeight="1" x14ac:dyDescent="0.3">
      <c r="A37" s="8" t="s">
        <v>589</v>
      </c>
      <c r="B37" s="9" t="s">
        <v>289</v>
      </c>
      <c r="C37" s="9" t="s">
        <v>286</v>
      </c>
      <c r="D37" s="97">
        <v>89</v>
      </c>
      <c r="E37" s="33" t="s">
        <v>14</v>
      </c>
      <c r="F37" s="55">
        <f t="shared" si="0"/>
        <v>1532135</v>
      </c>
      <c r="G37" s="54">
        <f>ROUND(D37*단가산출근거목록표!F37,0)</f>
        <v>0</v>
      </c>
      <c r="H37" s="63">
        <f>ROUND(D37*단가산출근거목록표!G37,0)</f>
        <v>0</v>
      </c>
      <c r="I37" s="55">
        <f>ROUND(D37*단가산출근거목록표!H37,0)</f>
        <v>1532135</v>
      </c>
      <c r="J37" s="14" t="s">
        <v>589</v>
      </c>
      <c r="L37" s="19" t="str">
        <f ca="1">HYPERLINK("#"&amp;단가산출근거목록표!J2&amp;"!A"&amp;ROW(단가산출근거목록표!A37),"산근   34 →")</f>
        <v>산근   34 →</v>
      </c>
    </row>
    <row r="38" spans="1:12" ht="24.95" customHeight="1" x14ac:dyDescent="0.3">
      <c r="A38" s="8" t="s">
        <v>593</v>
      </c>
      <c r="B38" s="9" t="s">
        <v>293</v>
      </c>
      <c r="C38" s="9" t="s">
        <v>294</v>
      </c>
      <c r="D38" s="97">
        <v>878</v>
      </c>
      <c r="E38" s="33" t="s">
        <v>213</v>
      </c>
      <c r="F38" s="55">
        <f t="shared" si="0"/>
        <v>27553396</v>
      </c>
      <c r="G38" s="54">
        <f>ROUND(D38*단가산출근거목록표!F38,0)</f>
        <v>0</v>
      </c>
      <c r="H38" s="63">
        <f>ROUND(D38*단가산출근거목록표!G38,0)</f>
        <v>0</v>
      </c>
      <c r="I38" s="55">
        <f>ROUND(D38*단가산출근거목록표!H38,0)</f>
        <v>27553396</v>
      </c>
      <c r="J38" s="14" t="s">
        <v>593</v>
      </c>
      <c r="L38" s="19" t="str">
        <f ca="1">HYPERLINK("#"&amp;단가산출근거목록표!J2&amp;"!A"&amp;ROW(단가산출근거목록표!A38),"산근   35 →")</f>
        <v>산근   35 →</v>
      </c>
    </row>
    <row r="39" spans="1:12" ht="24.95" customHeight="1" x14ac:dyDescent="0.3">
      <c r="A39" s="8" t="s">
        <v>598</v>
      </c>
      <c r="B39" s="9" t="s">
        <v>298</v>
      </c>
      <c r="C39" s="9" t="s">
        <v>278</v>
      </c>
      <c r="D39" s="97">
        <v>1142</v>
      </c>
      <c r="E39" s="33" t="s">
        <v>279</v>
      </c>
      <c r="F39" s="55">
        <f t="shared" si="0"/>
        <v>2524962</v>
      </c>
      <c r="G39" s="54">
        <f>ROUND(D39*단가산출근거목록표!F39,0)</f>
        <v>0</v>
      </c>
      <c r="H39" s="63">
        <f>ROUND(D39*단가산출근거목록표!G39,0)</f>
        <v>0</v>
      </c>
      <c r="I39" s="55">
        <f>ROUND(D39*단가산출근거목록표!H39,0)</f>
        <v>2524962</v>
      </c>
      <c r="J39" s="14" t="s">
        <v>598</v>
      </c>
      <c r="L39" s="19" t="str">
        <f ca="1">HYPERLINK("#"&amp;단가산출근거목록표!J2&amp;"!A"&amp;ROW(단가산출근거목록표!A39),"산근   36 →")</f>
        <v>산근   36 →</v>
      </c>
    </row>
    <row r="40" spans="1:12" ht="24.95" customHeight="1" x14ac:dyDescent="0.3">
      <c r="A40" s="8" t="s">
        <v>602</v>
      </c>
      <c r="B40" s="9" t="s">
        <v>251</v>
      </c>
      <c r="C40" s="9" t="s">
        <v>302</v>
      </c>
      <c r="D40" s="97">
        <v>1155</v>
      </c>
      <c r="E40" s="33" t="s">
        <v>14</v>
      </c>
      <c r="F40" s="55">
        <f t="shared" si="0"/>
        <v>1889580</v>
      </c>
      <c r="G40" s="54">
        <f>ROUND(D40*단가산출근거목록표!F40,0)</f>
        <v>835065</v>
      </c>
      <c r="H40" s="63">
        <f>ROUND(D40*단가산출근거목록표!G40,0)</f>
        <v>553245</v>
      </c>
      <c r="I40" s="55">
        <f>ROUND(D40*단가산출근거목록표!H40,0)</f>
        <v>501270</v>
      </c>
      <c r="J40" s="14" t="s">
        <v>602</v>
      </c>
      <c r="L40" s="19" t="str">
        <f ca="1">HYPERLINK("#"&amp;단가산출근거목록표!J2&amp;"!A"&amp;ROW(단가산출근거목록표!A40),"산근   37 →")</f>
        <v>산근   37 →</v>
      </c>
    </row>
    <row r="41" spans="1:12" ht="24.95" customHeight="1" x14ac:dyDescent="0.3">
      <c r="A41" s="8" t="s">
        <v>607</v>
      </c>
      <c r="B41" s="9" t="s">
        <v>255</v>
      </c>
      <c r="C41" s="9" t="s">
        <v>306</v>
      </c>
      <c r="D41" s="97">
        <v>996</v>
      </c>
      <c r="E41" s="33" t="s">
        <v>14</v>
      </c>
      <c r="F41" s="55">
        <f t="shared" si="0"/>
        <v>2026860</v>
      </c>
      <c r="G41" s="54">
        <f>ROUND(D41*단가산출근거목록표!F41,0)</f>
        <v>862536</v>
      </c>
      <c r="H41" s="63">
        <f>ROUND(D41*단가산출근거목록표!G41,0)</f>
        <v>570708</v>
      </c>
      <c r="I41" s="55">
        <f>ROUND(D41*단가산출근거목록표!H41,0)</f>
        <v>593616</v>
      </c>
      <c r="J41" s="14" t="s">
        <v>607</v>
      </c>
      <c r="L41" s="19" t="str">
        <f ca="1">HYPERLINK("#"&amp;단가산출근거목록표!J2&amp;"!A"&amp;ROW(단가산출근거목록표!A41),"산근   38 →")</f>
        <v>산근   38 →</v>
      </c>
    </row>
    <row r="42" spans="1:12" ht="24.95" customHeight="1" x14ac:dyDescent="0.3">
      <c r="A42" s="8" t="s">
        <v>611</v>
      </c>
      <c r="B42" s="9" t="s">
        <v>259</v>
      </c>
      <c r="C42" s="9" t="s">
        <v>310</v>
      </c>
      <c r="D42" s="97">
        <v>1742</v>
      </c>
      <c r="E42" s="33" t="s">
        <v>14</v>
      </c>
      <c r="F42" s="55">
        <f t="shared" si="0"/>
        <v>12436138</v>
      </c>
      <c r="G42" s="54">
        <f>ROUND(D42*단가산출근거목록표!F42,0)</f>
        <v>7751900</v>
      </c>
      <c r="H42" s="63">
        <f>ROUND(D42*단가산출근거목록표!G42,0)</f>
        <v>1755936</v>
      </c>
      <c r="I42" s="55">
        <f>ROUND(D42*단가산출근거목록표!H42,0)</f>
        <v>2928302</v>
      </c>
      <c r="J42" s="14" t="s">
        <v>611</v>
      </c>
      <c r="L42" s="19" t="str">
        <f ca="1">HYPERLINK("#"&amp;단가산출근거목록표!J2&amp;"!A"&amp;ROW(단가산출근거목록표!A42),"산근   39 →")</f>
        <v>산근   39 →</v>
      </c>
    </row>
    <row r="43" spans="1:12" ht="24.95" customHeight="1" x14ac:dyDescent="0.3">
      <c r="A43" s="8" t="s">
        <v>615</v>
      </c>
      <c r="B43" s="9" t="s">
        <v>263</v>
      </c>
      <c r="C43" s="9" t="s">
        <v>314</v>
      </c>
      <c r="D43" s="97">
        <v>929</v>
      </c>
      <c r="E43" s="33" t="s">
        <v>14</v>
      </c>
      <c r="F43" s="55">
        <f t="shared" si="0"/>
        <v>7298224</v>
      </c>
      <c r="G43" s="54">
        <f>ROUND(D43*단가산출근거목록표!F43,0)</f>
        <v>4590189</v>
      </c>
      <c r="H43" s="63">
        <f>ROUND(D43*단가산출근거목록표!G43,0)</f>
        <v>998675</v>
      </c>
      <c r="I43" s="55">
        <f>ROUND(D43*단가산출근거목록표!H43,0)</f>
        <v>1709360</v>
      </c>
      <c r="J43" s="14" t="s">
        <v>615</v>
      </c>
      <c r="L43" s="19" t="str">
        <f ca="1">HYPERLINK("#"&amp;단가산출근거목록표!J2&amp;"!A"&amp;ROW(단가산출근거목록표!A43),"산근   40 →")</f>
        <v>산근   40 →</v>
      </c>
    </row>
    <row r="44" spans="1:12" ht="24.95" customHeight="1" x14ac:dyDescent="0.3">
      <c r="A44" s="8" t="s">
        <v>620</v>
      </c>
      <c r="B44" s="9" t="s">
        <v>267</v>
      </c>
      <c r="C44" s="9" t="s">
        <v>318</v>
      </c>
      <c r="D44" s="97">
        <v>779</v>
      </c>
      <c r="E44" s="33" t="s">
        <v>14</v>
      </c>
      <c r="F44" s="55">
        <f t="shared" si="0"/>
        <v>2693003</v>
      </c>
      <c r="G44" s="54">
        <f>ROUND(D44*단가산출근거목록표!F44,0)</f>
        <v>1723927</v>
      </c>
      <c r="H44" s="63">
        <f>ROUND(D44*단가산출근거목록표!G44,0)</f>
        <v>404301</v>
      </c>
      <c r="I44" s="55">
        <f>ROUND(D44*단가산출근거목록표!H44,0)</f>
        <v>564775</v>
      </c>
      <c r="J44" s="14" t="s">
        <v>620</v>
      </c>
      <c r="L44" s="19" t="str">
        <f ca="1">HYPERLINK("#"&amp;단가산출근거목록표!J2&amp;"!A"&amp;ROW(단가산출근거목록표!A44),"산근   41 →")</f>
        <v>산근   41 →</v>
      </c>
    </row>
    <row r="45" spans="1:12" ht="24.95" customHeight="1" x14ac:dyDescent="0.3">
      <c r="A45" s="8" t="s">
        <v>625</v>
      </c>
      <c r="B45" s="9" t="s">
        <v>251</v>
      </c>
      <c r="C45" s="9" t="s">
        <v>322</v>
      </c>
      <c r="D45" s="97">
        <v>313</v>
      </c>
      <c r="E45" s="33" t="s">
        <v>14</v>
      </c>
      <c r="F45" s="55">
        <f t="shared" si="0"/>
        <v>567156</v>
      </c>
      <c r="G45" s="54">
        <f>ROUND(D45*단가산출근거목록표!F45,0)</f>
        <v>250713</v>
      </c>
      <c r="H45" s="63">
        <f>ROUND(D45*단가산출근거목록표!G45,0)</f>
        <v>166203</v>
      </c>
      <c r="I45" s="55">
        <f>ROUND(D45*단가산출근거목록표!H45,0)</f>
        <v>150240</v>
      </c>
      <c r="J45" s="14" t="s">
        <v>625</v>
      </c>
      <c r="L45" s="19" t="str">
        <f ca="1">HYPERLINK("#"&amp;단가산출근거목록표!J2&amp;"!A"&amp;ROW(단가산출근거목록표!A45),"산근   42 →")</f>
        <v>산근   42 →</v>
      </c>
    </row>
    <row r="46" spans="1:12" ht="24.95" customHeight="1" x14ac:dyDescent="0.3">
      <c r="A46" s="8" t="s">
        <v>629</v>
      </c>
      <c r="B46" s="9" t="s">
        <v>255</v>
      </c>
      <c r="C46" s="9" t="s">
        <v>326</v>
      </c>
      <c r="D46" s="97">
        <v>862</v>
      </c>
      <c r="E46" s="33" t="s">
        <v>14</v>
      </c>
      <c r="F46" s="55">
        <f t="shared" si="0"/>
        <v>1641248</v>
      </c>
      <c r="G46" s="54">
        <f>ROUND(D46*단가산출근거목록표!F46,0)</f>
        <v>698220</v>
      </c>
      <c r="H46" s="63">
        <f>ROUND(D46*단가산출근거목록표!G46,0)</f>
        <v>462894</v>
      </c>
      <c r="I46" s="55">
        <f>ROUND(D46*단가산출근거목록표!H46,0)</f>
        <v>480134</v>
      </c>
      <c r="J46" s="14" t="s">
        <v>629</v>
      </c>
      <c r="L46" s="19" t="str">
        <f ca="1">HYPERLINK("#"&amp;단가산출근거목록표!J2&amp;"!A"&amp;ROW(단가산출근거목록표!A46),"산근   43 →")</f>
        <v>산근   43 →</v>
      </c>
    </row>
    <row r="47" spans="1:12" ht="24.95" customHeight="1" x14ac:dyDescent="0.3">
      <c r="A47" s="8" t="s">
        <v>632</v>
      </c>
      <c r="B47" s="9" t="s">
        <v>259</v>
      </c>
      <c r="C47" s="9" t="s">
        <v>330</v>
      </c>
      <c r="D47" s="97">
        <v>27</v>
      </c>
      <c r="E47" s="33" t="s">
        <v>14</v>
      </c>
      <c r="F47" s="55">
        <f t="shared" si="0"/>
        <v>165456</v>
      </c>
      <c r="G47" s="54">
        <f>ROUND(D47*단가산출근거목록표!F47,0)</f>
        <v>105489</v>
      </c>
      <c r="H47" s="63">
        <f>ROUND(D47*단가산출근거목록표!G47,0)</f>
        <v>19737</v>
      </c>
      <c r="I47" s="55">
        <f>ROUND(D47*단가산출근거목록표!H47,0)</f>
        <v>40230</v>
      </c>
      <c r="J47" s="14" t="s">
        <v>632</v>
      </c>
      <c r="L47" s="19" t="str">
        <f ca="1">HYPERLINK("#"&amp;단가산출근거목록표!J2&amp;"!A"&amp;ROW(단가산출근거목록표!A47),"산근   44 →")</f>
        <v>산근   44 →</v>
      </c>
    </row>
    <row r="48" spans="1:12" ht="24.95" customHeight="1" x14ac:dyDescent="0.3">
      <c r="A48" s="8" t="s">
        <v>637</v>
      </c>
      <c r="B48" s="9" t="s">
        <v>263</v>
      </c>
      <c r="C48" s="9" t="s">
        <v>330</v>
      </c>
      <c r="D48" s="97">
        <v>93</v>
      </c>
      <c r="E48" s="33" t="s">
        <v>14</v>
      </c>
      <c r="F48" s="55">
        <f t="shared" si="0"/>
        <v>643932</v>
      </c>
      <c r="G48" s="54">
        <f>ROUND(D48*단가산출근거목록표!F48,0)</f>
        <v>411897</v>
      </c>
      <c r="H48" s="63">
        <f>ROUND(D48*단가산출근거목록표!G48,0)</f>
        <v>74214</v>
      </c>
      <c r="I48" s="55">
        <f>ROUND(D48*단가산출근거목록표!H48,0)</f>
        <v>157821</v>
      </c>
      <c r="J48" s="14" t="s">
        <v>637</v>
      </c>
      <c r="L48" s="19" t="str">
        <f ca="1">HYPERLINK("#"&amp;단가산출근거목록표!J2&amp;"!A"&amp;ROW(단가산출근거목록표!A48),"산근   45 →")</f>
        <v>산근   45 →</v>
      </c>
    </row>
    <row r="49" spans="1:12" ht="24.95" customHeight="1" x14ac:dyDescent="0.3">
      <c r="A49" s="8" t="s">
        <v>642</v>
      </c>
      <c r="B49" s="9" t="s">
        <v>267</v>
      </c>
      <c r="C49" s="9"/>
      <c r="D49" s="97">
        <v>6740</v>
      </c>
      <c r="E49" s="33" t="s">
        <v>14</v>
      </c>
      <c r="F49" s="55">
        <f t="shared" si="0"/>
        <v>6092960</v>
      </c>
      <c r="G49" s="54">
        <f>ROUND(D49*단가산출근거목록표!F49,0)</f>
        <v>3511540</v>
      </c>
      <c r="H49" s="63">
        <f>ROUND(D49*단가산출근거목록표!G49,0)</f>
        <v>1132320</v>
      </c>
      <c r="I49" s="55">
        <f>ROUND(D49*단가산출근거목록표!H49,0)</f>
        <v>1449100</v>
      </c>
      <c r="J49" s="14" t="s">
        <v>642</v>
      </c>
      <c r="L49" s="19" t="str">
        <f ca="1">HYPERLINK("#"&amp;단가산출근거목록표!J2&amp;"!A"&amp;ROW(단가산출근거목록표!A49),"산근   46 →")</f>
        <v>산근   46 →</v>
      </c>
    </row>
    <row r="50" spans="1:12" ht="24.95" customHeight="1" x14ac:dyDescent="0.3">
      <c r="A50" s="8" t="s">
        <v>342</v>
      </c>
      <c r="B50" s="9" t="s">
        <v>340</v>
      </c>
      <c r="C50" s="9" t="s">
        <v>278</v>
      </c>
      <c r="D50" s="97">
        <v>0.01</v>
      </c>
      <c r="E50" s="33" t="s">
        <v>341</v>
      </c>
      <c r="F50" s="55">
        <f t="shared" si="0"/>
        <v>135</v>
      </c>
      <c r="G50" s="54">
        <f>ROUND(D50*단가산출근거목록표!F50,0)</f>
        <v>0</v>
      </c>
      <c r="H50" s="63">
        <f>ROUND(D50*단가산출근거목록표!G50,0)</f>
        <v>0</v>
      </c>
      <c r="I50" s="55">
        <f>ROUND(D50*단가산출근거목록표!H50,0)</f>
        <v>135</v>
      </c>
      <c r="J50" s="14" t="s">
        <v>342</v>
      </c>
      <c r="L50" s="19" t="str">
        <f ca="1">HYPERLINK("#"&amp;단가산출근거목록표!J2&amp;"!A"&amp;ROW(단가산출근거목록표!A50),"산근   47 →")</f>
        <v>산근   47 →</v>
      </c>
    </row>
  </sheetData>
  <mergeCells count="1">
    <mergeCell ref="A1:J1"/>
  </mergeCells>
  <phoneticPr fontId="23" type="noConversion"/>
  <hyperlinks>
    <hyperlink ref="L1" r:id="rId1" tooltip="설계예산시스템(STmate w24.04)으로 작성 하였으며,_x000a_엑셀 인쇄품질 600 dpi에 최적화 되어 있습니다._x000a_경영정보(주) http://www.stma.co.kr_x000a_Tel) 070-4350-0040_x000a_Fax) 0505-300-3948"/>
    <hyperlink ref="K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sqref="A1:H1"/>
    </sheetView>
  </sheetViews>
  <sheetFormatPr defaultColWidth="9.125" defaultRowHeight="16.5" x14ac:dyDescent="0.3"/>
  <cols>
    <col min="1" max="1" width="4" style="5" customWidth="1"/>
    <col min="2" max="2" width="5.5" style="5" customWidth="1"/>
    <col min="3" max="4" width="16" style="5" customWidth="1"/>
    <col min="5" max="5" width="5.5" style="5" customWidth="1"/>
    <col min="6" max="6" width="16" style="5" customWidth="1"/>
    <col min="7" max="7" width="11.5" style="5" customWidth="1"/>
    <col min="8" max="8" width="10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5.35" customHeight="1" x14ac:dyDescent="0.3">
      <c r="A1" s="148" t="s">
        <v>755</v>
      </c>
      <c r="B1" s="131"/>
      <c r="C1" s="142"/>
      <c r="D1" s="142"/>
      <c r="E1" s="142"/>
      <c r="F1" s="142"/>
      <c r="G1" s="142"/>
      <c r="H1" s="142"/>
      <c r="I1" s="4" t="s">
        <v>166</v>
      </c>
      <c r="J1" s="34" t="s">
        <v>166</v>
      </c>
    </row>
    <row r="2" spans="1:10" ht="25.35" customHeight="1" x14ac:dyDescent="0.3">
      <c r="C2" s="26" t="s">
        <v>756</v>
      </c>
      <c r="D2" s="26" t="s">
        <v>757</v>
      </c>
      <c r="E2" s="149" t="s">
        <v>758</v>
      </c>
      <c r="F2" s="150"/>
      <c r="G2" s="149" t="s">
        <v>759</v>
      </c>
      <c r="H2" s="150"/>
      <c r="I2" s="21" t="str">
        <f ca="1">MID(CELL("filename",$A$1),FIND("]",CELL("filename",$A$1))+1,LEN(CELL("filename",$A$1)))</f>
        <v>환율및기초자료</v>
      </c>
    </row>
    <row r="3" spans="1:10" ht="25.35" customHeight="1" x14ac:dyDescent="0.3">
      <c r="C3" s="28">
        <v>1289</v>
      </c>
      <c r="D3" s="28">
        <v>1289</v>
      </c>
      <c r="E3" s="151">
        <v>1000</v>
      </c>
      <c r="F3" s="150"/>
      <c r="G3" s="152">
        <v>1000</v>
      </c>
      <c r="H3" s="150"/>
    </row>
    <row r="4" spans="1:10" ht="25.35" customHeight="1" x14ac:dyDescent="0.3">
      <c r="C4" s="27"/>
      <c r="D4" s="27"/>
      <c r="E4" s="27"/>
      <c r="F4" s="27"/>
      <c r="G4" s="27"/>
      <c r="H4" s="27"/>
    </row>
    <row r="5" spans="1:10" ht="25.35" customHeight="1" x14ac:dyDescent="0.3">
      <c r="A5" s="148" t="s">
        <v>760</v>
      </c>
      <c r="B5" s="131"/>
      <c r="C5" s="131"/>
      <c r="D5" s="131"/>
      <c r="E5" s="131"/>
      <c r="F5" s="131"/>
      <c r="G5" s="131"/>
      <c r="H5" s="131"/>
    </row>
    <row r="6" spans="1:10" ht="25.35" customHeight="1" x14ac:dyDescent="0.3">
      <c r="C6" s="29" t="s">
        <v>668</v>
      </c>
      <c r="D6" s="31">
        <f>노무비목록표!E10</f>
        <v>267360</v>
      </c>
      <c r="E6" s="153" t="s">
        <v>761</v>
      </c>
      <c r="F6" s="142"/>
      <c r="G6" s="31">
        <f>ROUNDDOWN(D6*0.20833333334,0)</f>
        <v>55700</v>
      </c>
      <c r="H6" s="33" t="s">
        <v>669</v>
      </c>
      <c r="J6" s="19" t="str">
        <f ca="1">HYPERLINK("#"&amp;노무비목록표!G2&amp;"!A"&amp;ROW(노무비목록표!A10),"노무    7 →")</f>
        <v>노무    7 →</v>
      </c>
    </row>
    <row r="7" spans="1:10" ht="25.35" customHeight="1" x14ac:dyDescent="0.3">
      <c r="C7" s="30" t="s">
        <v>671</v>
      </c>
      <c r="D7" s="32">
        <f>노무비목록표!E11</f>
        <v>226709</v>
      </c>
      <c r="E7" s="149" t="s">
        <v>761</v>
      </c>
      <c r="F7" s="150"/>
      <c r="G7" s="32">
        <f>ROUNDDOWN(D7*0.20833333334,0)</f>
        <v>47231</v>
      </c>
      <c r="H7" s="26" t="s">
        <v>672</v>
      </c>
      <c r="J7" s="19" t="str">
        <f ca="1">HYPERLINK("#"&amp;노무비목록표!G2&amp;"!A"&amp;ROW(노무비목록표!A11),"노무    8 →")</f>
        <v>노무    8 →</v>
      </c>
    </row>
    <row r="8" spans="1:10" ht="25.35" customHeight="1" x14ac:dyDescent="0.3">
      <c r="C8" s="30" t="s">
        <v>674</v>
      </c>
      <c r="D8" s="32">
        <f>노무비목록표!E12</f>
        <v>161142</v>
      </c>
      <c r="E8" s="149" t="s">
        <v>761</v>
      </c>
      <c r="F8" s="150"/>
      <c r="G8" s="32">
        <f>ROUNDDOWN(D8*0.20833333334,0)</f>
        <v>33571</v>
      </c>
      <c r="H8" s="26" t="s">
        <v>675</v>
      </c>
      <c r="J8" s="19" t="str">
        <f ca="1">HYPERLINK("#"&amp;노무비목록표!G2&amp;"!A"&amp;ROW(노무비목록표!A12),"노무    9 →")</f>
        <v>노무    9 →</v>
      </c>
    </row>
    <row r="9" spans="1:10" ht="25.35" customHeight="1" x14ac:dyDescent="0.3">
      <c r="C9" s="27"/>
      <c r="D9" s="27"/>
      <c r="E9" s="27"/>
      <c r="F9" s="27"/>
      <c r="G9" s="27"/>
      <c r="H9" s="27"/>
    </row>
    <row r="10" spans="1:10" ht="25.35" customHeight="1" x14ac:dyDescent="0.3">
      <c r="A10" s="148" t="s">
        <v>762</v>
      </c>
      <c r="B10" s="142"/>
      <c r="C10" s="142"/>
      <c r="D10" s="142"/>
      <c r="E10" s="142"/>
      <c r="F10" s="142"/>
      <c r="G10" s="142"/>
      <c r="H10" s="142"/>
    </row>
    <row r="11" spans="1:10" ht="25.35" customHeight="1" x14ac:dyDescent="0.3">
      <c r="B11" s="26" t="s">
        <v>763</v>
      </c>
      <c r="C11" s="26" t="s">
        <v>764</v>
      </c>
      <c r="D11" s="26" t="s">
        <v>765</v>
      </c>
      <c r="E11" s="26" t="s">
        <v>5</v>
      </c>
      <c r="F11" s="26" t="s">
        <v>766</v>
      </c>
      <c r="G11" s="26"/>
      <c r="H11" s="26" t="s">
        <v>10</v>
      </c>
    </row>
    <row r="12" spans="1:10" ht="25.35" customHeight="1" x14ac:dyDescent="0.3">
      <c r="B12" s="26" t="s">
        <v>767</v>
      </c>
      <c r="C12" s="30" t="s">
        <v>668</v>
      </c>
      <c r="D12" s="26"/>
      <c r="E12" s="26" t="s">
        <v>650</v>
      </c>
      <c r="F12" s="32">
        <f>노무비목록표!E10</f>
        <v>267360</v>
      </c>
      <c r="G12" s="30"/>
      <c r="H12" s="26" t="s">
        <v>669</v>
      </c>
      <c r="J12" s="19" t="str">
        <f ca="1">HYPERLINK("#"&amp;노무비목록표!G2&amp;"!A"&amp;ROW(노무비목록표!A10),"노무    7 →")</f>
        <v>노무    7 →</v>
      </c>
    </row>
    <row r="13" spans="1:10" ht="25.35" customHeight="1" x14ac:dyDescent="0.3">
      <c r="B13" s="26" t="s">
        <v>768</v>
      </c>
      <c r="C13" s="30" t="s">
        <v>671</v>
      </c>
      <c r="D13" s="26"/>
      <c r="E13" s="26" t="s">
        <v>650</v>
      </c>
      <c r="F13" s="32">
        <f>노무비목록표!E11</f>
        <v>226709</v>
      </c>
      <c r="G13" s="30"/>
      <c r="H13" s="26" t="s">
        <v>672</v>
      </c>
      <c r="J13" s="19" t="str">
        <f ca="1">HYPERLINK("#"&amp;노무비목록표!G2&amp;"!A"&amp;ROW(노무비목록표!A11),"노무    8 →")</f>
        <v>노무    8 →</v>
      </c>
    </row>
    <row r="14" spans="1:10" ht="25.35" customHeight="1" x14ac:dyDescent="0.3">
      <c r="B14" s="26" t="s">
        <v>769</v>
      </c>
      <c r="C14" s="30" t="s">
        <v>674</v>
      </c>
      <c r="D14" s="26"/>
      <c r="E14" s="26" t="s">
        <v>650</v>
      </c>
      <c r="F14" s="32">
        <f>노무비목록표!E12</f>
        <v>161142</v>
      </c>
      <c r="G14" s="30"/>
      <c r="H14" s="26" t="s">
        <v>675</v>
      </c>
      <c r="J14" s="19" t="str">
        <f ca="1">HYPERLINK("#"&amp;노무비목록표!G2&amp;"!A"&amp;ROW(노무비목록표!A12),"노무    9 →")</f>
        <v>노무    9 →</v>
      </c>
    </row>
    <row r="15" spans="1:10" ht="25.35" customHeight="1" x14ac:dyDescent="0.3">
      <c r="B15" s="26" t="s">
        <v>770</v>
      </c>
      <c r="C15" s="30" t="s">
        <v>433</v>
      </c>
      <c r="D15" s="26" t="s">
        <v>204</v>
      </c>
      <c r="E15" s="26" t="s">
        <v>434</v>
      </c>
      <c r="F15" s="32">
        <f>재료비목록표!E4</f>
        <v>1369</v>
      </c>
      <c r="G15" s="30"/>
      <c r="H15" s="26" t="s">
        <v>435</v>
      </c>
      <c r="J15" s="19" t="str">
        <f ca="1">HYPERLINK("#"&amp;재료비목록표!G2&amp;"!A"&amp;ROW(재료비목록표!A4),"자재    1 →")</f>
        <v>자재    1 →</v>
      </c>
    </row>
    <row r="16" spans="1:10" ht="25.35" customHeight="1" x14ac:dyDescent="0.3">
      <c r="B16" s="26" t="s">
        <v>771</v>
      </c>
      <c r="C16" s="30" t="s">
        <v>438</v>
      </c>
      <c r="D16" s="26" t="s">
        <v>439</v>
      </c>
      <c r="E16" s="26" t="s">
        <v>434</v>
      </c>
      <c r="F16" s="32">
        <f>재료비목록표!E5</f>
        <v>1272</v>
      </c>
      <c r="G16" s="30"/>
      <c r="H16" s="26" t="s">
        <v>440</v>
      </c>
      <c r="J16" s="19" t="str">
        <f ca="1">HYPERLINK("#"&amp;재료비목록표!G2&amp;"!A"&amp;ROW(재료비목록표!A5),"자재    2 →")</f>
        <v>자재    2 →</v>
      </c>
    </row>
    <row r="17" spans="2:10" ht="25.35" customHeight="1" x14ac:dyDescent="0.3">
      <c r="B17" s="26" t="s">
        <v>772</v>
      </c>
      <c r="C17" s="30" t="s">
        <v>438</v>
      </c>
      <c r="D17" s="26" t="s">
        <v>582</v>
      </c>
      <c r="E17" s="26" t="s">
        <v>434</v>
      </c>
      <c r="F17" s="32">
        <f>재료비목록표!E35</f>
        <v>1273</v>
      </c>
      <c r="G17" s="30"/>
      <c r="H17" s="26" t="s">
        <v>583</v>
      </c>
      <c r="J17" s="19" t="str">
        <f ca="1">HYPERLINK("#"&amp;재료비목록표!G2&amp;"!A"&amp;ROW(재료비목록표!A35),"자재   32 →")</f>
        <v>자재   32 →</v>
      </c>
    </row>
    <row r="18" spans="2:10" ht="25.35" customHeight="1" x14ac:dyDescent="0.3">
      <c r="B18" s="27"/>
      <c r="C18" s="27"/>
      <c r="D18" s="27"/>
      <c r="E18" s="27"/>
      <c r="F18" s="27"/>
      <c r="G18" s="27"/>
      <c r="H18" s="27"/>
    </row>
  </sheetData>
  <mergeCells count="10">
    <mergeCell ref="E6:F6"/>
    <mergeCell ref="E7:F7"/>
    <mergeCell ref="E8:F8"/>
    <mergeCell ref="A10:H10"/>
    <mergeCell ref="A1:H1"/>
    <mergeCell ref="E2:F2"/>
    <mergeCell ref="G2:H2"/>
    <mergeCell ref="E3:F3"/>
    <mergeCell ref="G3:H3"/>
    <mergeCell ref="A5:H5"/>
  </mergeCells>
  <phoneticPr fontId="23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30" t="s">
        <v>344</v>
      </c>
      <c r="B1" s="131"/>
      <c r="C1" s="131"/>
      <c r="D1" s="131"/>
      <c r="E1" s="131"/>
      <c r="F1" s="131"/>
      <c r="G1" s="131"/>
      <c r="H1" s="131"/>
      <c r="I1" s="131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중기목록표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345</v>
      </c>
      <c r="C4" s="9" t="s">
        <v>346</v>
      </c>
      <c r="D4" s="8" t="s">
        <v>347</v>
      </c>
      <c r="E4" s="55">
        <f>중기사용료!F11</f>
        <v>126000</v>
      </c>
      <c r="F4" s="54">
        <f>중기사용료!H11</f>
        <v>55700</v>
      </c>
      <c r="G4" s="63">
        <f>중기사용료!J11</f>
        <v>36888</v>
      </c>
      <c r="H4" s="55">
        <f>중기사용료!L11</f>
        <v>33412</v>
      </c>
      <c r="I4" s="14" t="s">
        <v>11</v>
      </c>
      <c r="J4" s="36" t="str">
        <f>"_x0007_`COD|X00001_x0005_`QTY1|1_x0005_`BQC|_x0005_`EQC|_x0005_`JDC|_x0005_`WQC|_x0005_`EDT|_x0005_`ADJ|F_x0005_`RXX|0_x0005_`NAG|0_x0005_`UC|F_x0005_`DET|"&amp;ROW(중기사용료!A5)&amp;"_x0005_`"</f>
        <v>_x0007_`COD|X00001_x0005_`QTY1|1_x0005_`BQC|_x0005_`EQC|_x0005_`JDC|_x0005_`WQC|_x0005_`EDT|_x0005_`ADJ|F_x0005_`RXX|0_x0005_`NAG|0_x0005_`UC|F_x0005_`DET|5_x0005_`</v>
      </c>
      <c r="K4" s="19" t="str">
        <f ca="1">HYPERLINK("#"&amp;중기사용료!N2&amp;"!A"&amp;ROW(중기사용료!A5),"중기    1 →")</f>
        <v>중기    1 →</v>
      </c>
    </row>
    <row r="5" spans="1:11" ht="22.35" customHeight="1" x14ac:dyDescent="0.3">
      <c r="A5" s="8" t="s">
        <v>17</v>
      </c>
      <c r="B5" s="9" t="s">
        <v>350</v>
      </c>
      <c r="C5" s="9"/>
      <c r="D5" s="8" t="s">
        <v>347</v>
      </c>
      <c r="E5" s="55">
        <f>중기사용료!F18</f>
        <v>76436</v>
      </c>
      <c r="F5" s="54">
        <f>중기사용료!H18</f>
        <v>55700</v>
      </c>
      <c r="G5" s="63">
        <f>중기사용료!J18</f>
        <v>7695</v>
      </c>
      <c r="H5" s="55">
        <f>중기사용료!L18</f>
        <v>13041</v>
      </c>
      <c r="I5" s="14" t="s">
        <v>17</v>
      </c>
      <c r="J5" s="36" t="str">
        <f>"_x0007_`COD|X00003_x0005_`QTY1|1_x0005_`BQC|_x0005_`EQC|_x0005_`JDC|_x0005_`WQC|_x0005_`EDT|_x0005_`ADJ|F_x0005_`RXX|0_x0005_`NAG|0_x0005_`UC|F_x0005_`DET|"&amp;ROW(중기사용료!A12)&amp;"_x0005_`"</f>
        <v>_x0007_`COD|X00003_x0005_`QTY1|1_x0005_`BQC|_x0005_`EQC|_x0005_`JDC|_x0005_`WQC|_x0005_`EDT|_x0005_`ADJ|F_x0005_`RXX|0_x0005_`NAG|0_x0005_`UC|F_x0005_`DET|12_x0005_`</v>
      </c>
      <c r="K5" s="19" t="str">
        <f ca="1">HYPERLINK("#"&amp;중기사용료!N2&amp;"!A"&amp;ROW(중기사용료!A12),"중기    2 →")</f>
        <v>중기    2 →</v>
      </c>
    </row>
    <row r="6" spans="1:11" ht="22.35" customHeight="1" x14ac:dyDescent="0.3">
      <c r="A6" s="8" t="s">
        <v>23</v>
      </c>
      <c r="B6" s="9" t="s">
        <v>353</v>
      </c>
      <c r="C6" s="9"/>
      <c r="D6" s="8" t="s">
        <v>347</v>
      </c>
      <c r="E6" s="55">
        <f>중기사용료!F25</f>
        <v>87441</v>
      </c>
      <c r="F6" s="54">
        <f>중기사용료!H25</f>
        <v>55700</v>
      </c>
      <c r="G6" s="63">
        <f>중기사용료!J25</f>
        <v>15363</v>
      </c>
      <c r="H6" s="55">
        <f>중기사용료!L25</f>
        <v>16378</v>
      </c>
      <c r="I6" s="14" t="s">
        <v>23</v>
      </c>
      <c r="J6" s="36" t="str">
        <f>"_x0007_`COD|X00004_x0005_`QTY1|1_x0005_`BQC|_x0005_`EQC|_x0005_`JDC|_x0005_`WQC|_x0005_`EDT|_x0005_`ADJ|F_x0005_`RXX|0_x0005_`NAG|0_x0005_`UC|F_x0005_`DET|"&amp;ROW(중기사용료!A19)&amp;"_x0005_`"</f>
        <v>_x0007_`COD|X00004_x0005_`QTY1|1_x0005_`BQC|_x0005_`EQC|_x0005_`JDC|_x0005_`WQC|_x0005_`EDT|_x0005_`ADJ|F_x0005_`RXX|0_x0005_`NAG|0_x0005_`UC|F_x0005_`DET|19_x0005_`</v>
      </c>
      <c r="K6" s="19" t="str">
        <f ca="1">HYPERLINK("#"&amp;중기사용료!N2&amp;"!A"&amp;ROW(중기사용료!A19),"중기    3 →")</f>
        <v>중기    3 →</v>
      </c>
    </row>
    <row r="7" spans="1:11" ht="22.35" customHeight="1" x14ac:dyDescent="0.3">
      <c r="A7" s="8" t="s">
        <v>29</v>
      </c>
      <c r="B7" s="9" t="s">
        <v>356</v>
      </c>
      <c r="C7" s="9"/>
      <c r="D7" s="8" t="s">
        <v>347</v>
      </c>
      <c r="E7" s="55">
        <f>중기사용료!F32</f>
        <v>96829</v>
      </c>
      <c r="F7" s="54">
        <f>중기사용료!H32</f>
        <v>55700</v>
      </c>
      <c r="G7" s="63">
        <f>중기사용료!J32</f>
        <v>18001</v>
      </c>
      <c r="H7" s="55">
        <f>중기사용료!L32</f>
        <v>23128</v>
      </c>
      <c r="I7" s="14" t="s">
        <v>29</v>
      </c>
      <c r="J7" s="36" t="str">
        <f>"_x0007_`COD|X00005_x0005_`QTY1|1_x0005_`BQC|_x0005_`EQC|_x0005_`JDC|_x0005_`WQC|_x0005_`EDT|_x0005_`ADJ|F_x0005_`RXX|0_x0005_`NAG|0_x0005_`UC|F_x0005_`DET|"&amp;ROW(중기사용료!A26)&amp;"_x0005_`"</f>
        <v>_x0007_`COD|X00005_x0005_`QTY1|1_x0005_`BQC|_x0005_`EQC|_x0005_`JDC|_x0005_`WQC|_x0005_`EDT|_x0005_`ADJ|F_x0005_`RXX|0_x0005_`NAG|0_x0005_`UC|F_x0005_`DET|26_x0005_`</v>
      </c>
      <c r="K7" s="19" t="str">
        <f ca="1">HYPERLINK("#"&amp;중기사용료!N2&amp;"!A"&amp;ROW(중기사용료!A26),"중기    4 →")</f>
        <v>중기    4 →</v>
      </c>
    </row>
    <row r="8" spans="1:11" ht="22.35" customHeight="1" x14ac:dyDescent="0.3">
      <c r="A8" s="8" t="s">
        <v>33</v>
      </c>
      <c r="B8" s="9" t="s">
        <v>359</v>
      </c>
      <c r="C8" s="9"/>
      <c r="D8" s="8" t="s">
        <v>347</v>
      </c>
      <c r="E8" s="55">
        <f>중기사용료!F39</f>
        <v>113861</v>
      </c>
      <c r="F8" s="54">
        <f>중기사용료!H39</f>
        <v>55700</v>
      </c>
      <c r="G8" s="63">
        <f>중기사용료!J39</f>
        <v>30260</v>
      </c>
      <c r="H8" s="55">
        <f>중기사용료!L39</f>
        <v>27901</v>
      </c>
      <c r="I8" s="14" t="s">
        <v>33</v>
      </c>
      <c r="J8" s="36" t="str">
        <f>"_x0007_`COD|X00006_x0005_`QTY1|1_x0005_`BQC|_x0005_`EQC|_x0005_`JDC|_x0005_`WQC|_x0005_`EDT|_x0005_`ADJ|F_x0005_`RXX|0_x0005_`NAG|0_x0005_`UC|F_x0005_`DET|"&amp;ROW(중기사용료!A33)&amp;"_x0005_`"</f>
        <v>_x0007_`COD|X00006_x0005_`QTY1|1_x0005_`BQC|_x0005_`EQC|_x0005_`JDC|_x0005_`WQC|_x0005_`EDT|_x0005_`ADJ|F_x0005_`RXX|0_x0005_`NAG|0_x0005_`UC|F_x0005_`DET|33_x0005_`</v>
      </c>
      <c r="K8" s="19" t="str">
        <f ca="1">HYPERLINK("#"&amp;중기사용료!N2&amp;"!A"&amp;ROW(중기사용료!A33),"중기    5 →")</f>
        <v>중기    5 →</v>
      </c>
    </row>
    <row r="9" spans="1:11" ht="22.35" customHeight="1" x14ac:dyDescent="0.3">
      <c r="A9" s="8" t="s">
        <v>37</v>
      </c>
      <c r="B9" s="9" t="s">
        <v>356</v>
      </c>
      <c r="C9" s="9" t="s">
        <v>362</v>
      </c>
      <c r="D9" s="8" t="s">
        <v>347</v>
      </c>
      <c r="E9" s="55">
        <f>중기사용료!F46</f>
        <v>100378</v>
      </c>
      <c r="F9" s="54">
        <f>중기사용료!H46</f>
        <v>55700</v>
      </c>
      <c r="G9" s="63">
        <f>중기사용료!J46</f>
        <v>18001</v>
      </c>
      <c r="H9" s="55">
        <f>중기사용료!L46</f>
        <v>26677</v>
      </c>
      <c r="I9" s="14" t="s">
        <v>37</v>
      </c>
      <c r="J9" s="36" t="str">
        <f>"_x0007_`COD|X00009_x0005_`QTY1|1_x0005_`BQC|_x0005_`EQC|_x0005_`JDC|_x0005_`WQC|_x0005_`EDT|_x0005_`ADJ|F_x0005_`RXX|0_x0005_`NAG|0_x0005_`UC|F_x0005_`DET|"&amp;ROW(중기사용료!A40)&amp;"_x0005_`"</f>
        <v>_x0007_`COD|X00009_x0005_`QTY1|1_x0005_`BQC|_x0005_`EQC|_x0005_`JDC|_x0005_`WQC|_x0005_`EDT|_x0005_`ADJ|F_x0005_`RXX|0_x0005_`NAG|0_x0005_`UC|F_x0005_`DET|40_x0005_`</v>
      </c>
      <c r="K9" s="19" t="str">
        <f ca="1">HYPERLINK("#"&amp;중기사용료!N2&amp;"!A"&amp;ROW(중기사용료!A40),"중기    6 →")</f>
        <v>중기    6 →</v>
      </c>
    </row>
    <row r="10" spans="1:11" ht="22.35" customHeight="1" x14ac:dyDescent="0.3">
      <c r="A10" s="8" t="s">
        <v>41</v>
      </c>
      <c r="B10" s="9" t="s">
        <v>365</v>
      </c>
      <c r="C10" s="9"/>
      <c r="D10" s="8" t="s">
        <v>347</v>
      </c>
      <c r="E10" s="55">
        <f>중기사용료!F54</f>
        <v>106713</v>
      </c>
      <c r="F10" s="54">
        <f>중기사용료!H54</f>
        <v>55700</v>
      </c>
      <c r="G10" s="63">
        <f>중기사용료!J54</f>
        <v>17116</v>
      </c>
      <c r="H10" s="55">
        <f>중기사용료!L54</f>
        <v>33897</v>
      </c>
      <c r="I10" s="14" t="s">
        <v>41</v>
      </c>
      <c r="J10" s="36" t="str">
        <f>"_x0007_`COD|X00014_x0005_`QTY1|1_x0005_`BQC|_x0005_`EQC|_x0005_`JDC|_x0005_`WQC|_x0005_`EDT|_x0005_`ADJ|F_x0005_`RXX|0_x0005_`NAG|0_x0005_`UC|F_x0005_`DET|"&amp;ROW(중기사용료!A47)&amp;"_x0005_`"</f>
        <v>_x0007_`COD|X00014_x0005_`QTY1|1_x0005_`BQC|_x0005_`EQC|_x0005_`JDC|_x0005_`WQC|_x0005_`EDT|_x0005_`ADJ|F_x0005_`RXX|0_x0005_`NAG|0_x0005_`UC|F_x0005_`DET|47_x0005_`</v>
      </c>
      <c r="K10" s="19" t="str">
        <f ca="1">HYPERLINK("#"&amp;중기사용료!N2&amp;"!A"&amp;ROW(중기사용료!A47),"중기    7 →")</f>
        <v>중기    7 →</v>
      </c>
    </row>
    <row r="11" spans="1:11" ht="22.35" customHeight="1" x14ac:dyDescent="0.3">
      <c r="A11" s="8" t="s">
        <v>46</v>
      </c>
      <c r="B11" s="9" t="s">
        <v>368</v>
      </c>
      <c r="C11" s="9"/>
      <c r="D11" s="8" t="s">
        <v>347</v>
      </c>
      <c r="E11" s="55">
        <f>중기사용료!F61</f>
        <v>103241</v>
      </c>
      <c r="F11" s="54">
        <f>중기사용료!H61</f>
        <v>55700</v>
      </c>
      <c r="G11" s="63">
        <f>중기사용료!J61</f>
        <v>27910</v>
      </c>
      <c r="H11" s="55">
        <f>중기사용료!L61</f>
        <v>19631</v>
      </c>
      <c r="I11" s="14" t="s">
        <v>46</v>
      </c>
      <c r="J11" s="36" t="str">
        <f>"_x0007_`COD|X00028_x0005_`QTY1|1_x0005_`BQC|_x0005_`EQC|_x0005_`JDC|_x0005_`WQC|_x0005_`EDT|_x0005_`ADJ|F_x0005_`RXX|0_x0005_`NAG|0_x0005_`UC|F_x0005_`DET|"&amp;ROW(중기사용료!A55)&amp;"_x0005_`"</f>
        <v>_x0007_`COD|X00028_x0005_`QTY1|1_x0005_`BQC|_x0005_`EQC|_x0005_`JDC|_x0005_`WQC|_x0005_`EDT|_x0005_`ADJ|F_x0005_`RXX|0_x0005_`NAG|0_x0005_`UC|F_x0005_`DET|55_x0005_`</v>
      </c>
      <c r="K11" s="19" t="str">
        <f ca="1">HYPERLINK("#"&amp;중기사용료!N2&amp;"!A"&amp;ROW(중기사용료!A55),"중기    8 →")</f>
        <v>중기    8 →</v>
      </c>
    </row>
    <row r="12" spans="1:11" ht="22.35" customHeight="1" x14ac:dyDescent="0.3">
      <c r="A12" s="8" t="s">
        <v>50</v>
      </c>
      <c r="B12" s="9" t="s">
        <v>371</v>
      </c>
      <c r="C12" s="9" t="s">
        <v>372</v>
      </c>
      <c r="D12" s="8" t="s">
        <v>347</v>
      </c>
      <c r="E12" s="55">
        <f>중기사용료!F68</f>
        <v>85203</v>
      </c>
      <c r="F12" s="54">
        <f>중기사용료!H68</f>
        <v>47231</v>
      </c>
      <c r="G12" s="63">
        <f>중기사용료!J68</f>
        <v>24750</v>
      </c>
      <c r="H12" s="55">
        <f>중기사용료!L68</f>
        <v>13222</v>
      </c>
      <c r="I12" s="14" t="s">
        <v>50</v>
      </c>
      <c r="J12" s="36" t="str">
        <f>"_x0007_`COD|X00030_x0005_`QTY1|1_x0005_`BQC|_x0005_`EQC|_x0005_`JDC|_x0005_`WQC|_x0005_`EDT|_x0005_`ADJ|F_x0005_`RXX|0_x0005_`NAG|0_x0005_`UC|F_x0005_`DET|"&amp;ROW(중기사용료!A62)&amp;"_x0005_`"</f>
        <v>_x0007_`COD|X00030_x0005_`QTY1|1_x0005_`BQC|_x0005_`EQC|_x0005_`JDC|_x0005_`WQC|_x0005_`EDT|_x0005_`ADJ|F_x0005_`RXX|0_x0005_`NAG|0_x0005_`UC|F_x0005_`DET|62_x0005_`</v>
      </c>
      <c r="K12" s="19" t="str">
        <f ca="1">HYPERLINK("#"&amp;중기사용료!N2&amp;"!A"&amp;ROW(중기사용료!A62),"중기    9 →")</f>
        <v>중기    9 →</v>
      </c>
    </row>
    <row r="13" spans="1:11" ht="22.35" customHeight="1" x14ac:dyDescent="0.3">
      <c r="A13" s="8" t="s">
        <v>56</v>
      </c>
      <c r="B13" s="9" t="s">
        <v>375</v>
      </c>
      <c r="C13" s="9" t="s">
        <v>372</v>
      </c>
      <c r="D13" s="8" t="s">
        <v>347</v>
      </c>
      <c r="E13" s="55">
        <f>중기사용료!F75</f>
        <v>106687</v>
      </c>
      <c r="F13" s="54">
        <f>중기사용료!H75</f>
        <v>55700</v>
      </c>
      <c r="G13" s="63">
        <f>중기사용료!J75</f>
        <v>27910</v>
      </c>
      <c r="H13" s="55">
        <f>중기사용료!L75</f>
        <v>23077</v>
      </c>
      <c r="I13" s="14" t="s">
        <v>56</v>
      </c>
      <c r="J13" s="36" t="str">
        <f>"_x0007_`COD|X00031_x0005_`QTY1|1_x0005_`BQC|_x0005_`EQC|_x0005_`JDC|_x0005_`WQC|_x0005_`EDT|_x0005_`ADJ|F_x0005_`RXX|0_x0005_`NAG|0_x0005_`UC|F_x0005_`DET|"&amp;ROW(중기사용료!A69)&amp;"_x0005_`"</f>
        <v>_x0007_`COD|X00031_x0005_`QTY1|1_x0005_`BQC|_x0005_`EQC|_x0005_`JDC|_x0005_`WQC|_x0005_`EDT|_x0005_`ADJ|F_x0005_`RXX|0_x0005_`NAG|0_x0005_`UC|F_x0005_`DET|69_x0005_`</v>
      </c>
      <c r="K13" s="19" t="str">
        <f ca="1">HYPERLINK("#"&amp;중기사용료!N2&amp;"!A"&amp;ROW(중기사용료!A69),"중기   10 →")</f>
        <v>중기   10 →</v>
      </c>
    </row>
    <row r="14" spans="1:11" ht="22.35" customHeight="1" x14ac:dyDescent="0.3">
      <c r="A14" s="8" t="s">
        <v>60</v>
      </c>
      <c r="B14" s="9" t="s">
        <v>378</v>
      </c>
      <c r="C14" s="9" t="s">
        <v>379</v>
      </c>
      <c r="D14" s="8" t="s">
        <v>347</v>
      </c>
      <c r="E14" s="55">
        <f>중기사용료!F79</f>
        <v>414</v>
      </c>
      <c r="F14" s="54">
        <f>중기사용료!H79</f>
        <v>0</v>
      </c>
      <c r="G14" s="63">
        <f>중기사용료!J79</f>
        <v>0</v>
      </c>
      <c r="H14" s="55">
        <f>중기사용료!L79</f>
        <v>414</v>
      </c>
      <c r="I14" s="14" t="s">
        <v>60</v>
      </c>
      <c r="J14" s="36" t="str">
        <f>"_x0007_`COD|X00032_x0005_`QTY1|1_x0005_`BQC|_x0005_`EQC|_x0005_`JDC|_x0005_`WQC|_x0005_`EDT|_x0005_`ADJ|F_x0005_`RXX|0_x0005_`NAG|0_x0005_`UC|F_x0005_`DET|"&amp;ROW(중기사용료!A76)&amp;"_x0005_`"</f>
        <v>_x0007_`COD|X00032_x0005_`QTY1|1_x0005_`BQC|_x0005_`EQC|_x0005_`JDC|_x0005_`WQC|_x0005_`EDT|_x0005_`ADJ|F_x0005_`RXX|0_x0005_`NAG|0_x0005_`UC|F_x0005_`DET|76_x0005_`</v>
      </c>
      <c r="K14" s="19" t="str">
        <f ca="1">HYPERLINK("#"&amp;중기사용료!N2&amp;"!A"&amp;ROW(중기사용료!A76),"중기   11 →")</f>
        <v>중기   11 →</v>
      </c>
    </row>
    <row r="15" spans="1:11" ht="22.35" customHeight="1" x14ac:dyDescent="0.3">
      <c r="A15" s="8" t="s">
        <v>65</v>
      </c>
      <c r="B15" s="9" t="s">
        <v>382</v>
      </c>
      <c r="C15" s="9" t="s">
        <v>383</v>
      </c>
      <c r="D15" s="8" t="s">
        <v>347</v>
      </c>
      <c r="E15" s="55">
        <f>중기사용료!F86</f>
        <v>65009</v>
      </c>
      <c r="F15" s="54">
        <f>중기사용료!H86</f>
        <v>47231</v>
      </c>
      <c r="G15" s="63">
        <f>중기사용료!J86</f>
        <v>7784</v>
      </c>
      <c r="H15" s="55">
        <f>중기사용료!L86</f>
        <v>9994</v>
      </c>
      <c r="I15" s="14" t="s">
        <v>65</v>
      </c>
      <c r="J15" s="36" t="str">
        <f>"_x0007_`COD|X00044_x0005_`QTY1|1_x0005_`BQC|_x0005_`EQC|_x0005_`JDC|_x0005_`WQC|_x0005_`EDT|_x0005_`ADJ|F_x0005_`RXX|0_x0005_`NAG|0_x0005_`UC|F_x0005_`DET|"&amp;ROW(중기사용료!A80)&amp;"_x0005_`"</f>
        <v>_x0007_`COD|X00044_x0005_`QTY1|1_x0005_`BQC|_x0005_`EQC|_x0005_`JDC|_x0005_`WQC|_x0005_`EDT|_x0005_`ADJ|F_x0005_`RXX|0_x0005_`NAG|0_x0005_`UC|F_x0005_`DET|80_x0005_`</v>
      </c>
      <c r="K15" s="19" t="str">
        <f ca="1">HYPERLINK("#"&amp;중기사용료!N2&amp;"!A"&amp;ROW(중기사용료!A80),"중기   12 →")</f>
        <v>중기   12 →</v>
      </c>
    </row>
    <row r="16" spans="1:11" ht="22.35" customHeight="1" x14ac:dyDescent="0.3">
      <c r="A16" s="8" t="s">
        <v>71</v>
      </c>
      <c r="B16" s="9" t="s">
        <v>386</v>
      </c>
      <c r="C16" s="9" t="s">
        <v>387</v>
      </c>
      <c r="D16" s="8" t="s">
        <v>347</v>
      </c>
      <c r="E16" s="55">
        <f>중기사용료!F93</f>
        <v>101226</v>
      </c>
      <c r="F16" s="54">
        <f>중기사용료!H93</f>
        <v>55700</v>
      </c>
      <c r="G16" s="63">
        <f>중기사용료!J93</f>
        <v>29173</v>
      </c>
      <c r="H16" s="55">
        <f>중기사용료!L93</f>
        <v>16353</v>
      </c>
      <c r="I16" s="14" t="s">
        <v>71</v>
      </c>
      <c r="J16" s="36" t="str">
        <f>"_x0007_`COD|X00046_x0005_`QTY1|1_x0005_`BQC|_x0005_`EQC|_x0005_`JDC|_x0005_`WQC|_x0005_`EDT|_x0005_`ADJ|F_x0005_`RXX|0_x0005_`NAG|0_x0005_`UC|F_x0005_`DET|"&amp;ROW(중기사용료!A87)&amp;"_x0005_`"</f>
        <v>_x0007_`COD|X00046_x0005_`QTY1|1_x0005_`BQC|_x0005_`EQC|_x0005_`JDC|_x0005_`WQC|_x0005_`EDT|_x0005_`ADJ|F_x0005_`RXX|0_x0005_`NAG|0_x0005_`UC|F_x0005_`DET|87_x0005_`</v>
      </c>
      <c r="K16" s="19" t="str">
        <f ca="1">HYPERLINK("#"&amp;중기사용료!N2&amp;"!A"&amp;ROW(중기사용료!A87),"중기   13 →")</f>
        <v>중기   13 →</v>
      </c>
    </row>
    <row r="17" spans="1:11" ht="22.35" customHeight="1" x14ac:dyDescent="0.3">
      <c r="A17" s="8" t="s">
        <v>75</v>
      </c>
      <c r="B17" s="9" t="s">
        <v>390</v>
      </c>
      <c r="C17" s="9"/>
      <c r="D17" s="8" t="s">
        <v>347</v>
      </c>
      <c r="E17" s="55">
        <f>중기사용료!F100</f>
        <v>40659</v>
      </c>
      <c r="F17" s="54">
        <f>중기사용료!H100</f>
        <v>33571</v>
      </c>
      <c r="G17" s="63">
        <f>중기사용료!J100</f>
        <v>5445</v>
      </c>
      <c r="H17" s="55">
        <f>중기사용료!L100</f>
        <v>1643</v>
      </c>
      <c r="I17" s="14" t="s">
        <v>75</v>
      </c>
      <c r="J17" s="36" t="str">
        <f>"_x0007_`COD|X00048_x0005_`QTY1|1_x0005_`BQC|_x0005_`EQC|_x0005_`JDC|_x0005_`WQC|_x0005_`EDT|_x0005_`ADJ|F_x0005_`RXX|0_x0005_`NAG|0_x0005_`UC|F_x0005_`DET|"&amp;ROW(중기사용료!A94)&amp;"_x0005_`"</f>
        <v>_x0007_`COD|X00048_x0005_`QTY1|1_x0005_`BQC|_x0005_`EQC|_x0005_`JDC|_x0005_`WQC|_x0005_`EDT|_x0005_`ADJ|F_x0005_`RXX|0_x0005_`NAG|0_x0005_`UC|F_x0005_`DET|94_x0005_`</v>
      </c>
      <c r="K17" s="19" t="str">
        <f ca="1">HYPERLINK("#"&amp;중기사용료!N2&amp;"!A"&amp;ROW(중기사용료!A94),"중기   14 →")</f>
        <v>중기   14 →</v>
      </c>
    </row>
    <row r="18" spans="1:11" ht="22.35" customHeight="1" x14ac:dyDescent="0.3">
      <c r="A18" s="8" t="s">
        <v>79</v>
      </c>
      <c r="B18" s="9" t="s">
        <v>393</v>
      </c>
      <c r="C18" s="9" t="s">
        <v>394</v>
      </c>
      <c r="D18" s="8" t="s">
        <v>347</v>
      </c>
      <c r="E18" s="55">
        <f>중기사용료!F107</f>
        <v>108123</v>
      </c>
      <c r="F18" s="54">
        <f>중기사용료!H107</f>
        <v>55700</v>
      </c>
      <c r="G18" s="63">
        <f>중기사용료!J107</f>
        <v>29100</v>
      </c>
      <c r="H18" s="55">
        <f>중기사용료!L107</f>
        <v>23323</v>
      </c>
      <c r="I18" s="14" t="s">
        <v>79</v>
      </c>
      <c r="J18" s="36" t="str">
        <f>"_x0007_`COD|X00055_x0005_`QTY1|1_x0005_`BQC|_x0005_`EQC|_x0005_`JDC|_x0005_`WQC|_x0005_`EDT|_x0005_`ADJ|F_x0005_`RXX|0_x0005_`NAG|0_x0005_`UC|F_x0005_`DET|"&amp;ROW(중기사용료!A101)&amp;"_x0005_`"</f>
        <v>_x0007_`COD|X00055_x0005_`QTY1|1_x0005_`BQC|_x0005_`EQC|_x0005_`JDC|_x0005_`WQC|_x0005_`EDT|_x0005_`ADJ|F_x0005_`RXX|0_x0005_`NAG|0_x0005_`UC|F_x0005_`DET|101_x0005_`</v>
      </c>
      <c r="K18" s="19" t="str">
        <f ca="1">HYPERLINK("#"&amp;중기사용료!N2&amp;"!A"&amp;ROW(중기사용료!A101),"중기   15 →")</f>
        <v>중기   15 →</v>
      </c>
    </row>
    <row r="19" spans="1:11" ht="22.35" customHeight="1" x14ac:dyDescent="0.3">
      <c r="A19" s="8" t="s">
        <v>83</v>
      </c>
      <c r="B19" s="9" t="s">
        <v>397</v>
      </c>
      <c r="C19" s="9"/>
      <c r="D19" s="8" t="s">
        <v>347</v>
      </c>
      <c r="E19" s="55">
        <f>중기사용료!F114</f>
        <v>58490</v>
      </c>
      <c r="F19" s="54">
        <f>중기사용료!H114</f>
        <v>47231</v>
      </c>
      <c r="G19" s="63">
        <f>중기사용료!J114</f>
        <v>5090</v>
      </c>
      <c r="H19" s="55">
        <f>중기사용료!L114</f>
        <v>6169</v>
      </c>
      <c r="I19" s="14" t="s">
        <v>83</v>
      </c>
      <c r="J19" s="36" t="str">
        <f>"_x0007_`COD|X00074_x0005_`QTY1|1_x0005_`BQC|_x0005_`EQC|_x0005_`JDC|_x0005_`WQC|_x0005_`EDT|_x0005_`ADJ|F_x0005_`RXX|0_x0005_`NAG|0_x0005_`UC|F_x0005_`DET|"&amp;ROW(중기사용료!A108)&amp;"_x0005_`"</f>
        <v>_x0007_`COD|X00074_x0005_`QTY1|1_x0005_`BQC|_x0005_`EQC|_x0005_`JDC|_x0005_`WQC|_x0005_`EDT|_x0005_`ADJ|F_x0005_`RXX|0_x0005_`NAG|0_x0005_`UC|F_x0005_`DET|108_x0005_`</v>
      </c>
      <c r="K19" s="19" t="str">
        <f ca="1">HYPERLINK("#"&amp;중기사용료!N2&amp;"!A"&amp;ROW(중기사용료!A108),"중기   16 →")</f>
        <v>중기   16 →</v>
      </c>
    </row>
    <row r="20" spans="1:11" ht="22.35" customHeight="1" x14ac:dyDescent="0.3">
      <c r="A20" s="8" t="s">
        <v>86</v>
      </c>
      <c r="B20" s="9" t="s">
        <v>345</v>
      </c>
      <c r="C20" s="9" t="s">
        <v>400</v>
      </c>
      <c r="D20" s="8" t="s">
        <v>347</v>
      </c>
      <c r="E20" s="55">
        <f>중기사용료!F121</f>
        <v>130908</v>
      </c>
      <c r="F20" s="54">
        <f>중기사용료!H121</f>
        <v>55700</v>
      </c>
      <c r="G20" s="63">
        <f>중기사용료!J121</f>
        <v>36888</v>
      </c>
      <c r="H20" s="55">
        <f>중기사용료!L121</f>
        <v>38320</v>
      </c>
      <c r="I20" s="14" t="s">
        <v>86</v>
      </c>
      <c r="J20" s="36" t="str">
        <f>"_x0007_`COD|X00084_x0005_`QTY1|1_x0005_`BQC|_x0005_`EQC|_x0005_`JDC|_x0005_`WQC|_x0005_`EDT|_x0005_`ADJ|F_x0005_`RXX|0_x0005_`NAG|0_x0005_`UC|F_x0005_`DET|"&amp;ROW(중기사용료!A115)&amp;"_x0005_`"</f>
        <v>_x0007_`COD|X00084_x0005_`QTY1|1_x0005_`BQC|_x0005_`EQC|_x0005_`JDC|_x0005_`WQC|_x0005_`EDT|_x0005_`ADJ|F_x0005_`RXX|0_x0005_`NAG|0_x0005_`UC|F_x0005_`DET|115_x0005_`</v>
      </c>
      <c r="K20" s="19" t="str">
        <f ca="1">HYPERLINK("#"&amp;중기사용료!N2&amp;"!A"&amp;ROW(중기사용료!A115),"중기   17 →")</f>
        <v>중기   17 →</v>
      </c>
    </row>
    <row r="21" spans="1:11" ht="22.35" customHeight="1" x14ac:dyDescent="0.3">
      <c r="A21" s="8" t="s">
        <v>91</v>
      </c>
      <c r="B21" s="9" t="s">
        <v>378</v>
      </c>
      <c r="C21" s="9" t="s">
        <v>403</v>
      </c>
      <c r="D21" s="8" t="s">
        <v>347</v>
      </c>
      <c r="E21" s="55">
        <f>중기사용료!F125</f>
        <v>481</v>
      </c>
      <c r="F21" s="54">
        <f>중기사용료!H125</f>
        <v>0</v>
      </c>
      <c r="G21" s="63">
        <f>중기사용료!J125</f>
        <v>0</v>
      </c>
      <c r="H21" s="55">
        <f>중기사용료!L125</f>
        <v>481</v>
      </c>
      <c r="I21" s="14" t="s">
        <v>91</v>
      </c>
      <c r="J21" s="36" t="str">
        <f>"_x0007_`COD|X00086_x0005_`QTY1|1_x0005_`BQC|_x0005_`EQC|_x0005_`JDC|_x0005_`WQC|_x0005_`EDT|_x0005_`ADJ|F_x0005_`RXX|0_x0005_`NAG|0_x0005_`UC|F_x0005_`DET|"&amp;ROW(중기사용료!A122)&amp;"_x0005_`"</f>
        <v>_x0007_`COD|X00086_x0005_`QTY1|1_x0005_`BQC|_x0005_`EQC|_x0005_`JDC|_x0005_`WQC|_x0005_`EDT|_x0005_`ADJ|F_x0005_`RXX|0_x0005_`NAG|0_x0005_`UC|F_x0005_`DET|122_x0005_`</v>
      </c>
      <c r="K21" s="19" t="str">
        <f ca="1">HYPERLINK("#"&amp;중기사용료!N2&amp;"!A"&amp;ROW(중기사용료!A122),"중기   18 →")</f>
        <v>중기   18 →</v>
      </c>
    </row>
    <row r="22" spans="1:11" ht="22.35" customHeight="1" x14ac:dyDescent="0.3">
      <c r="A22" s="8" t="s">
        <v>95</v>
      </c>
      <c r="B22" s="9" t="s">
        <v>406</v>
      </c>
      <c r="C22" s="9"/>
      <c r="D22" s="8" t="s">
        <v>347</v>
      </c>
      <c r="E22" s="55">
        <f>중기사용료!F132</f>
        <v>127479</v>
      </c>
      <c r="F22" s="54">
        <f>중기사용료!H132</f>
        <v>55700</v>
      </c>
      <c r="G22" s="63">
        <f>중기사용료!J132</f>
        <v>40373</v>
      </c>
      <c r="H22" s="55">
        <f>중기사용료!L132</f>
        <v>31406</v>
      </c>
      <c r="I22" s="14" t="s">
        <v>95</v>
      </c>
      <c r="J22" s="36" t="str">
        <f>"_x0007_`COD|X00087_x0005_`QTY1|1_x0005_`BQC|_x0005_`EQC|_x0005_`JDC|_x0005_`WQC|_x0005_`EDT|_x0005_`ADJ|F_x0005_`RXX|0_x0005_`NAG|0_x0005_`UC|F_x0005_`DET|"&amp;ROW(중기사용료!A126)&amp;"_x0005_`"</f>
        <v>_x0007_`COD|X00087_x0005_`QTY1|1_x0005_`BQC|_x0005_`EQC|_x0005_`JDC|_x0005_`WQC|_x0005_`EDT|_x0005_`ADJ|F_x0005_`RXX|0_x0005_`NAG|0_x0005_`UC|F_x0005_`DET|126_x0005_`</v>
      </c>
      <c r="K22" s="19" t="str">
        <f ca="1">HYPERLINK("#"&amp;중기사용료!N2&amp;"!A"&amp;ROW(중기사용료!A126),"중기   19 →")</f>
        <v>중기   19 →</v>
      </c>
    </row>
    <row r="23" spans="1:11" ht="22.35" customHeight="1" x14ac:dyDescent="0.3">
      <c r="A23" s="8" t="s">
        <v>100</v>
      </c>
      <c r="B23" s="9" t="s">
        <v>409</v>
      </c>
      <c r="C23" s="9"/>
      <c r="D23" s="8" t="s">
        <v>347</v>
      </c>
      <c r="E23" s="55">
        <f>중기사용료!F140</f>
        <v>105164</v>
      </c>
      <c r="F23" s="54">
        <f>중기사용료!H140</f>
        <v>55700</v>
      </c>
      <c r="G23" s="63">
        <f>중기사용료!J140</f>
        <v>18296</v>
      </c>
      <c r="H23" s="55">
        <f>중기사용료!L140</f>
        <v>31168</v>
      </c>
      <c r="I23" s="14" t="s">
        <v>100</v>
      </c>
      <c r="J23" s="36" t="str">
        <f>"_x0007_`COD|X00089_x0005_`QTY1|1_x0005_`BQC|_x0005_`EQC|_x0005_`JDC|_x0005_`WQC|_x0005_`EDT|_x0005_`ADJ|F_x0005_`RXX|0_x0005_`NAG|0_x0005_`UC|F_x0005_`DET|"&amp;ROW(중기사용료!A133)&amp;"_x0005_`"</f>
        <v>_x0007_`COD|X00089_x0005_`QTY1|1_x0005_`BQC|_x0005_`EQC|_x0005_`JDC|_x0005_`WQC|_x0005_`EDT|_x0005_`ADJ|F_x0005_`RXX|0_x0005_`NAG|0_x0005_`UC|F_x0005_`DET|133_x0005_`</v>
      </c>
      <c r="K23" s="19" t="str">
        <f ca="1">HYPERLINK("#"&amp;중기사용료!N2&amp;"!A"&amp;ROW(중기사용료!A133),"중기   20 →")</f>
        <v>중기   20 →</v>
      </c>
    </row>
    <row r="24" spans="1:11" ht="22.35" customHeight="1" x14ac:dyDescent="0.3">
      <c r="A24" s="8" t="s">
        <v>104</v>
      </c>
      <c r="B24" s="9" t="s">
        <v>412</v>
      </c>
      <c r="C24" s="9"/>
      <c r="D24" s="8" t="s">
        <v>347</v>
      </c>
      <c r="E24" s="55">
        <f>중기사용료!F147</f>
        <v>64583</v>
      </c>
      <c r="F24" s="54">
        <f>중기사용료!H147</f>
        <v>47231</v>
      </c>
      <c r="G24" s="63">
        <f>중기사용료!J147</f>
        <v>8776</v>
      </c>
      <c r="H24" s="55">
        <f>중기사용료!L147</f>
        <v>8576</v>
      </c>
      <c r="I24" s="14" t="s">
        <v>104</v>
      </c>
      <c r="J24" s="36" t="str">
        <f>"_x0007_`COD|X00092_x0005_`QTY1|1_x0005_`BQC|_x0005_`EQC|_x0005_`JDC|_x0005_`WQC|_x0005_`EDT|_x0005_`ADJ|F_x0005_`RXX|0_x0005_`NAG|0_x0005_`UC|F_x0005_`DET|"&amp;ROW(중기사용료!A141)&amp;"_x0005_`"</f>
        <v>_x0007_`COD|X00092_x0005_`QTY1|1_x0005_`BQC|_x0005_`EQC|_x0005_`JDC|_x0005_`WQC|_x0005_`EDT|_x0005_`ADJ|F_x0005_`RXX|0_x0005_`NAG|0_x0005_`UC|F_x0005_`DET|141_x0005_`</v>
      </c>
      <c r="K24" s="19" t="str">
        <f ca="1">HYPERLINK("#"&amp;중기사용료!N2&amp;"!A"&amp;ROW(중기사용료!A141),"중기   21 →")</f>
        <v>중기   21 →</v>
      </c>
    </row>
    <row r="25" spans="1:11" ht="22.35" customHeight="1" x14ac:dyDescent="0.3">
      <c r="A25" s="8" t="s">
        <v>108</v>
      </c>
      <c r="B25" s="9" t="s">
        <v>415</v>
      </c>
      <c r="C25" s="9" t="s">
        <v>416</v>
      </c>
      <c r="D25" s="8" t="s">
        <v>347</v>
      </c>
      <c r="E25" s="55">
        <f>중기사용료!F155</f>
        <v>100355</v>
      </c>
      <c r="F25" s="54">
        <f>중기사용료!H155</f>
        <v>55700</v>
      </c>
      <c r="G25" s="63">
        <f>중기사용료!J155</f>
        <v>18001</v>
      </c>
      <c r="H25" s="55">
        <f>중기사용료!L155</f>
        <v>26654</v>
      </c>
      <c r="I25" s="14" t="s">
        <v>108</v>
      </c>
      <c r="J25" s="36" t="str">
        <f>"_x0007_`COD|X00099_x0005_`QTY1|1_x0005_`BQC|_x0005_`EQC|_x0005_`JDC|_x0005_`WQC|_x0005_`EDT|_x0005_`ADJ|F_x0005_`RXX|0_x0005_`NAG|0_x0005_`UC|F_x0005_`DET|"&amp;ROW(중기사용료!A148)&amp;"_x0005_`"</f>
        <v>_x0007_`COD|X00099_x0005_`QTY1|1_x0005_`BQC|_x0005_`EQC|_x0005_`JDC|_x0005_`WQC|_x0005_`EDT|_x0005_`ADJ|F_x0005_`RXX|0_x0005_`NAG|0_x0005_`UC|F_x0005_`DET|148_x0005_`</v>
      </c>
      <c r="K25" s="19" t="str">
        <f ca="1">HYPERLINK("#"&amp;중기사용료!N2&amp;"!A"&amp;ROW(중기사용료!A148),"중기   22 →")</f>
        <v>중기   22 →</v>
      </c>
    </row>
    <row r="26" spans="1:11" ht="22.35" customHeight="1" x14ac:dyDescent="0.3">
      <c r="A26" s="8" t="s">
        <v>113</v>
      </c>
      <c r="B26" s="9" t="s">
        <v>359</v>
      </c>
      <c r="C26" s="9" t="s">
        <v>419</v>
      </c>
      <c r="D26" s="8" t="s">
        <v>347</v>
      </c>
      <c r="E26" s="55">
        <f>중기사용료!F162</f>
        <v>118143</v>
      </c>
      <c r="F26" s="54">
        <f>중기사용료!H162</f>
        <v>55700</v>
      </c>
      <c r="G26" s="63">
        <f>중기사용료!J162</f>
        <v>30260</v>
      </c>
      <c r="H26" s="55">
        <f>중기사용료!L162</f>
        <v>32183</v>
      </c>
      <c r="I26" s="14" t="s">
        <v>113</v>
      </c>
      <c r="J26" s="36" t="str">
        <f>"_x0007_`COD|X00101_x0005_`QTY1|1_x0005_`BQC|_x0005_`EQC|_x0005_`JDC|_x0005_`WQC|_x0005_`EDT|_x0005_`ADJ|F_x0005_`RXX|0_x0005_`NAG|0_x0005_`UC|F_x0005_`DET|"&amp;ROW(중기사용료!A156)&amp;"_x0005_`"</f>
        <v>_x0007_`COD|X00101_x0005_`QTY1|1_x0005_`BQC|_x0005_`EQC|_x0005_`JDC|_x0005_`WQC|_x0005_`EDT|_x0005_`ADJ|F_x0005_`RXX|0_x0005_`NAG|0_x0005_`UC|F_x0005_`DET|156_x0005_`</v>
      </c>
      <c r="K26" s="19" t="str">
        <f ca="1">HYPERLINK("#"&amp;중기사용료!N2&amp;"!A"&amp;ROW(중기사용료!A156),"중기   23 →")</f>
        <v>중기   23 →</v>
      </c>
    </row>
    <row r="27" spans="1:11" ht="22.35" customHeight="1" x14ac:dyDescent="0.3">
      <c r="A27" s="8" t="s">
        <v>117</v>
      </c>
      <c r="B27" s="9" t="s">
        <v>422</v>
      </c>
      <c r="C27" s="9" t="s">
        <v>423</v>
      </c>
      <c r="D27" s="8" t="s">
        <v>347</v>
      </c>
      <c r="E27" s="55">
        <f>중기사용료!F169</f>
        <v>83249</v>
      </c>
      <c r="F27" s="54">
        <f>중기사용료!H169</f>
        <v>47231</v>
      </c>
      <c r="G27" s="63">
        <f>중기사용료!J169</f>
        <v>24770</v>
      </c>
      <c r="H27" s="55">
        <f>중기사용료!L169</f>
        <v>11248</v>
      </c>
      <c r="I27" s="14" t="s">
        <v>117</v>
      </c>
      <c r="J27" s="36" t="str">
        <f>"_x0007_`COD|X00102_x0005_`QTY1|1_x0005_`BQC|_x0005_`EQC|03060201050_x0005_`JDC|00000602010500000_x0005_`WQC|_x0005_`EDT|2024_x0005_`ADJ|F_x0005_`RXX|0_x0005_`NAG|0_x0005_`UC|F_x0005_`DET|"&amp;ROW(중기사용료!A163)&amp;"_x0005_`"</f>
        <v>_x0007_`COD|X00102_x0005_`QTY1|1_x0005_`BQC|_x0005_`EQC|03060201050_x0005_`JDC|00000602010500000_x0005_`WQC|_x0005_`EDT|2024_x0005_`ADJ|F_x0005_`RXX|0_x0005_`NAG|0_x0005_`UC|F_x0005_`DET|163_x0005_`</v>
      </c>
      <c r="K27" s="19" t="str">
        <f ca="1">HYPERLINK("#"&amp;중기사용료!N2&amp;"!A"&amp;ROW(중기사용료!A163),"중기   24 →")</f>
        <v>중기   24 →</v>
      </c>
    </row>
    <row r="28" spans="1:11" ht="22.35" customHeight="1" x14ac:dyDescent="0.3">
      <c r="A28" s="8" t="s">
        <v>122</v>
      </c>
      <c r="B28" s="9" t="s">
        <v>426</v>
      </c>
      <c r="C28" s="9" t="s">
        <v>427</v>
      </c>
      <c r="D28" s="8" t="s">
        <v>347</v>
      </c>
      <c r="E28" s="55">
        <f>중기사용료!F177</f>
        <v>105178</v>
      </c>
      <c r="F28" s="54">
        <f>중기사용료!H177</f>
        <v>55700</v>
      </c>
      <c r="G28" s="63">
        <f>중기사용료!J177</f>
        <v>18310</v>
      </c>
      <c r="H28" s="55">
        <f>중기사용료!L177</f>
        <v>31168</v>
      </c>
      <c r="I28" s="14" t="s">
        <v>122</v>
      </c>
      <c r="J28" s="36" t="str">
        <f>"_x0007_`COD|X00105_x0005_`QTY1|1_x0005_`BQC|_x0005_`EQC|03021100602_x0005_`JDC|_x0005_`WQC|_x0005_`EDT|------------_x0005_`ADJ|F_x0005_`RXX|0_x0005_`NAG|0_x0005_`UC|F_x0005_`DET|"&amp;ROW(중기사용료!A170)&amp;"_x0005_`"</f>
        <v>_x0007_`COD|X00105_x0005_`QTY1|1_x0005_`BQC|_x0005_`EQC|03021100602_x0005_`JDC|_x0005_`WQC|_x0005_`EDT|------------_x0005_`ADJ|F_x0005_`RXX|0_x0005_`NAG|0_x0005_`UC|F_x0005_`DET|170_x0005_`</v>
      </c>
      <c r="K28" s="19" t="str">
        <f ca="1">HYPERLINK("#"&amp;중기사용료!N2&amp;"!A"&amp;ROW(중기사용료!A170),"중기   25 →")</f>
        <v>중기   25 →</v>
      </c>
    </row>
  </sheetData>
  <mergeCells count="1">
    <mergeCell ref="A1:I1"/>
  </mergeCells>
  <phoneticPr fontId="23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77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5" customWidth="1"/>
    <col min="3" max="3" width="10" style="5" customWidth="1"/>
    <col min="4" max="4" width="5.5" style="5" customWidth="1"/>
    <col min="5" max="5" width="10" style="5" customWidth="1"/>
    <col min="6" max="6" width="11.5" style="5" customWidth="1"/>
    <col min="7" max="7" width="10" style="5" customWidth="1"/>
    <col min="8" max="8" width="11.5" style="5" customWidth="1"/>
    <col min="9" max="9" width="10" style="5" customWidth="1"/>
    <col min="10" max="10" width="11.5" style="5" customWidth="1"/>
    <col min="11" max="11" width="10" style="5" customWidth="1"/>
    <col min="12" max="13" width="11.5" style="5" customWidth="1"/>
    <col min="14" max="14" width="9.125" style="96" hidden="1" customWidth="1"/>
    <col min="15" max="25" width="2.125" style="5" customWidth="1"/>
    <col min="26" max="26" width="9.125" style="17" customWidth="1"/>
    <col min="27" max="16384" width="9.125" style="5"/>
  </cols>
  <sheetData>
    <row r="1" spans="1:26" ht="24.95" customHeight="1" x14ac:dyDescent="0.3">
      <c r="A1" s="130" t="s">
        <v>2434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 t="s">
        <v>166</v>
      </c>
      <c r="Z1" s="18" t="s">
        <v>166</v>
      </c>
    </row>
    <row r="2" spans="1:26" ht="28.7" customHeight="1" x14ac:dyDescent="0.3">
      <c r="A2" s="1" t="s">
        <v>1</v>
      </c>
      <c r="N2" s="21" t="str">
        <f ca="1">MID(CELL("filename",$A$1),FIND("]",CELL("filename",$A$1))+1,LEN(CELL("filename",$A$1)))</f>
        <v>중기사용료</v>
      </c>
    </row>
    <row r="3" spans="1:26" ht="28.7" customHeight="1" x14ac:dyDescent="0.3">
      <c r="A3" s="146" t="s">
        <v>3</v>
      </c>
      <c r="B3" s="146" t="s">
        <v>4</v>
      </c>
      <c r="C3" s="146" t="s">
        <v>635</v>
      </c>
      <c r="D3" s="146" t="s">
        <v>5</v>
      </c>
      <c r="E3" s="134" t="s">
        <v>6</v>
      </c>
      <c r="F3" s="140"/>
      <c r="G3" s="134" t="s">
        <v>7</v>
      </c>
      <c r="H3" s="140"/>
      <c r="I3" s="134" t="s">
        <v>8</v>
      </c>
      <c r="J3" s="140"/>
      <c r="K3" s="134" t="s">
        <v>9</v>
      </c>
      <c r="L3" s="140"/>
      <c r="M3" s="134" t="s">
        <v>10</v>
      </c>
    </row>
    <row r="4" spans="1:26" ht="28.7" customHeight="1" x14ac:dyDescent="0.3">
      <c r="A4" s="140"/>
      <c r="B4" s="140"/>
      <c r="C4" s="140"/>
      <c r="D4" s="140"/>
      <c r="E4" s="8" t="s">
        <v>431</v>
      </c>
      <c r="F4" s="8" t="s">
        <v>627</v>
      </c>
      <c r="G4" s="8" t="s">
        <v>431</v>
      </c>
      <c r="H4" s="8" t="s">
        <v>627</v>
      </c>
      <c r="I4" s="8" t="s">
        <v>431</v>
      </c>
      <c r="J4" s="8" t="s">
        <v>627</v>
      </c>
      <c r="K4" s="8" t="s">
        <v>431</v>
      </c>
      <c r="L4" s="8" t="s">
        <v>627</v>
      </c>
      <c r="M4" s="135"/>
      <c r="Z4" s="19" t="str">
        <f>HYPERLINK("#'〓 목 차 〓'!B2","목차 →")</f>
        <v>목차 →</v>
      </c>
    </row>
    <row r="5" spans="1:26" ht="28.7" customHeight="1" x14ac:dyDescent="0.3">
      <c r="A5" s="84" t="s">
        <v>1113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36" t="str">
        <f>HYPERLINK("#N"&amp;ROW(N10),"_x0005_`BDCOD|X00001_x0007_`POSS|"&amp;ROW(N7)&amp;"_x0007_`POSE|"&amp;ROW(N10)&amp;"_x0007_`")</f>
        <v>_x0005_`BDCOD|X00001_x0007_`POSS|7_x0007_`POSE|10_x0007_`</v>
      </c>
    </row>
    <row r="6" spans="1:26" ht="28.7" customHeight="1" x14ac:dyDescent="0.3">
      <c r="A6" s="43" t="s">
        <v>345</v>
      </c>
      <c r="B6" s="43" t="s">
        <v>346</v>
      </c>
      <c r="C6" s="86"/>
      <c r="D6" s="89" t="s">
        <v>347</v>
      </c>
      <c r="E6" s="86"/>
      <c r="F6" s="86"/>
      <c r="G6" s="86"/>
      <c r="H6" s="86"/>
      <c r="I6" s="86"/>
      <c r="J6" s="86"/>
      <c r="K6" s="86"/>
      <c r="L6" s="86"/>
      <c r="M6" s="89" t="s">
        <v>348</v>
      </c>
      <c r="O6" s="6" t="s">
        <v>2435</v>
      </c>
    </row>
    <row r="7" spans="1:26" ht="28.7" customHeight="1" x14ac:dyDescent="0.3">
      <c r="A7" s="9" t="s">
        <v>687</v>
      </c>
      <c r="B7" s="9"/>
      <c r="C7" s="87">
        <v>0.18110000000000001</v>
      </c>
      <c r="D7" s="33" t="s">
        <v>688</v>
      </c>
      <c r="E7" s="62">
        <f t="shared" ref="E7:F10" si="0">I7+G7+K7</f>
        <v>184499</v>
      </c>
      <c r="F7" s="91">
        <f t="shared" si="0"/>
        <v>33412.699999999997</v>
      </c>
      <c r="G7" s="59">
        <v>0</v>
      </c>
      <c r="H7" s="91">
        <f>IF(C7=0,0,ROUNDDOWN(G7*C7,1))</f>
        <v>0</v>
      </c>
      <c r="I7" s="59">
        <v>0</v>
      </c>
      <c r="J7" s="92">
        <f>IF(C7=0,0,ROUNDDOWN(I7*C7,1))</f>
        <v>0</v>
      </c>
      <c r="K7" s="93">
        <f>경비목록표!E4</f>
        <v>184499</v>
      </c>
      <c r="L7" s="95">
        <f>IF(C7=0,0,ROUNDDOWN(K7*C7,1))</f>
        <v>33412.699999999997</v>
      </c>
      <c r="M7" s="24" t="s">
        <v>2438</v>
      </c>
      <c r="N7" s="16" t="s">
        <v>2436</v>
      </c>
      <c r="O7" s="6" t="s">
        <v>2437</v>
      </c>
      <c r="P7" s="6" t="s">
        <v>1129</v>
      </c>
      <c r="Z7" s="19" t="str">
        <f ca="1">HYPERLINK("#"&amp;경비목록표!G2&amp;"!A"&amp;ROW(경비목록표!A4),"경비    1 →")</f>
        <v>경비    1 →</v>
      </c>
    </row>
    <row r="8" spans="1:26" ht="28.7" customHeight="1" x14ac:dyDescent="0.3">
      <c r="A8" s="9" t="s">
        <v>668</v>
      </c>
      <c r="B8" s="9"/>
      <c r="C8" s="87">
        <v>1</v>
      </c>
      <c r="D8" s="33" t="s">
        <v>650</v>
      </c>
      <c r="E8" s="62">
        <f t="shared" si="0"/>
        <v>55700</v>
      </c>
      <c r="F8" s="92">
        <f t="shared" si="0"/>
        <v>55700</v>
      </c>
      <c r="G8" s="93">
        <f>환율및기초자료!G6</f>
        <v>55700</v>
      </c>
      <c r="H8" s="94">
        <f>IF(C8=0,0,ROUNDDOWN(G8*C8,1))</f>
        <v>55700</v>
      </c>
      <c r="I8" s="59">
        <v>0</v>
      </c>
      <c r="J8" s="91">
        <f>IF(C8=0,0,ROUNDDOWN(I8*C8,1))</f>
        <v>0</v>
      </c>
      <c r="K8" s="59">
        <v>0</v>
      </c>
      <c r="L8" s="92">
        <f>IF(C8=0,0,ROUNDDOWN(K8*C8,1))</f>
        <v>0</v>
      </c>
      <c r="M8" s="24" t="s">
        <v>2441</v>
      </c>
      <c r="N8" s="16" t="s">
        <v>2439</v>
      </c>
      <c r="O8" s="6" t="s">
        <v>2440</v>
      </c>
      <c r="P8" s="6" t="s">
        <v>1129</v>
      </c>
      <c r="Z8" s="19" t="str">
        <f ca="1">HYPERLINK("#"&amp;환율및기초자료!I2&amp;"!A"&amp;ROW(환율및기초자료!A6),"노무    7 →")</f>
        <v>노무    7 →</v>
      </c>
    </row>
    <row r="9" spans="1:26" ht="28.7" customHeight="1" x14ac:dyDescent="0.3">
      <c r="A9" s="9" t="s">
        <v>438</v>
      </c>
      <c r="B9" s="9" t="s">
        <v>439</v>
      </c>
      <c r="C9" s="87">
        <v>25</v>
      </c>
      <c r="D9" s="33" t="s">
        <v>434</v>
      </c>
      <c r="E9" s="62">
        <f t="shared" si="0"/>
        <v>1272</v>
      </c>
      <c r="F9" s="91">
        <f t="shared" si="0"/>
        <v>31800</v>
      </c>
      <c r="G9" s="59">
        <v>0</v>
      </c>
      <c r="H9" s="92">
        <f>IF(C9=0,0,ROUNDDOWN(G9*C9,1))</f>
        <v>0</v>
      </c>
      <c r="I9" s="93">
        <f>재료비목록표!E5</f>
        <v>1272</v>
      </c>
      <c r="J9" s="94">
        <f>IF(C9=0,0,ROUNDDOWN(I9*C9,1))</f>
        <v>31800</v>
      </c>
      <c r="K9" s="59">
        <v>0</v>
      </c>
      <c r="L9" s="92">
        <f>IF(C9=0,0,ROUNDDOWN(K9*C9,1))</f>
        <v>0</v>
      </c>
      <c r="M9" s="24" t="s">
        <v>2444</v>
      </c>
      <c r="N9" s="16" t="s">
        <v>2442</v>
      </c>
      <c r="O9" s="6" t="s">
        <v>2443</v>
      </c>
      <c r="P9" s="6" t="s">
        <v>1129</v>
      </c>
      <c r="Z9" s="19" t="str">
        <f ca="1">HYPERLINK("#"&amp;재료비목록표!G2&amp;"!A"&amp;ROW(재료비목록표!A5),"자재    2 →")</f>
        <v>자재    2 →</v>
      </c>
    </row>
    <row r="10" spans="1:26" ht="28.7" customHeight="1" x14ac:dyDescent="0.3">
      <c r="A10" s="9" t="s">
        <v>487</v>
      </c>
      <c r="B10" s="9" t="s">
        <v>488</v>
      </c>
      <c r="C10" s="87">
        <v>16</v>
      </c>
      <c r="D10" s="33" t="s">
        <v>483</v>
      </c>
      <c r="E10" s="62">
        <f t="shared" si="0"/>
        <v>31800</v>
      </c>
      <c r="F10" s="91">
        <f t="shared" si="0"/>
        <v>5088</v>
      </c>
      <c r="G10" s="59">
        <v>0</v>
      </c>
      <c r="H10" s="92">
        <f>IF(C10=0,0,ROUNDDOWN(G10*C10/100,1))</f>
        <v>0</v>
      </c>
      <c r="I10" s="93">
        <f>J9</f>
        <v>31800</v>
      </c>
      <c r="J10" s="94">
        <f>IF(C10=0,0,ROUNDDOWN(I10*C10/100,1))</f>
        <v>5088</v>
      </c>
      <c r="K10" s="59">
        <v>0</v>
      </c>
      <c r="L10" s="92">
        <f>IF(C10=0,0,ROUNDDOWN(K10*C10/100,1))</f>
        <v>0</v>
      </c>
      <c r="M10" s="24" t="s">
        <v>2447</v>
      </c>
      <c r="N10" s="16" t="s">
        <v>2445</v>
      </c>
      <c r="O10" s="6" t="s">
        <v>2446</v>
      </c>
      <c r="P10" s="6" t="s">
        <v>1129</v>
      </c>
      <c r="Z10" s="19" t="str">
        <f ca="1">HYPERLINK("#"&amp;재료비목록표!G2&amp;"!A"&amp;ROW(재료비목록표!A14),"자재   11 →")</f>
        <v>자재   11 →</v>
      </c>
    </row>
    <row r="11" spans="1:26" ht="28.7" customHeight="1" x14ac:dyDescent="0.3">
      <c r="A11" s="24" t="s">
        <v>6</v>
      </c>
      <c r="B11" s="58"/>
      <c r="C11" s="58"/>
      <c r="D11" s="58"/>
      <c r="E11" s="58"/>
      <c r="F11" s="55">
        <f>J11+H11+L11</f>
        <v>126000</v>
      </c>
      <c r="G11" s="58"/>
      <c r="H11" s="55">
        <f>ROUNDDOWN(SUMIF(P7:P10,O11,H7:H10),0)</f>
        <v>55700</v>
      </c>
      <c r="I11" s="58"/>
      <c r="J11" s="55">
        <f>ROUNDDOWN(SUMIF(P7:P10,O11,J7:J10),0)</f>
        <v>36888</v>
      </c>
      <c r="K11" s="58"/>
      <c r="L11" s="55">
        <f>ROUNDDOWN(SUMIF(P7:P10,O11,L7:L10),0)</f>
        <v>33412</v>
      </c>
      <c r="M11" s="58"/>
      <c r="O11" s="6" t="s">
        <v>1129</v>
      </c>
    </row>
    <row r="12" spans="1:26" ht="28.7" customHeight="1" x14ac:dyDescent="0.3">
      <c r="A12" s="84" t="s">
        <v>16</v>
      </c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36" t="str">
        <f>HYPERLINK("#N"&amp;ROW(N17),"_x0005_`BDCOD|X00003_x0007_`POSS|"&amp;ROW(N14)&amp;"_x0007_`POSE|"&amp;ROW(N17)&amp;"_x0007_`")</f>
        <v>_x0005_`BDCOD|X00003_x0007_`POSS|14_x0007_`POSE|17_x0007_`</v>
      </c>
    </row>
    <row r="13" spans="1:26" ht="28.7" customHeight="1" x14ac:dyDescent="0.3">
      <c r="A13" s="43" t="s">
        <v>350</v>
      </c>
      <c r="B13" s="43"/>
      <c r="C13" s="86"/>
      <c r="D13" s="89" t="s">
        <v>347</v>
      </c>
      <c r="E13" s="86"/>
      <c r="F13" s="86"/>
      <c r="G13" s="86"/>
      <c r="H13" s="86"/>
      <c r="I13" s="86"/>
      <c r="J13" s="86"/>
      <c r="K13" s="86"/>
      <c r="L13" s="86"/>
      <c r="M13" s="89" t="s">
        <v>351</v>
      </c>
      <c r="O13" s="6" t="s">
        <v>349</v>
      </c>
    </row>
    <row r="14" spans="1:26" ht="28.7" customHeight="1" x14ac:dyDescent="0.3">
      <c r="A14" s="9" t="s">
        <v>350</v>
      </c>
      <c r="B14" s="9" t="s">
        <v>691</v>
      </c>
      <c r="C14" s="87">
        <v>0.20849999999999999</v>
      </c>
      <c r="D14" s="33" t="s">
        <v>688</v>
      </c>
      <c r="E14" s="62">
        <f t="shared" ref="E14:F17" si="1">I14+G14+K14</f>
        <v>62550</v>
      </c>
      <c r="F14" s="91">
        <f t="shared" si="1"/>
        <v>13041.6</v>
      </c>
      <c r="G14" s="59">
        <v>0</v>
      </c>
      <c r="H14" s="91">
        <f>IF(C14=0,0,ROUNDDOWN(G14*C14,1))</f>
        <v>0</v>
      </c>
      <c r="I14" s="59">
        <v>0</v>
      </c>
      <c r="J14" s="92">
        <f>IF(C14=0,0,ROUNDDOWN(I14*C14,1))</f>
        <v>0</v>
      </c>
      <c r="K14" s="93">
        <f>경비목록표!E5</f>
        <v>62550</v>
      </c>
      <c r="L14" s="95">
        <f>IF(C14=0,0,ROUNDDOWN(K14*C14,1))</f>
        <v>13041.6</v>
      </c>
      <c r="M14" s="24" t="s">
        <v>2450</v>
      </c>
      <c r="N14" s="16" t="s">
        <v>2448</v>
      </c>
      <c r="O14" s="6" t="s">
        <v>2449</v>
      </c>
      <c r="P14" s="6" t="s">
        <v>1129</v>
      </c>
      <c r="Z14" s="19" t="str">
        <f ca="1">HYPERLINK("#"&amp;경비목록표!G2&amp;"!A"&amp;ROW(경비목록표!A5),"경비    2 →")</f>
        <v>경비    2 →</v>
      </c>
    </row>
    <row r="15" spans="1:26" ht="28.7" customHeight="1" x14ac:dyDescent="0.3">
      <c r="A15" s="9" t="s">
        <v>668</v>
      </c>
      <c r="B15" s="9"/>
      <c r="C15" s="87">
        <v>1</v>
      </c>
      <c r="D15" s="33" t="s">
        <v>650</v>
      </c>
      <c r="E15" s="62">
        <f t="shared" si="1"/>
        <v>55700</v>
      </c>
      <c r="F15" s="92">
        <f t="shared" si="1"/>
        <v>55700</v>
      </c>
      <c r="G15" s="93">
        <f>환율및기초자료!G6</f>
        <v>55700</v>
      </c>
      <c r="H15" s="94">
        <f>IF(C15=0,0,ROUNDDOWN(G15*C15,1))</f>
        <v>55700</v>
      </c>
      <c r="I15" s="59">
        <v>0</v>
      </c>
      <c r="J15" s="91">
        <f>IF(C15=0,0,ROUNDDOWN(I15*C15,1))</f>
        <v>0</v>
      </c>
      <c r="K15" s="59">
        <v>0</v>
      </c>
      <c r="L15" s="92">
        <f>IF(C15=0,0,ROUNDDOWN(K15*C15,1))</f>
        <v>0</v>
      </c>
      <c r="M15" s="24" t="s">
        <v>2441</v>
      </c>
      <c r="N15" s="16" t="s">
        <v>2439</v>
      </c>
      <c r="O15" s="6" t="s">
        <v>2440</v>
      </c>
      <c r="P15" s="6" t="s">
        <v>1129</v>
      </c>
      <c r="Z15" s="19" t="str">
        <f ca="1">HYPERLINK("#"&amp;환율및기초자료!I2&amp;"!A"&amp;ROW(환율및기초자료!A6),"노무    7 →")</f>
        <v>노무    7 →</v>
      </c>
    </row>
    <row r="16" spans="1:26" ht="28.7" customHeight="1" x14ac:dyDescent="0.3">
      <c r="A16" s="9" t="s">
        <v>438</v>
      </c>
      <c r="B16" s="9" t="s">
        <v>439</v>
      </c>
      <c r="C16" s="87">
        <v>5</v>
      </c>
      <c r="D16" s="33" t="s">
        <v>434</v>
      </c>
      <c r="E16" s="62">
        <f t="shared" si="1"/>
        <v>1272</v>
      </c>
      <c r="F16" s="91">
        <f t="shared" si="1"/>
        <v>6360</v>
      </c>
      <c r="G16" s="59">
        <v>0</v>
      </c>
      <c r="H16" s="92">
        <f>IF(C16=0,0,ROUNDDOWN(G16*C16,1))</f>
        <v>0</v>
      </c>
      <c r="I16" s="93">
        <f>재료비목록표!E5</f>
        <v>1272</v>
      </c>
      <c r="J16" s="94">
        <f>IF(C16=0,0,ROUNDDOWN(I16*C16,1))</f>
        <v>6360</v>
      </c>
      <c r="K16" s="59">
        <v>0</v>
      </c>
      <c r="L16" s="92">
        <f>IF(C16=0,0,ROUNDDOWN(K16*C16,1))</f>
        <v>0</v>
      </c>
      <c r="M16" s="24" t="s">
        <v>2444</v>
      </c>
      <c r="N16" s="16" t="s">
        <v>2442</v>
      </c>
      <c r="O16" s="6" t="s">
        <v>2443</v>
      </c>
      <c r="P16" s="6" t="s">
        <v>1129</v>
      </c>
      <c r="Z16" s="19" t="str">
        <f ca="1">HYPERLINK("#"&amp;재료비목록표!G2&amp;"!A"&amp;ROW(재료비목록표!A5),"자재    2 →")</f>
        <v>자재    2 →</v>
      </c>
    </row>
    <row r="17" spans="1:26" ht="28.7" customHeight="1" x14ac:dyDescent="0.3">
      <c r="A17" s="9" t="s">
        <v>487</v>
      </c>
      <c r="B17" s="9" t="s">
        <v>488</v>
      </c>
      <c r="C17" s="87">
        <v>21</v>
      </c>
      <c r="D17" s="33" t="s">
        <v>483</v>
      </c>
      <c r="E17" s="62">
        <f t="shared" si="1"/>
        <v>6360</v>
      </c>
      <c r="F17" s="91">
        <f t="shared" si="1"/>
        <v>1335.6</v>
      </c>
      <c r="G17" s="59">
        <v>0</v>
      </c>
      <c r="H17" s="92">
        <f>IF(C17=0,0,ROUNDDOWN(G17*C17/100,1))</f>
        <v>0</v>
      </c>
      <c r="I17" s="93">
        <f>J16</f>
        <v>6360</v>
      </c>
      <c r="J17" s="94">
        <f>IF(C17=0,0,ROUNDDOWN(I17*C17/100,1))</f>
        <v>1335.6</v>
      </c>
      <c r="K17" s="59">
        <v>0</v>
      </c>
      <c r="L17" s="92">
        <f>IF(C17=0,0,ROUNDDOWN(K17*C17/100,1))</f>
        <v>0</v>
      </c>
      <c r="M17" s="24" t="s">
        <v>2447</v>
      </c>
      <c r="N17" s="16" t="s">
        <v>2445</v>
      </c>
      <c r="O17" s="6" t="s">
        <v>2446</v>
      </c>
      <c r="P17" s="6" t="s">
        <v>1129</v>
      </c>
      <c r="Z17" s="19" t="str">
        <f ca="1">HYPERLINK("#"&amp;재료비목록표!G2&amp;"!A"&amp;ROW(재료비목록표!A14),"자재   11 →")</f>
        <v>자재   11 →</v>
      </c>
    </row>
    <row r="18" spans="1:26" ht="28.7" customHeight="1" x14ac:dyDescent="0.3">
      <c r="A18" s="24" t="s">
        <v>6</v>
      </c>
      <c r="B18" s="58"/>
      <c r="C18" s="58"/>
      <c r="D18" s="58"/>
      <c r="E18" s="58"/>
      <c r="F18" s="55">
        <f>J18+H18+L18</f>
        <v>76436</v>
      </c>
      <c r="G18" s="58"/>
      <c r="H18" s="55">
        <f>ROUNDDOWN(SUMIF(P14:P17,O18,H14:H17),0)</f>
        <v>55700</v>
      </c>
      <c r="I18" s="58"/>
      <c r="J18" s="55">
        <f>ROUNDDOWN(SUMIF(P14:P17,O18,J14:J17),0)</f>
        <v>7695</v>
      </c>
      <c r="K18" s="58"/>
      <c r="L18" s="55">
        <f>ROUNDDOWN(SUMIF(P14:P17,O18,L14:L17),0)</f>
        <v>13041</v>
      </c>
      <c r="M18" s="58"/>
      <c r="O18" s="6" t="s">
        <v>1129</v>
      </c>
    </row>
    <row r="19" spans="1:26" ht="28.7" customHeight="1" x14ac:dyDescent="0.3">
      <c r="A19" s="84" t="s">
        <v>22</v>
      </c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36" t="str">
        <f>HYPERLINK("#N"&amp;ROW(N24),"_x0005_`BDCOD|X00004_x0007_`POSS|"&amp;ROW(N21)&amp;"_x0007_`POSE|"&amp;ROW(N24)&amp;"_x0007_`")</f>
        <v>_x0005_`BDCOD|X00004_x0007_`POSS|21_x0007_`POSE|24_x0007_`</v>
      </c>
    </row>
    <row r="20" spans="1:26" ht="28.7" customHeight="1" x14ac:dyDescent="0.3">
      <c r="A20" s="43" t="s">
        <v>353</v>
      </c>
      <c r="B20" s="43"/>
      <c r="C20" s="86"/>
      <c r="D20" s="89" t="s">
        <v>347</v>
      </c>
      <c r="E20" s="86"/>
      <c r="F20" s="86"/>
      <c r="G20" s="86"/>
      <c r="H20" s="86"/>
      <c r="I20" s="86"/>
      <c r="J20" s="86"/>
      <c r="K20" s="86"/>
      <c r="L20" s="86"/>
      <c r="M20" s="89" t="s">
        <v>354</v>
      </c>
      <c r="O20" s="6" t="s">
        <v>352</v>
      </c>
    </row>
    <row r="21" spans="1:26" ht="28.7" customHeight="1" x14ac:dyDescent="0.3">
      <c r="A21" s="9" t="s">
        <v>353</v>
      </c>
      <c r="B21" s="9" t="s">
        <v>691</v>
      </c>
      <c r="C21" s="87">
        <v>0.20849999999999999</v>
      </c>
      <c r="D21" s="33" t="s">
        <v>688</v>
      </c>
      <c r="E21" s="62">
        <f t="shared" ref="E21:F24" si="2">I21+G21+K21</f>
        <v>78556</v>
      </c>
      <c r="F21" s="91">
        <f t="shared" si="2"/>
        <v>16378.9</v>
      </c>
      <c r="G21" s="59">
        <v>0</v>
      </c>
      <c r="H21" s="91">
        <f>IF(C21=0,0,ROUNDDOWN(G21*C21,1))</f>
        <v>0</v>
      </c>
      <c r="I21" s="59">
        <v>0</v>
      </c>
      <c r="J21" s="92">
        <f>IF(C21=0,0,ROUNDDOWN(I21*C21,1))</f>
        <v>0</v>
      </c>
      <c r="K21" s="93">
        <f>경비목록표!E6</f>
        <v>78556</v>
      </c>
      <c r="L21" s="95">
        <f>IF(C21=0,0,ROUNDDOWN(K21*C21,1))</f>
        <v>16378.9</v>
      </c>
      <c r="M21" s="24" t="s">
        <v>2453</v>
      </c>
      <c r="N21" s="16" t="s">
        <v>2451</v>
      </c>
      <c r="O21" s="6" t="s">
        <v>2452</v>
      </c>
      <c r="P21" s="6" t="s">
        <v>1129</v>
      </c>
      <c r="Z21" s="19" t="str">
        <f ca="1">HYPERLINK("#"&amp;경비목록표!G2&amp;"!A"&amp;ROW(경비목록표!A6),"경비    3 →")</f>
        <v>경비    3 →</v>
      </c>
    </row>
    <row r="22" spans="1:26" ht="28.7" customHeight="1" x14ac:dyDescent="0.3">
      <c r="A22" s="9" t="s">
        <v>668</v>
      </c>
      <c r="B22" s="9"/>
      <c r="C22" s="87">
        <v>1</v>
      </c>
      <c r="D22" s="33" t="s">
        <v>650</v>
      </c>
      <c r="E22" s="62">
        <f t="shared" si="2"/>
        <v>55700</v>
      </c>
      <c r="F22" s="92">
        <f t="shared" si="2"/>
        <v>55700</v>
      </c>
      <c r="G22" s="93">
        <f>환율및기초자료!G6</f>
        <v>55700</v>
      </c>
      <c r="H22" s="94">
        <f>IF(C22=0,0,ROUNDDOWN(G22*C22,1))</f>
        <v>55700</v>
      </c>
      <c r="I22" s="59">
        <v>0</v>
      </c>
      <c r="J22" s="91">
        <f>IF(C22=0,0,ROUNDDOWN(I22*C22,1))</f>
        <v>0</v>
      </c>
      <c r="K22" s="59">
        <v>0</v>
      </c>
      <c r="L22" s="92">
        <f>IF(C22=0,0,ROUNDDOWN(K22*C22,1))</f>
        <v>0</v>
      </c>
      <c r="M22" s="24" t="s">
        <v>2441</v>
      </c>
      <c r="N22" s="16" t="s">
        <v>2439</v>
      </c>
      <c r="O22" s="6" t="s">
        <v>2440</v>
      </c>
      <c r="P22" s="6" t="s">
        <v>1129</v>
      </c>
      <c r="Z22" s="19" t="str">
        <f ca="1">HYPERLINK("#"&amp;환율및기초자료!I2&amp;"!A"&amp;ROW(환율및기초자료!A6),"노무    7 →")</f>
        <v>노무    7 →</v>
      </c>
    </row>
    <row r="23" spans="1:26" ht="28.7" customHeight="1" x14ac:dyDescent="0.3">
      <c r="A23" s="9" t="s">
        <v>438</v>
      </c>
      <c r="B23" s="9" t="s">
        <v>439</v>
      </c>
      <c r="C23" s="87">
        <v>9.9</v>
      </c>
      <c r="D23" s="33" t="s">
        <v>434</v>
      </c>
      <c r="E23" s="62">
        <f t="shared" si="2"/>
        <v>1272</v>
      </c>
      <c r="F23" s="91">
        <f t="shared" si="2"/>
        <v>12592.8</v>
      </c>
      <c r="G23" s="59">
        <v>0</v>
      </c>
      <c r="H23" s="92">
        <f>IF(C23=0,0,ROUNDDOWN(G23*C23,1))</f>
        <v>0</v>
      </c>
      <c r="I23" s="93">
        <f>재료비목록표!E5</f>
        <v>1272</v>
      </c>
      <c r="J23" s="94">
        <f>IF(C23=0,0,ROUNDDOWN(I23*C23,1))</f>
        <v>12592.8</v>
      </c>
      <c r="K23" s="59">
        <v>0</v>
      </c>
      <c r="L23" s="92">
        <f>IF(C23=0,0,ROUNDDOWN(K23*C23,1))</f>
        <v>0</v>
      </c>
      <c r="M23" s="24" t="s">
        <v>2444</v>
      </c>
      <c r="N23" s="16" t="s">
        <v>2442</v>
      </c>
      <c r="O23" s="6" t="s">
        <v>2443</v>
      </c>
      <c r="P23" s="6" t="s">
        <v>1129</v>
      </c>
      <c r="Z23" s="19" t="str">
        <f ca="1">HYPERLINK("#"&amp;재료비목록표!G2&amp;"!A"&amp;ROW(재료비목록표!A5),"자재    2 →")</f>
        <v>자재    2 →</v>
      </c>
    </row>
    <row r="24" spans="1:26" ht="28.7" customHeight="1" x14ac:dyDescent="0.3">
      <c r="A24" s="9" t="s">
        <v>487</v>
      </c>
      <c r="B24" s="9" t="s">
        <v>488</v>
      </c>
      <c r="C24" s="87">
        <v>22</v>
      </c>
      <c r="D24" s="33" t="s">
        <v>483</v>
      </c>
      <c r="E24" s="62">
        <f t="shared" si="2"/>
        <v>12592.8</v>
      </c>
      <c r="F24" s="91">
        <f t="shared" si="2"/>
        <v>2770.4</v>
      </c>
      <c r="G24" s="59">
        <v>0</v>
      </c>
      <c r="H24" s="92">
        <f>IF(C24=0,0,ROUNDDOWN(G24*C24/100,1))</f>
        <v>0</v>
      </c>
      <c r="I24" s="93">
        <f>J23</f>
        <v>12592.8</v>
      </c>
      <c r="J24" s="94">
        <f>IF(C24=0,0,ROUNDDOWN(I24*C24/100,1))</f>
        <v>2770.4</v>
      </c>
      <c r="K24" s="59">
        <v>0</v>
      </c>
      <c r="L24" s="92">
        <f>IF(C24=0,0,ROUNDDOWN(K24*C24/100,1))</f>
        <v>0</v>
      </c>
      <c r="M24" s="24" t="s">
        <v>2447</v>
      </c>
      <c r="N24" s="16" t="s">
        <v>2445</v>
      </c>
      <c r="O24" s="6" t="s">
        <v>2446</v>
      </c>
      <c r="P24" s="6" t="s">
        <v>1129</v>
      </c>
      <c r="Z24" s="19" t="str">
        <f ca="1">HYPERLINK("#"&amp;재료비목록표!G2&amp;"!A"&amp;ROW(재료비목록표!A14),"자재   11 →")</f>
        <v>자재   11 →</v>
      </c>
    </row>
    <row r="25" spans="1:26" ht="28.7" customHeight="1" x14ac:dyDescent="0.3">
      <c r="A25" s="24" t="s">
        <v>6</v>
      </c>
      <c r="B25" s="58"/>
      <c r="C25" s="58"/>
      <c r="D25" s="58"/>
      <c r="E25" s="58"/>
      <c r="F25" s="55">
        <f>J25+H25+L25</f>
        <v>87441</v>
      </c>
      <c r="G25" s="58"/>
      <c r="H25" s="55">
        <f>ROUNDDOWN(SUMIF(P21:P24,O25,H21:H24),0)</f>
        <v>55700</v>
      </c>
      <c r="I25" s="58"/>
      <c r="J25" s="55">
        <f>ROUNDDOWN(SUMIF(P21:P24,O25,J21:J24),0)</f>
        <v>15363</v>
      </c>
      <c r="K25" s="58"/>
      <c r="L25" s="55">
        <f>ROUNDDOWN(SUMIF(P21:P24,O25,L21:L24),0)</f>
        <v>16378</v>
      </c>
      <c r="M25" s="58"/>
      <c r="O25" s="6" t="s">
        <v>1129</v>
      </c>
    </row>
    <row r="26" spans="1:26" ht="28.7" customHeight="1" x14ac:dyDescent="0.3">
      <c r="A26" s="84" t="s">
        <v>28</v>
      </c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36" t="str">
        <f>HYPERLINK("#N"&amp;ROW(N31),"_x0005_`BDCOD|X00005_x0007_`POSS|"&amp;ROW(N28)&amp;"_x0007_`POSE|"&amp;ROW(N31)&amp;"_x0007_`")</f>
        <v>_x0005_`BDCOD|X00005_x0007_`POSS|28_x0007_`POSE|31_x0007_`</v>
      </c>
    </row>
    <row r="27" spans="1:26" ht="28.7" customHeight="1" x14ac:dyDescent="0.3">
      <c r="A27" s="43" t="s">
        <v>356</v>
      </c>
      <c r="B27" s="43"/>
      <c r="C27" s="86"/>
      <c r="D27" s="89" t="s">
        <v>347</v>
      </c>
      <c r="E27" s="86"/>
      <c r="F27" s="86"/>
      <c r="G27" s="86"/>
      <c r="H27" s="86"/>
      <c r="I27" s="86"/>
      <c r="J27" s="86"/>
      <c r="K27" s="86"/>
      <c r="L27" s="86"/>
      <c r="M27" s="89" t="s">
        <v>357</v>
      </c>
      <c r="O27" s="6" t="s">
        <v>355</v>
      </c>
    </row>
    <row r="28" spans="1:26" ht="28.7" customHeight="1" x14ac:dyDescent="0.3">
      <c r="A28" s="9" t="s">
        <v>356</v>
      </c>
      <c r="B28" s="9" t="s">
        <v>691</v>
      </c>
      <c r="C28" s="87">
        <v>0.20849999999999999</v>
      </c>
      <c r="D28" s="33" t="s">
        <v>688</v>
      </c>
      <c r="E28" s="62">
        <f t="shared" ref="E28:F31" si="3">I28+G28+K28</f>
        <v>110926</v>
      </c>
      <c r="F28" s="91">
        <f t="shared" si="3"/>
        <v>23128</v>
      </c>
      <c r="G28" s="59">
        <v>0</v>
      </c>
      <c r="H28" s="91">
        <f>IF(C28=0,0,ROUNDDOWN(G28*C28,1))</f>
        <v>0</v>
      </c>
      <c r="I28" s="59">
        <v>0</v>
      </c>
      <c r="J28" s="92">
        <f>IF(C28=0,0,ROUNDDOWN(I28*C28,1))</f>
        <v>0</v>
      </c>
      <c r="K28" s="93">
        <f>경비목록표!E7</f>
        <v>110926</v>
      </c>
      <c r="L28" s="95">
        <f>IF(C28=0,0,ROUNDDOWN(K28*C28,1))</f>
        <v>23128</v>
      </c>
      <c r="M28" s="24" t="s">
        <v>2456</v>
      </c>
      <c r="N28" s="16" t="s">
        <v>2454</v>
      </c>
      <c r="O28" s="6" t="s">
        <v>2455</v>
      </c>
      <c r="P28" s="6" t="s">
        <v>1129</v>
      </c>
      <c r="Z28" s="19" t="str">
        <f ca="1">HYPERLINK("#"&amp;경비목록표!G2&amp;"!A"&amp;ROW(경비목록표!A7),"경비    4 →")</f>
        <v>경비    4 →</v>
      </c>
    </row>
    <row r="29" spans="1:26" ht="28.7" customHeight="1" x14ac:dyDescent="0.3">
      <c r="A29" s="9" t="s">
        <v>668</v>
      </c>
      <c r="B29" s="9"/>
      <c r="C29" s="87">
        <v>1</v>
      </c>
      <c r="D29" s="33" t="s">
        <v>650</v>
      </c>
      <c r="E29" s="62">
        <f t="shared" si="3"/>
        <v>55700</v>
      </c>
      <c r="F29" s="92">
        <f t="shared" si="3"/>
        <v>55700</v>
      </c>
      <c r="G29" s="93">
        <f>환율및기초자료!G6</f>
        <v>55700</v>
      </c>
      <c r="H29" s="94">
        <f>IF(C29=0,0,ROUNDDOWN(G29*C29,1))</f>
        <v>55700</v>
      </c>
      <c r="I29" s="59">
        <v>0</v>
      </c>
      <c r="J29" s="91">
        <f>IF(C29=0,0,ROUNDDOWN(I29*C29,1))</f>
        <v>0</v>
      </c>
      <c r="K29" s="59">
        <v>0</v>
      </c>
      <c r="L29" s="92">
        <f>IF(C29=0,0,ROUNDDOWN(K29*C29,1))</f>
        <v>0</v>
      </c>
      <c r="M29" s="24" t="s">
        <v>2441</v>
      </c>
      <c r="N29" s="16" t="s">
        <v>2439</v>
      </c>
      <c r="O29" s="6" t="s">
        <v>2440</v>
      </c>
      <c r="P29" s="6" t="s">
        <v>1129</v>
      </c>
      <c r="Z29" s="19" t="str">
        <f ca="1">HYPERLINK("#"&amp;환율및기초자료!I2&amp;"!A"&amp;ROW(환율및기초자료!A6),"노무    7 →")</f>
        <v>노무    7 →</v>
      </c>
    </row>
    <row r="30" spans="1:26" ht="28.7" customHeight="1" x14ac:dyDescent="0.3">
      <c r="A30" s="9" t="s">
        <v>438</v>
      </c>
      <c r="B30" s="9" t="s">
        <v>439</v>
      </c>
      <c r="C30" s="87">
        <v>11.6</v>
      </c>
      <c r="D30" s="33" t="s">
        <v>434</v>
      </c>
      <c r="E30" s="62">
        <f t="shared" si="3"/>
        <v>1272</v>
      </c>
      <c r="F30" s="91">
        <f t="shared" si="3"/>
        <v>14755.2</v>
      </c>
      <c r="G30" s="59">
        <v>0</v>
      </c>
      <c r="H30" s="92">
        <f>IF(C30=0,0,ROUNDDOWN(G30*C30,1))</f>
        <v>0</v>
      </c>
      <c r="I30" s="93">
        <f>재료비목록표!E5</f>
        <v>1272</v>
      </c>
      <c r="J30" s="94">
        <f>IF(C30=0,0,ROUNDDOWN(I30*C30,1))</f>
        <v>14755.2</v>
      </c>
      <c r="K30" s="59">
        <v>0</v>
      </c>
      <c r="L30" s="92">
        <f>IF(C30=0,0,ROUNDDOWN(K30*C30,1))</f>
        <v>0</v>
      </c>
      <c r="M30" s="24" t="s">
        <v>2444</v>
      </c>
      <c r="N30" s="16" t="s">
        <v>2442</v>
      </c>
      <c r="O30" s="6" t="s">
        <v>2443</v>
      </c>
      <c r="P30" s="6" t="s">
        <v>1129</v>
      </c>
      <c r="Z30" s="19" t="str">
        <f ca="1">HYPERLINK("#"&amp;재료비목록표!G2&amp;"!A"&amp;ROW(재료비목록표!A5),"자재    2 →")</f>
        <v>자재    2 →</v>
      </c>
    </row>
    <row r="31" spans="1:26" ht="28.7" customHeight="1" x14ac:dyDescent="0.3">
      <c r="A31" s="9" t="s">
        <v>487</v>
      </c>
      <c r="B31" s="9" t="s">
        <v>488</v>
      </c>
      <c r="C31" s="87">
        <v>22</v>
      </c>
      <c r="D31" s="33" t="s">
        <v>483</v>
      </c>
      <c r="E31" s="62">
        <f t="shared" si="3"/>
        <v>14755.2</v>
      </c>
      <c r="F31" s="91">
        <f t="shared" si="3"/>
        <v>3246.1</v>
      </c>
      <c r="G31" s="59">
        <v>0</v>
      </c>
      <c r="H31" s="92">
        <f>IF(C31=0,0,ROUNDDOWN(G31*C31/100,1))</f>
        <v>0</v>
      </c>
      <c r="I31" s="93">
        <f>J30</f>
        <v>14755.2</v>
      </c>
      <c r="J31" s="94">
        <f>IF(C31=0,0,ROUNDDOWN(I31*C31/100,1))</f>
        <v>3246.1</v>
      </c>
      <c r="K31" s="59">
        <v>0</v>
      </c>
      <c r="L31" s="92">
        <f>IF(C31=0,0,ROUNDDOWN(K31*C31/100,1))</f>
        <v>0</v>
      </c>
      <c r="M31" s="24" t="s">
        <v>2447</v>
      </c>
      <c r="N31" s="16" t="s">
        <v>2445</v>
      </c>
      <c r="O31" s="6" t="s">
        <v>2446</v>
      </c>
      <c r="P31" s="6" t="s">
        <v>1129</v>
      </c>
      <c r="Z31" s="19" t="str">
        <f ca="1">HYPERLINK("#"&amp;재료비목록표!G2&amp;"!A"&amp;ROW(재료비목록표!A14),"자재   11 →")</f>
        <v>자재   11 →</v>
      </c>
    </row>
    <row r="32" spans="1:26" ht="28.7" customHeight="1" x14ac:dyDescent="0.3">
      <c r="A32" s="24" t="s">
        <v>6</v>
      </c>
      <c r="B32" s="58"/>
      <c r="C32" s="58"/>
      <c r="D32" s="58"/>
      <c r="E32" s="58"/>
      <c r="F32" s="55">
        <f>J32+H32+L32</f>
        <v>96829</v>
      </c>
      <c r="G32" s="58"/>
      <c r="H32" s="55">
        <f>ROUNDDOWN(SUMIF(P28:P31,O32,H28:H31),0)</f>
        <v>55700</v>
      </c>
      <c r="I32" s="58"/>
      <c r="J32" s="55">
        <f>ROUNDDOWN(SUMIF(P28:P31,O32,J28:J31),0)</f>
        <v>18001</v>
      </c>
      <c r="K32" s="58"/>
      <c r="L32" s="55">
        <f>ROUNDDOWN(SUMIF(P28:P31,O32,L28:L31),0)</f>
        <v>23128</v>
      </c>
      <c r="M32" s="58"/>
      <c r="O32" s="6" t="s">
        <v>1129</v>
      </c>
    </row>
    <row r="33" spans="1:26" ht="28.7" customHeight="1" x14ac:dyDescent="0.3">
      <c r="A33" s="84" t="s">
        <v>32</v>
      </c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36" t="str">
        <f>HYPERLINK("#N"&amp;ROW(N38),"_x0005_`BDCOD|X00006_x0007_`POSS|"&amp;ROW(N35)&amp;"_x0007_`POSE|"&amp;ROW(N38)&amp;"_x0007_`")</f>
        <v>_x0005_`BDCOD|X00006_x0007_`POSS|35_x0007_`POSE|38_x0007_`</v>
      </c>
    </row>
    <row r="34" spans="1:26" ht="28.7" customHeight="1" x14ac:dyDescent="0.3">
      <c r="A34" s="43" t="s">
        <v>359</v>
      </c>
      <c r="B34" s="43"/>
      <c r="C34" s="86"/>
      <c r="D34" s="89" t="s">
        <v>347</v>
      </c>
      <c r="E34" s="86"/>
      <c r="F34" s="86"/>
      <c r="G34" s="86"/>
      <c r="H34" s="86"/>
      <c r="I34" s="86"/>
      <c r="J34" s="86"/>
      <c r="K34" s="86"/>
      <c r="L34" s="86"/>
      <c r="M34" s="89" t="s">
        <v>360</v>
      </c>
      <c r="O34" s="6" t="s">
        <v>358</v>
      </c>
    </row>
    <row r="35" spans="1:26" ht="28.7" customHeight="1" x14ac:dyDescent="0.3">
      <c r="A35" s="9" t="s">
        <v>359</v>
      </c>
      <c r="B35" s="9" t="s">
        <v>691</v>
      </c>
      <c r="C35" s="87">
        <v>0.20849999999999999</v>
      </c>
      <c r="D35" s="33" t="s">
        <v>688</v>
      </c>
      <c r="E35" s="62">
        <f t="shared" ref="E35:F38" si="4">I35+G35+K35</f>
        <v>133819</v>
      </c>
      <c r="F35" s="91">
        <f t="shared" si="4"/>
        <v>27901.200000000001</v>
      </c>
      <c r="G35" s="59">
        <v>0</v>
      </c>
      <c r="H35" s="91">
        <f>IF(C35=0,0,ROUNDDOWN(G35*C35,1))</f>
        <v>0</v>
      </c>
      <c r="I35" s="59">
        <v>0</v>
      </c>
      <c r="J35" s="92">
        <f>IF(C35=0,0,ROUNDDOWN(I35*C35,1))</f>
        <v>0</v>
      </c>
      <c r="K35" s="93">
        <f>경비목록표!E8</f>
        <v>133819</v>
      </c>
      <c r="L35" s="95">
        <f>IF(C35=0,0,ROUNDDOWN(K35*C35,1))</f>
        <v>27901.200000000001</v>
      </c>
      <c r="M35" s="24" t="s">
        <v>2459</v>
      </c>
      <c r="N35" s="16" t="s">
        <v>2457</v>
      </c>
      <c r="O35" s="6" t="s">
        <v>2458</v>
      </c>
      <c r="P35" s="6" t="s">
        <v>1129</v>
      </c>
      <c r="Z35" s="19" t="str">
        <f ca="1">HYPERLINK("#"&amp;경비목록표!G2&amp;"!A"&amp;ROW(경비목록표!A8),"경비    5 →")</f>
        <v>경비    5 →</v>
      </c>
    </row>
    <row r="36" spans="1:26" ht="28.7" customHeight="1" x14ac:dyDescent="0.3">
      <c r="A36" s="9" t="s">
        <v>668</v>
      </c>
      <c r="B36" s="9"/>
      <c r="C36" s="87">
        <v>1</v>
      </c>
      <c r="D36" s="33" t="s">
        <v>650</v>
      </c>
      <c r="E36" s="62">
        <f t="shared" si="4"/>
        <v>55700</v>
      </c>
      <c r="F36" s="92">
        <f t="shared" si="4"/>
        <v>55700</v>
      </c>
      <c r="G36" s="93">
        <f>환율및기초자료!G6</f>
        <v>55700</v>
      </c>
      <c r="H36" s="94">
        <f>IF(C36=0,0,ROUNDDOWN(G36*C36,1))</f>
        <v>55700</v>
      </c>
      <c r="I36" s="59">
        <v>0</v>
      </c>
      <c r="J36" s="91">
        <f>IF(C36=0,0,ROUNDDOWN(I36*C36,1))</f>
        <v>0</v>
      </c>
      <c r="K36" s="59">
        <v>0</v>
      </c>
      <c r="L36" s="92">
        <f>IF(C36=0,0,ROUNDDOWN(K36*C36,1))</f>
        <v>0</v>
      </c>
      <c r="M36" s="24" t="s">
        <v>2441</v>
      </c>
      <c r="N36" s="16" t="s">
        <v>2439</v>
      </c>
      <c r="O36" s="6" t="s">
        <v>2440</v>
      </c>
      <c r="P36" s="6" t="s">
        <v>1129</v>
      </c>
      <c r="Z36" s="19" t="str">
        <f ca="1">HYPERLINK("#"&amp;환율및기초자료!I2&amp;"!A"&amp;ROW(환율및기초자료!A6),"노무    7 →")</f>
        <v>노무    7 →</v>
      </c>
    </row>
    <row r="37" spans="1:26" ht="28.7" customHeight="1" x14ac:dyDescent="0.3">
      <c r="A37" s="9" t="s">
        <v>438</v>
      </c>
      <c r="B37" s="9" t="s">
        <v>439</v>
      </c>
      <c r="C37" s="87">
        <v>19.5</v>
      </c>
      <c r="D37" s="33" t="s">
        <v>434</v>
      </c>
      <c r="E37" s="62">
        <f t="shared" si="4"/>
        <v>1272</v>
      </c>
      <c r="F37" s="91">
        <f t="shared" si="4"/>
        <v>24804</v>
      </c>
      <c r="G37" s="59">
        <v>0</v>
      </c>
      <c r="H37" s="92">
        <f>IF(C37=0,0,ROUNDDOWN(G37*C37,1))</f>
        <v>0</v>
      </c>
      <c r="I37" s="93">
        <f>재료비목록표!E5</f>
        <v>1272</v>
      </c>
      <c r="J37" s="94">
        <f>IF(C37=0,0,ROUNDDOWN(I37*C37,1))</f>
        <v>24804</v>
      </c>
      <c r="K37" s="59">
        <v>0</v>
      </c>
      <c r="L37" s="92">
        <f>IF(C37=0,0,ROUNDDOWN(K37*C37,1))</f>
        <v>0</v>
      </c>
      <c r="M37" s="24" t="s">
        <v>2444</v>
      </c>
      <c r="N37" s="16" t="s">
        <v>2442</v>
      </c>
      <c r="O37" s="6" t="s">
        <v>2443</v>
      </c>
      <c r="P37" s="6" t="s">
        <v>1129</v>
      </c>
      <c r="Z37" s="19" t="str">
        <f ca="1">HYPERLINK("#"&amp;재료비목록표!G2&amp;"!A"&amp;ROW(재료비목록표!A5),"자재    2 →")</f>
        <v>자재    2 →</v>
      </c>
    </row>
    <row r="38" spans="1:26" ht="28.7" customHeight="1" x14ac:dyDescent="0.3">
      <c r="A38" s="9" t="s">
        <v>487</v>
      </c>
      <c r="B38" s="9" t="s">
        <v>488</v>
      </c>
      <c r="C38" s="87">
        <v>22</v>
      </c>
      <c r="D38" s="33" t="s">
        <v>483</v>
      </c>
      <c r="E38" s="62">
        <f t="shared" si="4"/>
        <v>24804</v>
      </c>
      <c r="F38" s="91">
        <f t="shared" si="4"/>
        <v>5456.8</v>
      </c>
      <c r="G38" s="59">
        <v>0</v>
      </c>
      <c r="H38" s="92">
        <f>IF(C38=0,0,ROUNDDOWN(G38*C38/100,1))</f>
        <v>0</v>
      </c>
      <c r="I38" s="93">
        <f>J37</f>
        <v>24804</v>
      </c>
      <c r="J38" s="94">
        <f>IF(C38=0,0,ROUNDDOWN(I38*C38/100,1))</f>
        <v>5456.8</v>
      </c>
      <c r="K38" s="59">
        <v>0</v>
      </c>
      <c r="L38" s="92">
        <f>IF(C38=0,0,ROUNDDOWN(K38*C38/100,1))</f>
        <v>0</v>
      </c>
      <c r="M38" s="24" t="s">
        <v>2447</v>
      </c>
      <c r="N38" s="16" t="s">
        <v>2445</v>
      </c>
      <c r="O38" s="6" t="s">
        <v>2446</v>
      </c>
      <c r="P38" s="6" t="s">
        <v>1129</v>
      </c>
      <c r="Z38" s="19" t="str">
        <f ca="1">HYPERLINK("#"&amp;재료비목록표!G2&amp;"!A"&amp;ROW(재료비목록표!A14),"자재   11 →")</f>
        <v>자재   11 →</v>
      </c>
    </row>
    <row r="39" spans="1:26" ht="28.7" customHeight="1" x14ac:dyDescent="0.3">
      <c r="A39" s="24" t="s">
        <v>6</v>
      </c>
      <c r="B39" s="58"/>
      <c r="C39" s="58"/>
      <c r="D39" s="58"/>
      <c r="E39" s="58"/>
      <c r="F39" s="55">
        <f>J39+H39+L39</f>
        <v>113861</v>
      </c>
      <c r="G39" s="58"/>
      <c r="H39" s="55">
        <f>ROUNDDOWN(SUMIF(P35:P38,O39,H35:H38),0)</f>
        <v>55700</v>
      </c>
      <c r="I39" s="58"/>
      <c r="J39" s="55">
        <f>ROUNDDOWN(SUMIF(P35:P38,O39,J35:J38),0)</f>
        <v>30260</v>
      </c>
      <c r="K39" s="58"/>
      <c r="L39" s="55">
        <f>ROUNDDOWN(SUMIF(P35:P38,O39,L35:L38),0)</f>
        <v>27901</v>
      </c>
      <c r="M39" s="58"/>
      <c r="O39" s="6" t="s">
        <v>1129</v>
      </c>
    </row>
    <row r="40" spans="1:26" ht="28.7" customHeight="1" x14ac:dyDescent="0.3">
      <c r="A40" s="84" t="s">
        <v>36</v>
      </c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36" t="str">
        <f>HYPERLINK("#N"&amp;ROW(N45),"_x0005_`BDCOD|X00009_x0007_`POSS|"&amp;ROW(N42)&amp;"_x0007_`POSE|"&amp;ROW(N45)&amp;"_x0007_`")</f>
        <v>_x0005_`BDCOD|X00009_x0007_`POSS|42_x0007_`POSE|45_x0007_`</v>
      </c>
    </row>
    <row r="41" spans="1:26" ht="28.7" customHeight="1" x14ac:dyDescent="0.3">
      <c r="A41" s="43" t="s">
        <v>356</v>
      </c>
      <c r="B41" s="43" t="s">
        <v>362</v>
      </c>
      <c r="C41" s="86"/>
      <c r="D41" s="89" t="s">
        <v>347</v>
      </c>
      <c r="E41" s="86"/>
      <c r="F41" s="86"/>
      <c r="G41" s="86"/>
      <c r="H41" s="86"/>
      <c r="I41" s="86"/>
      <c r="J41" s="86"/>
      <c r="K41" s="86"/>
      <c r="L41" s="86"/>
      <c r="M41" s="89" t="s">
        <v>363</v>
      </c>
      <c r="O41" s="6" t="s">
        <v>361</v>
      </c>
    </row>
    <row r="42" spans="1:26" ht="28.7" customHeight="1" x14ac:dyDescent="0.3">
      <c r="A42" s="9" t="s">
        <v>356</v>
      </c>
      <c r="B42" s="9" t="s">
        <v>691</v>
      </c>
      <c r="C42" s="87">
        <v>0.24049999999999999</v>
      </c>
      <c r="D42" s="33" t="s">
        <v>688</v>
      </c>
      <c r="E42" s="62">
        <f t="shared" ref="E42:F45" si="5">I42+G42+K42</f>
        <v>110926</v>
      </c>
      <c r="F42" s="91">
        <f t="shared" si="5"/>
        <v>26677.7</v>
      </c>
      <c r="G42" s="59">
        <v>0</v>
      </c>
      <c r="H42" s="91">
        <f>IF(C42=0,0,ROUNDDOWN(G42*C42,1))</f>
        <v>0</v>
      </c>
      <c r="I42" s="59">
        <v>0</v>
      </c>
      <c r="J42" s="92">
        <f>IF(C42=0,0,ROUNDDOWN(I42*C42,1))</f>
        <v>0</v>
      </c>
      <c r="K42" s="93">
        <f>경비목록표!E7</f>
        <v>110926</v>
      </c>
      <c r="L42" s="95">
        <f>IF(C42=0,0,ROUNDDOWN(K42*C42,1))</f>
        <v>26677.7</v>
      </c>
      <c r="M42" s="24" t="s">
        <v>2456</v>
      </c>
      <c r="N42" s="16" t="s">
        <v>2454</v>
      </c>
      <c r="O42" s="6" t="s">
        <v>2455</v>
      </c>
      <c r="P42" s="6" t="s">
        <v>1129</v>
      </c>
      <c r="Z42" s="19" t="str">
        <f ca="1">HYPERLINK("#"&amp;경비목록표!G2&amp;"!A"&amp;ROW(경비목록표!A7),"경비    4 →")</f>
        <v>경비    4 →</v>
      </c>
    </row>
    <row r="43" spans="1:26" ht="28.7" customHeight="1" x14ac:dyDescent="0.3">
      <c r="A43" s="9" t="s">
        <v>668</v>
      </c>
      <c r="B43" s="9"/>
      <c r="C43" s="87">
        <v>1</v>
      </c>
      <c r="D43" s="33" t="s">
        <v>650</v>
      </c>
      <c r="E43" s="62">
        <f t="shared" si="5"/>
        <v>55700</v>
      </c>
      <c r="F43" s="92">
        <f t="shared" si="5"/>
        <v>55700</v>
      </c>
      <c r="G43" s="93">
        <f>환율및기초자료!G6</f>
        <v>55700</v>
      </c>
      <c r="H43" s="94">
        <f>IF(C43=0,0,ROUNDDOWN(G43*C43,1))</f>
        <v>55700</v>
      </c>
      <c r="I43" s="59">
        <v>0</v>
      </c>
      <c r="J43" s="91">
        <f>IF(C43=0,0,ROUNDDOWN(I43*C43,1))</f>
        <v>0</v>
      </c>
      <c r="K43" s="59">
        <v>0</v>
      </c>
      <c r="L43" s="92">
        <f>IF(C43=0,0,ROUNDDOWN(K43*C43,1))</f>
        <v>0</v>
      </c>
      <c r="M43" s="24" t="s">
        <v>2441</v>
      </c>
      <c r="N43" s="16" t="s">
        <v>2439</v>
      </c>
      <c r="O43" s="6" t="s">
        <v>2440</v>
      </c>
      <c r="P43" s="6" t="s">
        <v>1129</v>
      </c>
      <c r="Z43" s="19" t="str">
        <f ca="1">HYPERLINK("#"&amp;환율및기초자료!I2&amp;"!A"&amp;ROW(환율및기초자료!A6),"노무    7 →")</f>
        <v>노무    7 →</v>
      </c>
    </row>
    <row r="44" spans="1:26" ht="28.7" customHeight="1" x14ac:dyDescent="0.3">
      <c r="A44" s="9" t="s">
        <v>438</v>
      </c>
      <c r="B44" s="9" t="s">
        <v>439</v>
      </c>
      <c r="C44" s="87">
        <v>11.6</v>
      </c>
      <c r="D44" s="33" t="s">
        <v>434</v>
      </c>
      <c r="E44" s="62">
        <f t="shared" si="5"/>
        <v>1272</v>
      </c>
      <c r="F44" s="91">
        <f t="shared" si="5"/>
        <v>14755.2</v>
      </c>
      <c r="G44" s="59">
        <v>0</v>
      </c>
      <c r="H44" s="92">
        <f>IF(C44=0,0,ROUNDDOWN(G44*C44,1))</f>
        <v>0</v>
      </c>
      <c r="I44" s="93">
        <f>재료비목록표!E5</f>
        <v>1272</v>
      </c>
      <c r="J44" s="94">
        <f>IF(C44=0,0,ROUNDDOWN(I44*C44,1))</f>
        <v>14755.2</v>
      </c>
      <c r="K44" s="59">
        <v>0</v>
      </c>
      <c r="L44" s="92">
        <f>IF(C44=0,0,ROUNDDOWN(K44*C44,1))</f>
        <v>0</v>
      </c>
      <c r="M44" s="24" t="s">
        <v>2444</v>
      </c>
      <c r="N44" s="16" t="s">
        <v>2442</v>
      </c>
      <c r="O44" s="6" t="s">
        <v>2443</v>
      </c>
      <c r="P44" s="6" t="s">
        <v>1129</v>
      </c>
      <c r="Z44" s="19" t="str">
        <f ca="1">HYPERLINK("#"&amp;재료비목록표!G2&amp;"!A"&amp;ROW(재료비목록표!A5),"자재    2 →")</f>
        <v>자재    2 →</v>
      </c>
    </row>
    <row r="45" spans="1:26" ht="28.7" customHeight="1" x14ac:dyDescent="0.3">
      <c r="A45" s="9" t="s">
        <v>487</v>
      </c>
      <c r="B45" s="9" t="s">
        <v>488</v>
      </c>
      <c r="C45" s="87">
        <v>22</v>
      </c>
      <c r="D45" s="33" t="s">
        <v>483</v>
      </c>
      <c r="E45" s="62">
        <f t="shared" si="5"/>
        <v>14755.2</v>
      </c>
      <c r="F45" s="91">
        <f t="shared" si="5"/>
        <v>3246.1</v>
      </c>
      <c r="G45" s="59">
        <v>0</v>
      </c>
      <c r="H45" s="92">
        <f>IF(C45=0,0,ROUNDDOWN(G45*C45/100,1))</f>
        <v>0</v>
      </c>
      <c r="I45" s="93">
        <f>J44</f>
        <v>14755.2</v>
      </c>
      <c r="J45" s="94">
        <f>IF(C45=0,0,ROUNDDOWN(I45*C45/100,1))</f>
        <v>3246.1</v>
      </c>
      <c r="K45" s="59">
        <v>0</v>
      </c>
      <c r="L45" s="92">
        <f>IF(C45=0,0,ROUNDDOWN(K45*C45/100,1))</f>
        <v>0</v>
      </c>
      <c r="M45" s="24" t="s">
        <v>2447</v>
      </c>
      <c r="N45" s="16" t="s">
        <v>2445</v>
      </c>
      <c r="O45" s="6" t="s">
        <v>2446</v>
      </c>
      <c r="P45" s="6" t="s">
        <v>1129</v>
      </c>
      <c r="Z45" s="19" t="str">
        <f ca="1">HYPERLINK("#"&amp;재료비목록표!G2&amp;"!A"&amp;ROW(재료비목록표!A14),"자재   11 →")</f>
        <v>자재   11 →</v>
      </c>
    </row>
    <row r="46" spans="1:26" ht="28.7" customHeight="1" x14ac:dyDescent="0.3">
      <c r="A46" s="24" t="s">
        <v>6</v>
      </c>
      <c r="B46" s="58"/>
      <c r="C46" s="58"/>
      <c r="D46" s="58"/>
      <c r="E46" s="58"/>
      <c r="F46" s="55">
        <f>J46+H46+L46</f>
        <v>100378</v>
      </c>
      <c r="G46" s="58"/>
      <c r="H46" s="55">
        <f>ROUNDDOWN(SUMIF(P42:P45,O46,H42:H45),0)</f>
        <v>55700</v>
      </c>
      <c r="I46" s="58"/>
      <c r="J46" s="55">
        <f>ROUNDDOWN(SUMIF(P42:P45,O46,J42:J45),0)</f>
        <v>18001</v>
      </c>
      <c r="K46" s="58"/>
      <c r="L46" s="55">
        <f>ROUNDDOWN(SUMIF(P42:P45,O46,L42:L45),0)</f>
        <v>26677</v>
      </c>
      <c r="M46" s="58"/>
      <c r="O46" s="6" t="s">
        <v>1129</v>
      </c>
    </row>
    <row r="47" spans="1:26" ht="28.7" customHeight="1" x14ac:dyDescent="0.3">
      <c r="A47" s="84" t="s">
        <v>40</v>
      </c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36" t="str">
        <f>HYPERLINK("#N"&amp;ROW(N53),"_x0005_`BDCOD|X00014_x0007_`POSS|"&amp;ROW(N49)&amp;"_x0007_`POSE|"&amp;ROW(N53)&amp;"_x0007_`")</f>
        <v>_x0005_`BDCOD|X00014_x0007_`POSS|49_x0007_`POSE|53_x0007_`</v>
      </c>
    </row>
    <row r="48" spans="1:26" ht="28.7" customHeight="1" x14ac:dyDescent="0.3">
      <c r="A48" s="43" t="s">
        <v>365</v>
      </c>
      <c r="B48" s="43"/>
      <c r="C48" s="86"/>
      <c r="D48" s="89" t="s">
        <v>347</v>
      </c>
      <c r="E48" s="86"/>
      <c r="F48" s="86"/>
      <c r="G48" s="86"/>
      <c r="H48" s="86"/>
      <c r="I48" s="86"/>
      <c r="J48" s="86"/>
      <c r="K48" s="86"/>
      <c r="L48" s="86"/>
      <c r="M48" s="89" t="s">
        <v>366</v>
      </c>
      <c r="O48" s="6" t="s">
        <v>364</v>
      </c>
    </row>
    <row r="49" spans="1:26" ht="28.7" customHeight="1" x14ac:dyDescent="0.3">
      <c r="A49" s="9" t="s">
        <v>356</v>
      </c>
      <c r="B49" s="9" t="s">
        <v>691</v>
      </c>
      <c r="C49" s="87">
        <v>0.20849999999999999</v>
      </c>
      <c r="D49" s="33" t="s">
        <v>688</v>
      </c>
      <c r="E49" s="62">
        <f t="shared" ref="E49:F53" si="6">I49+G49+K49</f>
        <v>110926</v>
      </c>
      <c r="F49" s="91">
        <f t="shared" si="6"/>
        <v>23128</v>
      </c>
      <c r="G49" s="59">
        <v>0</v>
      </c>
      <c r="H49" s="91">
        <f>IF(C49=0,0,ROUNDDOWN(G49*C49,1))</f>
        <v>0</v>
      </c>
      <c r="I49" s="59">
        <v>0</v>
      </c>
      <c r="J49" s="92">
        <f>IF(C49=0,0,ROUNDDOWN(I49*C49,1))</f>
        <v>0</v>
      </c>
      <c r="K49" s="93">
        <f>경비목록표!E7</f>
        <v>110926</v>
      </c>
      <c r="L49" s="95">
        <f>IF(C49=0,0,ROUNDDOWN(K49*C49,1))</f>
        <v>23128</v>
      </c>
      <c r="M49" s="24" t="s">
        <v>2456</v>
      </c>
      <c r="N49" s="16" t="s">
        <v>2454</v>
      </c>
      <c r="O49" s="6" t="s">
        <v>2455</v>
      </c>
      <c r="P49" s="6" t="s">
        <v>1129</v>
      </c>
      <c r="Z49" s="19" t="str">
        <f ca="1">HYPERLINK("#"&amp;경비목록표!G2&amp;"!A"&amp;ROW(경비목록표!A7),"경비    4 →")</f>
        <v>경비    4 →</v>
      </c>
    </row>
    <row r="50" spans="1:26" ht="28.7" customHeight="1" x14ac:dyDescent="0.3">
      <c r="A50" s="9" t="s">
        <v>700</v>
      </c>
      <c r="B50" s="9"/>
      <c r="C50" s="87">
        <v>0.66010000000000002</v>
      </c>
      <c r="D50" s="33" t="s">
        <v>688</v>
      </c>
      <c r="E50" s="62">
        <f t="shared" si="6"/>
        <v>16315</v>
      </c>
      <c r="F50" s="91">
        <f t="shared" si="6"/>
        <v>10769.5</v>
      </c>
      <c r="G50" s="59">
        <v>0</v>
      </c>
      <c r="H50" s="91">
        <f>IF(C50=0,0,ROUNDDOWN(G50*C50,1))</f>
        <v>0</v>
      </c>
      <c r="I50" s="59">
        <v>0</v>
      </c>
      <c r="J50" s="92">
        <f>IF(C50=0,0,ROUNDDOWN(I50*C50,1))</f>
        <v>0</v>
      </c>
      <c r="K50" s="93">
        <f>경비목록표!E9</f>
        <v>16315</v>
      </c>
      <c r="L50" s="95">
        <f>IF(C50=0,0,ROUNDDOWN(K50*C50,1))</f>
        <v>10769.5</v>
      </c>
      <c r="M50" s="24" t="s">
        <v>2462</v>
      </c>
      <c r="N50" s="16" t="s">
        <v>2460</v>
      </c>
      <c r="O50" s="6" t="s">
        <v>2461</v>
      </c>
      <c r="P50" s="6" t="s">
        <v>1129</v>
      </c>
      <c r="Z50" s="19" t="str">
        <f ca="1">HYPERLINK("#"&amp;경비목록표!G2&amp;"!A"&amp;ROW(경비목록표!A9),"경비    6 →")</f>
        <v>경비    6 →</v>
      </c>
    </row>
    <row r="51" spans="1:26" ht="28.7" customHeight="1" x14ac:dyDescent="0.3">
      <c r="A51" s="9" t="s">
        <v>668</v>
      </c>
      <c r="B51" s="9"/>
      <c r="C51" s="87">
        <v>1</v>
      </c>
      <c r="D51" s="33" t="s">
        <v>650</v>
      </c>
      <c r="E51" s="62">
        <f t="shared" si="6"/>
        <v>55700</v>
      </c>
      <c r="F51" s="92">
        <f t="shared" si="6"/>
        <v>55700</v>
      </c>
      <c r="G51" s="93">
        <f>환율및기초자료!G6</f>
        <v>55700</v>
      </c>
      <c r="H51" s="94">
        <f>IF(C51=0,0,ROUNDDOWN(G51*C51,1))</f>
        <v>55700</v>
      </c>
      <c r="I51" s="59">
        <v>0</v>
      </c>
      <c r="J51" s="91">
        <f>IF(C51=0,0,ROUNDDOWN(I51*C51,1))</f>
        <v>0</v>
      </c>
      <c r="K51" s="59">
        <v>0</v>
      </c>
      <c r="L51" s="92">
        <f>IF(C51=0,0,ROUNDDOWN(K51*C51,1))</f>
        <v>0</v>
      </c>
      <c r="M51" s="24" t="s">
        <v>2441</v>
      </c>
      <c r="N51" s="16" t="s">
        <v>2439</v>
      </c>
      <c r="O51" s="6" t="s">
        <v>2440</v>
      </c>
      <c r="P51" s="6" t="s">
        <v>1129</v>
      </c>
      <c r="Z51" s="19" t="str">
        <f ca="1">HYPERLINK("#"&amp;환율및기초자료!I2&amp;"!A"&amp;ROW(환율및기초자료!A6),"노무    7 →")</f>
        <v>노무    7 →</v>
      </c>
    </row>
    <row r="52" spans="1:26" ht="28.7" customHeight="1" x14ac:dyDescent="0.3">
      <c r="A52" s="9" t="s">
        <v>438</v>
      </c>
      <c r="B52" s="9" t="s">
        <v>439</v>
      </c>
      <c r="C52" s="87">
        <v>11.6</v>
      </c>
      <c r="D52" s="33" t="s">
        <v>434</v>
      </c>
      <c r="E52" s="62">
        <f t="shared" si="6"/>
        <v>1272</v>
      </c>
      <c r="F52" s="91">
        <f t="shared" si="6"/>
        <v>14755.2</v>
      </c>
      <c r="G52" s="59">
        <v>0</v>
      </c>
      <c r="H52" s="92">
        <f>IF(C52=0,0,ROUNDDOWN(G52*C52,1))</f>
        <v>0</v>
      </c>
      <c r="I52" s="93">
        <f>재료비목록표!E5</f>
        <v>1272</v>
      </c>
      <c r="J52" s="94">
        <f>IF(C52=0,0,ROUNDDOWN(I52*C52,1))</f>
        <v>14755.2</v>
      </c>
      <c r="K52" s="59">
        <v>0</v>
      </c>
      <c r="L52" s="92">
        <f>IF(C52=0,0,ROUNDDOWN(K52*C52,1))</f>
        <v>0</v>
      </c>
      <c r="M52" s="24" t="s">
        <v>2444</v>
      </c>
      <c r="N52" s="16" t="s">
        <v>2442</v>
      </c>
      <c r="O52" s="6" t="s">
        <v>2443</v>
      </c>
      <c r="P52" s="6" t="s">
        <v>1129</v>
      </c>
      <c r="Z52" s="19" t="str">
        <f ca="1">HYPERLINK("#"&amp;재료비목록표!G2&amp;"!A"&amp;ROW(재료비목록표!A5),"자재    2 →")</f>
        <v>자재    2 →</v>
      </c>
    </row>
    <row r="53" spans="1:26" ht="28.7" customHeight="1" x14ac:dyDescent="0.3">
      <c r="A53" s="9" t="s">
        <v>487</v>
      </c>
      <c r="B53" s="9" t="s">
        <v>488</v>
      </c>
      <c r="C53" s="87">
        <v>16</v>
      </c>
      <c r="D53" s="33" t="s">
        <v>483</v>
      </c>
      <c r="E53" s="62">
        <f t="shared" si="6"/>
        <v>14755.2</v>
      </c>
      <c r="F53" s="91">
        <f t="shared" si="6"/>
        <v>2360.8000000000002</v>
      </c>
      <c r="G53" s="59">
        <v>0</v>
      </c>
      <c r="H53" s="92">
        <f>IF(C53=0,0,ROUNDDOWN(G53*C53/100,1))</f>
        <v>0</v>
      </c>
      <c r="I53" s="93">
        <f>J52</f>
        <v>14755.2</v>
      </c>
      <c r="J53" s="94">
        <f>IF(C53=0,0,ROUNDDOWN(I53*C53/100,1))</f>
        <v>2360.8000000000002</v>
      </c>
      <c r="K53" s="59">
        <v>0</v>
      </c>
      <c r="L53" s="92">
        <f>IF(C53=0,0,ROUNDDOWN(K53*C53/100,1))</f>
        <v>0</v>
      </c>
      <c r="M53" s="24" t="s">
        <v>2447</v>
      </c>
      <c r="N53" s="16" t="s">
        <v>2445</v>
      </c>
      <c r="O53" s="6" t="s">
        <v>2446</v>
      </c>
      <c r="P53" s="6" t="s">
        <v>1129</v>
      </c>
      <c r="Z53" s="19" t="str">
        <f ca="1">HYPERLINK("#"&amp;재료비목록표!G2&amp;"!A"&amp;ROW(재료비목록표!A14),"자재   11 →")</f>
        <v>자재   11 →</v>
      </c>
    </row>
    <row r="54" spans="1:26" ht="28.7" customHeight="1" x14ac:dyDescent="0.3">
      <c r="A54" s="24" t="s">
        <v>6</v>
      </c>
      <c r="B54" s="58"/>
      <c r="C54" s="58"/>
      <c r="D54" s="58"/>
      <c r="E54" s="58"/>
      <c r="F54" s="55">
        <f>J54+H54+L54</f>
        <v>106713</v>
      </c>
      <c r="G54" s="58"/>
      <c r="H54" s="55">
        <f>ROUNDDOWN(SUMIF(P49:P53,O54,H49:H53),0)</f>
        <v>55700</v>
      </c>
      <c r="I54" s="58"/>
      <c r="J54" s="55">
        <f>ROUNDDOWN(SUMIF(P49:P53,O54,J49:J53),0)</f>
        <v>17116</v>
      </c>
      <c r="K54" s="58"/>
      <c r="L54" s="55">
        <f>ROUNDDOWN(SUMIF(P49:P53,O54,L49:L53),0)</f>
        <v>33897</v>
      </c>
      <c r="M54" s="58"/>
      <c r="O54" s="6" t="s">
        <v>1129</v>
      </c>
    </row>
    <row r="55" spans="1:26" ht="28.7" customHeight="1" x14ac:dyDescent="0.3">
      <c r="A55" s="84" t="s">
        <v>45</v>
      </c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36" t="str">
        <f>HYPERLINK("#N"&amp;ROW(N60),"_x0005_`BDCOD|X00028_x0007_`POSS|"&amp;ROW(N57)&amp;"_x0007_`POSE|"&amp;ROW(N60)&amp;"_x0007_`")</f>
        <v>_x0005_`BDCOD|X00028_x0007_`POSS|57_x0007_`POSE|60_x0007_`</v>
      </c>
    </row>
    <row r="56" spans="1:26" ht="28.7" customHeight="1" x14ac:dyDescent="0.3">
      <c r="A56" s="43" t="s">
        <v>368</v>
      </c>
      <c r="B56" s="43"/>
      <c r="C56" s="86"/>
      <c r="D56" s="89" t="s">
        <v>347</v>
      </c>
      <c r="E56" s="86"/>
      <c r="F56" s="86"/>
      <c r="G56" s="86"/>
      <c r="H56" s="86"/>
      <c r="I56" s="86"/>
      <c r="J56" s="86"/>
      <c r="K56" s="86"/>
      <c r="L56" s="86"/>
      <c r="M56" s="89" t="s">
        <v>369</v>
      </c>
      <c r="O56" s="6" t="s">
        <v>367</v>
      </c>
    </row>
    <row r="57" spans="1:26" ht="28.7" customHeight="1" x14ac:dyDescent="0.3">
      <c r="A57" s="9" t="s">
        <v>709</v>
      </c>
      <c r="B57" s="9"/>
      <c r="C57" s="87">
        <v>0.22789999999999999</v>
      </c>
      <c r="D57" s="33" t="s">
        <v>688</v>
      </c>
      <c r="E57" s="62">
        <f t="shared" ref="E57:F60" si="7">I57+G57+K57</f>
        <v>86142</v>
      </c>
      <c r="F57" s="91">
        <f t="shared" si="7"/>
        <v>19631.7</v>
      </c>
      <c r="G57" s="59">
        <v>0</v>
      </c>
      <c r="H57" s="91">
        <f>IF(C57=0,0,ROUNDDOWN(G57*C57,1))</f>
        <v>0</v>
      </c>
      <c r="I57" s="59">
        <v>0</v>
      </c>
      <c r="J57" s="92">
        <f>IF(C57=0,0,ROUNDDOWN(I57*C57,1))</f>
        <v>0</v>
      </c>
      <c r="K57" s="93">
        <f>경비목록표!E12</f>
        <v>86142</v>
      </c>
      <c r="L57" s="95">
        <f>IF(C57=0,0,ROUNDDOWN(K57*C57,1))</f>
        <v>19631.7</v>
      </c>
      <c r="M57" s="24" t="s">
        <v>2465</v>
      </c>
      <c r="N57" s="16" t="s">
        <v>2463</v>
      </c>
      <c r="O57" s="6" t="s">
        <v>2464</v>
      </c>
      <c r="P57" s="6" t="s">
        <v>1129</v>
      </c>
      <c r="Z57" s="19" t="str">
        <f ca="1">HYPERLINK("#"&amp;경비목록표!G2&amp;"!A"&amp;ROW(경비목록표!A12),"경비    9 →")</f>
        <v>경비    9 →</v>
      </c>
    </row>
    <row r="58" spans="1:26" ht="28.7" customHeight="1" x14ac:dyDescent="0.3">
      <c r="A58" s="9" t="s">
        <v>668</v>
      </c>
      <c r="B58" s="9"/>
      <c r="C58" s="87">
        <v>1</v>
      </c>
      <c r="D58" s="33" t="s">
        <v>650</v>
      </c>
      <c r="E58" s="62">
        <f t="shared" si="7"/>
        <v>55700</v>
      </c>
      <c r="F58" s="92">
        <f t="shared" si="7"/>
        <v>55700</v>
      </c>
      <c r="G58" s="93">
        <f>환율및기초자료!G6</f>
        <v>55700</v>
      </c>
      <c r="H58" s="94">
        <f>IF(C58=0,0,ROUNDDOWN(G58*C58,1))</f>
        <v>55700</v>
      </c>
      <c r="I58" s="59">
        <v>0</v>
      </c>
      <c r="J58" s="91">
        <f>IF(C58=0,0,ROUNDDOWN(I58*C58,1))</f>
        <v>0</v>
      </c>
      <c r="K58" s="59">
        <v>0</v>
      </c>
      <c r="L58" s="92">
        <f>IF(C58=0,0,ROUNDDOWN(K58*C58,1))</f>
        <v>0</v>
      </c>
      <c r="M58" s="24" t="s">
        <v>2441</v>
      </c>
      <c r="N58" s="16" t="s">
        <v>2439</v>
      </c>
      <c r="O58" s="6" t="s">
        <v>2440</v>
      </c>
      <c r="P58" s="6" t="s">
        <v>1129</v>
      </c>
      <c r="Z58" s="19" t="str">
        <f ca="1">HYPERLINK("#"&amp;환율및기초자료!I2&amp;"!A"&amp;ROW(환율및기초자료!A6),"노무    7 →")</f>
        <v>노무    7 →</v>
      </c>
    </row>
    <row r="59" spans="1:26" ht="28.7" customHeight="1" x14ac:dyDescent="0.3">
      <c r="A59" s="9" t="s">
        <v>438</v>
      </c>
      <c r="B59" s="9" t="s">
        <v>439</v>
      </c>
      <c r="C59" s="87">
        <v>15.9</v>
      </c>
      <c r="D59" s="33" t="s">
        <v>434</v>
      </c>
      <c r="E59" s="62">
        <f t="shared" si="7"/>
        <v>1272</v>
      </c>
      <c r="F59" s="91">
        <f t="shared" si="7"/>
        <v>20224.8</v>
      </c>
      <c r="G59" s="59">
        <v>0</v>
      </c>
      <c r="H59" s="92">
        <f>IF(C59=0,0,ROUNDDOWN(G59*C59,1))</f>
        <v>0</v>
      </c>
      <c r="I59" s="93">
        <f>재료비목록표!E5</f>
        <v>1272</v>
      </c>
      <c r="J59" s="94">
        <f>IF(C59=0,0,ROUNDDOWN(I59*C59,1))</f>
        <v>20224.8</v>
      </c>
      <c r="K59" s="59">
        <v>0</v>
      </c>
      <c r="L59" s="92">
        <f>IF(C59=0,0,ROUNDDOWN(K59*C59,1))</f>
        <v>0</v>
      </c>
      <c r="M59" s="24" t="s">
        <v>2444</v>
      </c>
      <c r="N59" s="16" t="s">
        <v>2442</v>
      </c>
      <c r="O59" s="6" t="s">
        <v>2443</v>
      </c>
      <c r="P59" s="6" t="s">
        <v>1129</v>
      </c>
      <c r="Z59" s="19" t="str">
        <f ca="1">HYPERLINK("#"&amp;재료비목록표!G2&amp;"!A"&amp;ROW(재료비목록표!A5),"자재    2 →")</f>
        <v>자재    2 →</v>
      </c>
    </row>
    <row r="60" spans="1:26" ht="28.7" customHeight="1" x14ac:dyDescent="0.3">
      <c r="A60" s="9" t="s">
        <v>487</v>
      </c>
      <c r="B60" s="9" t="s">
        <v>488</v>
      </c>
      <c r="C60" s="87">
        <v>38</v>
      </c>
      <c r="D60" s="33" t="s">
        <v>483</v>
      </c>
      <c r="E60" s="62">
        <f t="shared" si="7"/>
        <v>20224.8</v>
      </c>
      <c r="F60" s="91">
        <f t="shared" si="7"/>
        <v>7685.4</v>
      </c>
      <c r="G60" s="59">
        <v>0</v>
      </c>
      <c r="H60" s="92">
        <f>IF(C60=0,0,ROUNDDOWN(G60*C60/100,1))</f>
        <v>0</v>
      </c>
      <c r="I60" s="93">
        <f>J59</f>
        <v>20224.8</v>
      </c>
      <c r="J60" s="94">
        <f>IF(C60=0,0,ROUNDDOWN(I60*C60/100,1))</f>
        <v>7685.4</v>
      </c>
      <c r="K60" s="59">
        <v>0</v>
      </c>
      <c r="L60" s="92">
        <f>IF(C60=0,0,ROUNDDOWN(K60*C60/100,1))</f>
        <v>0</v>
      </c>
      <c r="M60" s="24" t="s">
        <v>2447</v>
      </c>
      <c r="N60" s="16" t="s">
        <v>2445</v>
      </c>
      <c r="O60" s="6" t="s">
        <v>2446</v>
      </c>
      <c r="P60" s="6" t="s">
        <v>1129</v>
      </c>
      <c r="Z60" s="19" t="str">
        <f ca="1">HYPERLINK("#"&amp;재료비목록표!G2&amp;"!A"&amp;ROW(재료비목록표!A14),"자재   11 →")</f>
        <v>자재   11 →</v>
      </c>
    </row>
    <row r="61" spans="1:26" ht="28.7" customHeight="1" x14ac:dyDescent="0.3">
      <c r="A61" s="24" t="s">
        <v>6</v>
      </c>
      <c r="B61" s="58"/>
      <c r="C61" s="58"/>
      <c r="D61" s="58"/>
      <c r="E61" s="58"/>
      <c r="F61" s="55">
        <f>J61+H61+L61</f>
        <v>103241</v>
      </c>
      <c r="G61" s="58"/>
      <c r="H61" s="55">
        <f>ROUNDDOWN(SUMIF(P57:P60,O61,H57:H60),0)</f>
        <v>55700</v>
      </c>
      <c r="I61" s="58"/>
      <c r="J61" s="55">
        <f>ROUNDDOWN(SUMIF(P57:P60,O61,J57:J60),0)</f>
        <v>27910</v>
      </c>
      <c r="K61" s="58"/>
      <c r="L61" s="55">
        <f>ROUNDDOWN(SUMIF(P57:P60,O61,L57:L60),0)</f>
        <v>19631</v>
      </c>
      <c r="M61" s="58"/>
      <c r="O61" s="6" t="s">
        <v>1129</v>
      </c>
    </row>
    <row r="62" spans="1:26" ht="28.7" customHeight="1" x14ac:dyDescent="0.3">
      <c r="A62" s="84" t="s">
        <v>49</v>
      </c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36" t="str">
        <f>HYPERLINK("#N"&amp;ROW(N67),"_x0005_`BDCOD|X00030_x0007_`POSS|"&amp;ROW(N64)&amp;"_x0007_`POSE|"&amp;ROW(N67)&amp;"_x0007_`")</f>
        <v>_x0005_`BDCOD|X00030_x0007_`POSS|64_x0007_`POSE|67_x0007_`</v>
      </c>
    </row>
    <row r="63" spans="1:26" ht="28.7" customHeight="1" x14ac:dyDescent="0.3">
      <c r="A63" s="43" t="s">
        <v>371</v>
      </c>
      <c r="B63" s="43" t="s">
        <v>372</v>
      </c>
      <c r="C63" s="86"/>
      <c r="D63" s="89" t="s">
        <v>347</v>
      </c>
      <c r="E63" s="86"/>
      <c r="F63" s="86"/>
      <c r="G63" s="86"/>
      <c r="H63" s="86"/>
      <c r="I63" s="86"/>
      <c r="J63" s="86"/>
      <c r="K63" s="86"/>
      <c r="L63" s="86"/>
      <c r="M63" s="89" t="s">
        <v>373</v>
      </c>
      <c r="O63" s="6" t="s">
        <v>370</v>
      </c>
    </row>
    <row r="64" spans="1:26" ht="28.7" customHeight="1" x14ac:dyDescent="0.3">
      <c r="A64" s="9" t="s">
        <v>706</v>
      </c>
      <c r="B64" s="9"/>
      <c r="C64" s="87">
        <v>0.26790000000000003</v>
      </c>
      <c r="D64" s="33" t="s">
        <v>688</v>
      </c>
      <c r="E64" s="62">
        <f t="shared" ref="E64:F67" si="8">I64+G64+K64</f>
        <v>49355</v>
      </c>
      <c r="F64" s="91">
        <f t="shared" si="8"/>
        <v>13222.2</v>
      </c>
      <c r="G64" s="59">
        <v>0</v>
      </c>
      <c r="H64" s="91">
        <f>IF(C64=0,0,ROUNDDOWN(G64*C64,1))</f>
        <v>0</v>
      </c>
      <c r="I64" s="59">
        <v>0</v>
      </c>
      <c r="J64" s="92">
        <f>IF(C64=0,0,ROUNDDOWN(I64*C64,1))</f>
        <v>0</v>
      </c>
      <c r="K64" s="93">
        <f>경비목록표!E11</f>
        <v>49355</v>
      </c>
      <c r="L64" s="95">
        <f>IF(C64=0,0,ROUNDDOWN(K64*C64,1))</f>
        <v>13222.2</v>
      </c>
      <c r="M64" s="24" t="s">
        <v>2468</v>
      </c>
      <c r="N64" s="16" t="s">
        <v>2466</v>
      </c>
      <c r="O64" s="6" t="s">
        <v>2467</v>
      </c>
      <c r="P64" s="6" t="s">
        <v>1129</v>
      </c>
      <c r="Z64" s="19" t="str">
        <f ca="1">HYPERLINK("#"&amp;경비목록표!G2&amp;"!A"&amp;ROW(경비목록표!A11),"경비    8 →")</f>
        <v>경비    8 →</v>
      </c>
    </row>
    <row r="65" spans="1:26" ht="28.7" customHeight="1" x14ac:dyDescent="0.3">
      <c r="A65" s="9" t="s">
        <v>671</v>
      </c>
      <c r="B65" s="9"/>
      <c r="C65" s="87">
        <v>1</v>
      </c>
      <c r="D65" s="33" t="s">
        <v>650</v>
      </c>
      <c r="E65" s="62">
        <f t="shared" si="8"/>
        <v>47231</v>
      </c>
      <c r="F65" s="92">
        <f t="shared" si="8"/>
        <v>47231</v>
      </c>
      <c r="G65" s="93">
        <f>환율및기초자료!G7</f>
        <v>47231</v>
      </c>
      <c r="H65" s="94">
        <f>IF(C65=0,0,ROUNDDOWN(G65*C65,1))</f>
        <v>47231</v>
      </c>
      <c r="I65" s="59">
        <v>0</v>
      </c>
      <c r="J65" s="91">
        <f>IF(C65=0,0,ROUNDDOWN(I65*C65,1))</f>
        <v>0</v>
      </c>
      <c r="K65" s="59">
        <v>0</v>
      </c>
      <c r="L65" s="92">
        <f>IF(C65=0,0,ROUNDDOWN(K65*C65,1))</f>
        <v>0</v>
      </c>
      <c r="M65" s="24" t="s">
        <v>2471</v>
      </c>
      <c r="N65" s="16" t="s">
        <v>2469</v>
      </c>
      <c r="O65" s="6" t="s">
        <v>2470</v>
      </c>
      <c r="P65" s="6" t="s">
        <v>1129</v>
      </c>
      <c r="Z65" s="19" t="str">
        <f ca="1">HYPERLINK("#"&amp;환율및기초자료!I2&amp;"!A"&amp;ROW(환율및기초자료!A7),"노무    8 →")</f>
        <v>노무    8 →</v>
      </c>
    </row>
    <row r="66" spans="1:26" ht="28.7" customHeight="1" x14ac:dyDescent="0.3">
      <c r="A66" s="9" t="s">
        <v>438</v>
      </c>
      <c r="B66" s="9" t="s">
        <v>439</v>
      </c>
      <c r="C66" s="87">
        <v>14.1</v>
      </c>
      <c r="D66" s="33" t="s">
        <v>434</v>
      </c>
      <c r="E66" s="62">
        <f t="shared" si="8"/>
        <v>1272</v>
      </c>
      <c r="F66" s="91">
        <f t="shared" si="8"/>
        <v>17935.2</v>
      </c>
      <c r="G66" s="59">
        <v>0</v>
      </c>
      <c r="H66" s="92">
        <f>IF(C66=0,0,ROUNDDOWN(G66*C66,1))</f>
        <v>0</v>
      </c>
      <c r="I66" s="93">
        <f>재료비목록표!E5</f>
        <v>1272</v>
      </c>
      <c r="J66" s="94">
        <f>IF(C66=0,0,ROUNDDOWN(I66*C66,1))</f>
        <v>17935.2</v>
      </c>
      <c r="K66" s="59">
        <v>0</v>
      </c>
      <c r="L66" s="92">
        <f>IF(C66=0,0,ROUNDDOWN(K66*C66,1))</f>
        <v>0</v>
      </c>
      <c r="M66" s="24" t="s">
        <v>2444</v>
      </c>
      <c r="N66" s="16" t="s">
        <v>2442</v>
      </c>
      <c r="O66" s="6" t="s">
        <v>2443</v>
      </c>
      <c r="P66" s="6" t="s">
        <v>1129</v>
      </c>
      <c r="Z66" s="19" t="str">
        <f ca="1">HYPERLINK("#"&amp;재료비목록표!G2&amp;"!A"&amp;ROW(재료비목록표!A5),"자재    2 →")</f>
        <v>자재    2 →</v>
      </c>
    </row>
    <row r="67" spans="1:26" ht="28.7" customHeight="1" x14ac:dyDescent="0.3">
      <c r="A67" s="9" t="s">
        <v>487</v>
      </c>
      <c r="B67" s="9" t="s">
        <v>488</v>
      </c>
      <c r="C67" s="87">
        <v>38</v>
      </c>
      <c r="D67" s="33" t="s">
        <v>483</v>
      </c>
      <c r="E67" s="62">
        <f t="shared" si="8"/>
        <v>17935.2</v>
      </c>
      <c r="F67" s="91">
        <f t="shared" si="8"/>
        <v>6815.3</v>
      </c>
      <c r="G67" s="59">
        <v>0</v>
      </c>
      <c r="H67" s="92">
        <f>IF(C67=0,0,ROUNDDOWN(G67*C67/100,1))</f>
        <v>0</v>
      </c>
      <c r="I67" s="93">
        <f>J66</f>
        <v>17935.2</v>
      </c>
      <c r="J67" s="94">
        <f>IF(C67=0,0,ROUNDDOWN(I67*C67/100,1))</f>
        <v>6815.3</v>
      </c>
      <c r="K67" s="59">
        <v>0</v>
      </c>
      <c r="L67" s="92">
        <f>IF(C67=0,0,ROUNDDOWN(K67*C67/100,1))</f>
        <v>0</v>
      </c>
      <c r="M67" s="24" t="s">
        <v>2447</v>
      </c>
      <c r="N67" s="16" t="s">
        <v>2445</v>
      </c>
      <c r="O67" s="6" t="s">
        <v>2446</v>
      </c>
      <c r="P67" s="6" t="s">
        <v>1129</v>
      </c>
      <c r="Z67" s="19" t="str">
        <f ca="1">HYPERLINK("#"&amp;재료비목록표!G2&amp;"!A"&amp;ROW(재료비목록표!A14),"자재   11 →")</f>
        <v>자재   11 →</v>
      </c>
    </row>
    <row r="68" spans="1:26" ht="28.7" customHeight="1" x14ac:dyDescent="0.3">
      <c r="A68" s="24" t="s">
        <v>6</v>
      </c>
      <c r="B68" s="58"/>
      <c r="C68" s="58"/>
      <c r="D68" s="58"/>
      <c r="E68" s="58"/>
      <c r="F68" s="55">
        <f>J68+H68+L68</f>
        <v>85203</v>
      </c>
      <c r="G68" s="58"/>
      <c r="H68" s="55">
        <f>ROUNDDOWN(SUMIF(P64:P67,O68,H64:H67),0)</f>
        <v>47231</v>
      </c>
      <c r="I68" s="58"/>
      <c r="J68" s="55">
        <f>ROUNDDOWN(SUMIF(P64:P67,O68,J64:J67),0)</f>
        <v>24750</v>
      </c>
      <c r="K68" s="58"/>
      <c r="L68" s="55">
        <f>ROUNDDOWN(SUMIF(P64:P67,O68,L64:L67),0)</f>
        <v>13222</v>
      </c>
      <c r="M68" s="58"/>
      <c r="O68" s="6" t="s">
        <v>1129</v>
      </c>
    </row>
    <row r="69" spans="1:26" ht="28.7" customHeight="1" x14ac:dyDescent="0.3">
      <c r="A69" s="84" t="s">
        <v>55</v>
      </c>
      <c r="B69" s="84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36" t="str">
        <f>HYPERLINK("#N"&amp;ROW(N74),"_x0005_`BDCOD|X00031_x0007_`POSS|"&amp;ROW(N71)&amp;"_x0007_`POSE|"&amp;ROW(N74)&amp;"_x0007_`")</f>
        <v>_x0005_`BDCOD|X00031_x0007_`POSS|71_x0007_`POSE|74_x0007_`</v>
      </c>
    </row>
    <row r="70" spans="1:26" ht="28.7" customHeight="1" x14ac:dyDescent="0.3">
      <c r="A70" s="43" t="s">
        <v>375</v>
      </c>
      <c r="B70" s="43" t="s">
        <v>372</v>
      </c>
      <c r="C70" s="86"/>
      <c r="D70" s="89" t="s">
        <v>347</v>
      </c>
      <c r="E70" s="86"/>
      <c r="F70" s="86"/>
      <c r="G70" s="86"/>
      <c r="H70" s="86"/>
      <c r="I70" s="86"/>
      <c r="J70" s="86"/>
      <c r="K70" s="86"/>
      <c r="L70" s="86"/>
      <c r="M70" s="89" t="s">
        <v>376</v>
      </c>
      <c r="O70" s="6" t="s">
        <v>374</v>
      </c>
    </row>
    <row r="71" spans="1:26" ht="28.7" customHeight="1" x14ac:dyDescent="0.3">
      <c r="A71" s="9" t="s">
        <v>709</v>
      </c>
      <c r="B71" s="9"/>
      <c r="C71" s="87">
        <v>0.26790000000000003</v>
      </c>
      <c r="D71" s="33" t="s">
        <v>688</v>
      </c>
      <c r="E71" s="62">
        <f t="shared" ref="E71:F74" si="9">I71+G71+K71</f>
        <v>86142</v>
      </c>
      <c r="F71" s="91">
        <f t="shared" si="9"/>
        <v>23077.4</v>
      </c>
      <c r="G71" s="59">
        <v>0</v>
      </c>
      <c r="H71" s="91">
        <f>IF(C71=0,0,ROUNDDOWN(G71*C71,1))</f>
        <v>0</v>
      </c>
      <c r="I71" s="59">
        <v>0</v>
      </c>
      <c r="J71" s="92">
        <f>IF(C71=0,0,ROUNDDOWN(I71*C71,1))</f>
        <v>0</v>
      </c>
      <c r="K71" s="93">
        <f>경비목록표!E12</f>
        <v>86142</v>
      </c>
      <c r="L71" s="95">
        <f>IF(C71=0,0,ROUNDDOWN(K71*C71,1))</f>
        <v>23077.4</v>
      </c>
      <c r="M71" s="24" t="s">
        <v>2465</v>
      </c>
      <c r="N71" s="16" t="s">
        <v>2463</v>
      </c>
      <c r="O71" s="6" t="s">
        <v>2464</v>
      </c>
      <c r="P71" s="6" t="s">
        <v>1129</v>
      </c>
      <c r="Z71" s="19" t="str">
        <f ca="1">HYPERLINK("#"&amp;경비목록표!G2&amp;"!A"&amp;ROW(경비목록표!A12),"경비    9 →")</f>
        <v>경비    9 →</v>
      </c>
    </row>
    <row r="72" spans="1:26" ht="28.7" customHeight="1" x14ac:dyDescent="0.3">
      <c r="A72" s="9" t="s">
        <v>668</v>
      </c>
      <c r="B72" s="9"/>
      <c r="C72" s="87">
        <v>1</v>
      </c>
      <c r="D72" s="33" t="s">
        <v>650</v>
      </c>
      <c r="E72" s="62">
        <f t="shared" si="9"/>
        <v>55700</v>
      </c>
      <c r="F72" s="92">
        <f t="shared" si="9"/>
        <v>55700</v>
      </c>
      <c r="G72" s="93">
        <f>환율및기초자료!G6</f>
        <v>55700</v>
      </c>
      <c r="H72" s="94">
        <f>IF(C72=0,0,ROUNDDOWN(G72*C72,1))</f>
        <v>55700</v>
      </c>
      <c r="I72" s="59">
        <v>0</v>
      </c>
      <c r="J72" s="91">
        <f>IF(C72=0,0,ROUNDDOWN(I72*C72,1))</f>
        <v>0</v>
      </c>
      <c r="K72" s="59">
        <v>0</v>
      </c>
      <c r="L72" s="92">
        <f>IF(C72=0,0,ROUNDDOWN(K72*C72,1))</f>
        <v>0</v>
      </c>
      <c r="M72" s="24" t="s">
        <v>2441</v>
      </c>
      <c r="N72" s="16" t="s">
        <v>2439</v>
      </c>
      <c r="O72" s="6" t="s">
        <v>2440</v>
      </c>
      <c r="P72" s="6" t="s">
        <v>1129</v>
      </c>
      <c r="Z72" s="19" t="str">
        <f ca="1">HYPERLINK("#"&amp;환율및기초자료!I2&amp;"!A"&amp;ROW(환율및기초자료!A6),"노무    7 →")</f>
        <v>노무    7 →</v>
      </c>
    </row>
    <row r="73" spans="1:26" ht="28.7" customHeight="1" x14ac:dyDescent="0.3">
      <c r="A73" s="9" t="s">
        <v>438</v>
      </c>
      <c r="B73" s="9" t="s">
        <v>439</v>
      </c>
      <c r="C73" s="87">
        <v>15.9</v>
      </c>
      <c r="D73" s="33" t="s">
        <v>434</v>
      </c>
      <c r="E73" s="62">
        <f t="shared" si="9"/>
        <v>1272</v>
      </c>
      <c r="F73" s="91">
        <f t="shared" si="9"/>
        <v>20224.8</v>
      </c>
      <c r="G73" s="59">
        <v>0</v>
      </c>
      <c r="H73" s="92">
        <f>IF(C73=0,0,ROUNDDOWN(G73*C73,1))</f>
        <v>0</v>
      </c>
      <c r="I73" s="93">
        <f>재료비목록표!E5</f>
        <v>1272</v>
      </c>
      <c r="J73" s="94">
        <f>IF(C73=0,0,ROUNDDOWN(I73*C73,1))</f>
        <v>20224.8</v>
      </c>
      <c r="K73" s="59">
        <v>0</v>
      </c>
      <c r="L73" s="92">
        <f>IF(C73=0,0,ROUNDDOWN(K73*C73,1))</f>
        <v>0</v>
      </c>
      <c r="M73" s="24" t="s">
        <v>2444</v>
      </c>
      <c r="N73" s="16" t="s">
        <v>2442</v>
      </c>
      <c r="O73" s="6" t="s">
        <v>2443</v>
      </c>
      <c r="P73" s="6" t="s">
        <v>1129</v>
      </c>
      <c r="Z73" s="19" t="str">
        <f ca="1">HYPERLINK("#"&amp;재료비목록표!G2&amp;"!A"&amp;ROW(재료비목록표!A5),"자재    2 →")</f>
        <v>자재    2 →</v>
      </c>
    </row>
    <row r="74" spans="1:26" ht="28.7" customHeight="1" x14ac:dyDescent="0.3">
      <c r="A74" s="9" t="s">
        <v>487</v>
      </c>
      <c r="B74" s="9" t="s">
        <v>488</v>
      </c>
      <c r="C74" s="87">
        <v>38</v>
      </c>
      <c r="D74" s="33" t="s">
        <v>483</v>
      </c>
      <c r="E74" s="62">
        <f t="shared" si="9"/>
        <v>20224.8</v>
      </c>
      <c r="F74" s="91">
        <f t="shared" si="9"/>
        <v>7685.4</v>
      </c>
      <c r="G74" s="59">
        <v>0</v>
      </c>
      <c r="H74" s="92">
        <f>IF(C74=0,0,ROUNDDOWN(G74*C74/100,1))</f>
        <v>0</v>
      </c>
      <c r="I74" s="93">
        <f>J73</f>
        <v>20224.8</v>
      </c>
      <c r="J74" s="94">
        <f>IF(C74=0,0,ROUNDDOWN(I74*C74/100,1))</f>
        <v>7685.4</v>
      </c>
      <c r="K74" s="59">
        <v>0</v>
      </c>
      <c r="L74" s="92">
        <f>IF(C74=0,0,ROUNDDOWN(K74*C74/100,1))</f>
        <v>0</v>
      </c>
      <c r="M74" s="24" t="s">
        <v>2447</v>
      </c>
      <c r="N74" s="16" t="s">
        <v>2445</v>
      </c>
      <c r="O74" s="6" t="s">
        <v>2446</v>
      </c>
      <c r="P74" s="6" t="s">
        <v>1129</v>
      </c>
      <c r="Z74" s="19" t="str">
        <f ca="1">HYPERLINK("#"&amp;재료비목록표!G2&amp;"!A"&amp;ROW(재료비목록표!A14),"자재   11 →")</f>
        <v>자재   11 →</v>
      </c>
    </row>
    <row r="75" spans="1:26" ht="28.7" customHeight="1" x14ac:dyDescent="0.3">
      <c r="A75" s="24" t="s">
        <v>6</v>
      </c>
      <c r="B75" s="58"/>
      <c r="C75" s="58"/>
      <c r="D75" s="58"/>
      <c r="E75" s="58"/>
      <c r="F75" s="55">
        <f>J75+H75+L75</f>
        <v>106687</v>
      </c>
      <c r="G75" s="58"/>
      <c r="H75" s="55">
        <f>ROUNDDOWN(SUMIF(P71:P74,O75,H71:H74),0)</f>
        <v>55700</v>
      </c>
      <c r="I75" s="58"/>
      <c r="J75" s="55">
        <f>ROUNDDOWN(SUMIF(P71:P74,O75,J71:J74),0)</f>
        <v>27910</v>
      </c>
      <c r="K75" s="58"/>
      <c r="L75" s="55">
        <f>ROUNDDOWN(SUMIF(P71:P74,O75,L71:L74),0)</f>
        <v>23077</v>
      </c>
      <c r="M75" s="58"/>
      <c r="O75" s="6" t="s">
        <v>1129</v>
      </c>
    </row>
    <row r="76" spans="1:26" ht="28.7" customHeight="1" x14ac:dyDescent="0.3">
      <c r="A76" s="84" t="s">
        <v>59</v>
      </c>
      <c r="B76" s="84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36" t="str">
        <f>HYPERLINK("#N"&amp;ROW(N78),"_x0005_`BDCOD|X00032_x0007_`POSS|"&amp;ROW(N78)&amp;"_x0007_`POSE|"&amp;ROW(N78)&amp;"_x0007_`")</f>
        <v>_x0005_`BDCOD|X00032_x0007_`POSS|78_x0007_`POSE|78_x0007_`</v>
      </c>
    </row>
    <row r="77" spans="1:26" ht="28.7" customHeight="1" x14ac:dyDescent="0.3">
      <c r="A77" s="43" t="s">
        <v>378</v>
      </c>
      <c r="B77" s="43" t="s">
        <v>379</v>
      </c>
      <c r="C77" s="86"/>
      <c r="D77" s="89" t="s">
        <v>347</v>
      </c>
      <c r="E77" s="86"/>
      <c r="F77" s="86"/>
      <c r="G77" s="86"/>
      <c r="H77" s="86"/>
      <c r="I77" s="86"/>
      <c r="J77" s="86"/>
      <c r="K77" s="86"/>
      <c r="L77" s="86"/>
      <c r="M77" s="89" t="s">
        <v>380</v>
      </c>
      <c r="O77" s="6" t="s">
        <v>377</v>
      </c>
    </row>
    <row r="78" spans="1:26" ht="28.7" customHeight="1" x14ac:dyDescent="0.3">
      <c r="A78" s="9" t="s">
        <v>378</v>
      </c>
      <c r="B78" s="9" t="s">
        <v>379</v>
      </c>
      <c r="C78" s="87">
        <v>0.26840000000000003</v>
      </c>
      <c r="D78" s="33" t="s">
        <v>688</v>
      </c>
      <c r="E78" s="62">
        <f>I78+G78+K78</f>
        <v>1546</v>
      </c>
      <c r="F78" s="91">
        <f>J78+H78+L78</f>
        <v>414.9</v>
      </c>
      <c r="G78" s="59">
        <v>0</v>
      </c>
      <c r="H78" s="91">
        <f>IF(C78=0,0,ROUNDDOWN(G78*C78,1))</f>
        <v>0</v>
      </c>
      <c r="I78" s="59">
        <v>0</v>
      </c>
      <c r="J78" s="92">
        <f>IF(C78=0,0,ROUNDDOWN(I78*C78,1))</f>
        <v>0</v>
      </c>
      <c r="K78" s="93">
        <f>경비목록표!E13</f>
        <v>1546</v>
      </c>
      <c r="L78" s="95">
        <f>IF(C78=0,0,ROUNDDOWN(K78*C78,1))</f>
        <v>414.9</v>
      </c>
      <c r="M78" s="24" t="s">
        <v>2474</v>
      </c>
      <c r="N78" s="16" t="s">
        <v>2472</v>
      </c>
      <c r="O78" s="6" t="s">
        <v>2473</v>
      </c>
      <c r="P78" s="6" t="s">
        <v>1129</v>
      </c>
      <c r="Z78" s="19" t="str">
        <f ca="1">HYPERLINK("#"&amp;경비목록표!G2&amp;"!A"&amp;ROW(경비목록표!A13),"경비   10 →")</f>
        <v>경비   10 →</v>
      </c>
    </row>
    <row r="79" spans="1:26" ht="28.7" customHeight="1" x14ac:dyDescent="0.3">
      <c r="A79" s="24" t="s">
        <v>6</v>
      </c>
      <c r="B79" s="58"/>
      <c r="C79" s="58"/>
      <c r="D79" s="58"/>
      <c r="E79" s="58"/>
      <c r="F79" s="55">
        <f>J79+H79+L79</f>
        <v>414</v>
      </c>
      <c r="G79" s="58"/>
      <c r="H79" s="55">
        <f>ROUNDDOWN(SUMIF(P78:P78,O79,H78:H78),0)</f>
        <v>0</v>
      </c>
      <c r="I79" s="58"/>
      <c r="J79" s="55">
        <f>ROUNDDOWN(SUMIF(P78:P78,O79,J78:J78),0)</f>
        <v>0</v>
      </c>
      <c r="K79" s="58"/>
      <c r="L79" s="55">
        <f>ROUNDDOWN(SUMIF(P78:P78,O79,L78:L78),0)</f>
        <v>414</v>
      </c>
      <c r="M79" s="58"/>
      <c r="O79" s="6" t="s">
        <v>1129</v>
      </c>
    </row>
    <row r="80" spans="1:26" ht="28.7" customHeight="1" x14ac:dyDescent="0.3">
      <c r="A80" s="84" t="s">
        <v>64</v>
      </c>
      <c r="B80" s="84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36" t="str">
        <f>HYPERLINK("#N"&amp;ROW(N85),"_x0005_`BDCOD|X00044_x0007_`POSS|"&amp;ROW(N82)&amp;"_x0007_`POSE|"&amp;ROW(N85)&amp;"_x0007_`")</f>
        <v>_x0005_`BDCOD|X00044_x0007_`POSS|82_x0007_`POSE|85_x0007_`</v>
      </c>
    </row>
    <row r="81" spans="1:26" ht="28.7" customHeight="1" x14ac:dyDescent="0.3">
      <c r="A81" s="43" t="s">
        <v>382</v>
      </c>
      <c r="B81" s="43" t="s">
        <v>383</v>
      </c>
      <c r="C81" s="86"/>
      <c r="D81" s="89" t="s">
        <v>347</v>
      </c>
      <c r="E81" s="86"/>
      <c r="F81" s="86"/>
      <c r="G81" s="86"/>
      <c r="H81" s="86"/>
      <c r="I81" s="86"/>
      <c r="J81" s="86"/>
      <c r="K81" s="86"/>
      <c r="L81" s="86"/>
      <c r="M81" s="89" t="s">
        <v>384</v>
      </c>
      <c r="O81" s="6" t="s">
        <v>381</v>
      </c>
    </row>
    <row r="82" spans="1:26" ht="28.7" customHeight="1" x14ac:dyDescent="0.3">
      <c r="A82" s="9" t="s">
        <v>382</v>
      </c>
      <c r="B82" s="9" t="s">
        <v>383</v>
      </c>
      <c r="C82" s="87">
        <v>0.25979999999999998</v>
      </c>
      <c r="D82" s="33" t="s">
        <v>688</v>
      </c>
      <c r="E82" s="62">
        <f t="shared" ref="E82:F85" si="10">I82+G82+K82</f>
        <v>38469</v>
      </c>
      <c r="F82" s="91">
        <f t="shared" si="10"/>
        <v>9994.2000000000007</v>
      </c>
      <c r="G82" s="59">
        <v>0</v>
      </c>
      <c r="H82" s="91">
        <f>IF(C82=0,0,ROUNDDOWN(G82*C82,1))</f>
        <v>0</v>
      </c>
      <c r="I82" s="59">
        <v>0</v>
      </c>
      <c r="J82" s="92">
        <f>IF(C82=0,0,ROUNDDOWN(I82*C82,1))</f>
        <v>0</v>
      </c>
      <c r="K82" s="93">
        <f>경비목록표!E18</f>
        <v>38469</v>
      </c>
      <c r="L82" s="95">
        <f>IF(C82=0,0,ROUNDDOWN(K82*C82,1))</f>
        <v>9994.2000000000007</v>
      </c>
      <c r="M82" s="24" t="s">
        <v>2477</v>
      </c>
      <c r="N82" s="16" t="s">
        <v>2475</v>
      </c>
      <c r="O82" s="6" t="s">
        <v>2476</v>
      </c>
      <c r="P82" s="6" t="s">
        <v>1129</v>
      </c>
      <c r="Z82" s="19" t="str">
        <f ca="1">HYPERLINK("#"&amp;경비목록표!G2&amp;"!A"&amp;ROW(경비목록표!A18),"경비   15 →")</f>
        <v>경비   15 →</v>
      </c>
    </row>
    <row r="83" spans="1:26" ht="28.7" customHeight="1" x14ac:dyDescent="0.3">
      <c r="A83" s="9" t="s">
        <v>671</v>
      </c>
      <c r="B83" s="9"/>
      <c r="C83" s="87">
        <v>1</v>
      </c>
      <c r="D83" s="33" t="s">
        <v>650</v>
      </c>
      <c r="E83" s="62">
        <f t="shared" si="10"/>
        <v>47231</v>
      </c>
      <c r="F83" s="92">
        <f t="shared" si="10"/>
        <v>47231</v>
      </c>
      <c r="G83" s="93">
        <f>환율및기초자료!G7</f>
        <v>47231</v>
      </c>
      <c r="H83" s="94">
        <f>IF(C83=0,0,ROUNDDOWN(G83*C83,1))</f>
        <v>47231</v>
      </c>
      <c r="I83" s="59">
        <v>0</v>
      </c>
      <c r="J83" s="91">
        <f>IF(C83=0,0,ROUNDDOWN(I83*C83,1))</f>
        <v>0</v>
      </c>
      <c r="K83" s="59">
        <v>0</v>
      </c>
      <c r="L83" s="92">
        <f>IF(C83=0,0,ROUNDDOWN(K83*C83,1))</f>
        <v>0</v>
      </c>
      <c r="M83" s="24" t="s">
        <v>2471</v>
      </c>
      <c r="N83" s="16" t="s">
        <v>2469</v>
      </c>
      <c r="O83" s="6" t="s">
        <v>2470</v>
      </c>
      <c r="P83" s="6" t="s">
        <v>1129</v>
      </c>
      <c r="Z83" s="19" t="str">
        <f ca="1">HYPERLINK("#"&amp;환율및기초자료!I2&amp;"!A"&amp;ROW(환율및기초자료!A7),"노무    8 →")</f>
        <v>노무    8 →</v>
      </c>
    </row>
    <row r="84" spans="1:26" ht="28.7" customHeight="1" x14ac:dyDescent="0.3">
      <c r="A84" s="9" t="s">
        <v>438</v>
      </c>
      <c r="B84" s="9" t="s">
        <v>439</v>
      </c>
      <c r="C84" s="87">
        <v>5.0999999999999996</v>
      </c>
      <c r="D84" s="33" t="s">
        <v>434</v>
      </c>
      <c r="E84" s="62">
        <f t="shared" si="10"/>
        <v>1272</v>
      </c>
      <c r="F84" s="91">
        <f t="shared" si="10"/>
        <v>6487.2</v>
      </c>
      <c r="G84" s="59">
        <v>0</v>
      </c>
      <c r="H84" s="92">
        <f>IF(C84=0,0,ROUNDDOWN(G84*C84,1))</f>
        <v>0</v>
      </c>
      <c r="I84" s="93">
        <f>재료비목록표!E5</f>
        <v>1272</v>
      </c>
      <c r="J84" s="94">
        <f>IF(C84=0,0,ROUNDDOWN(I84*C84,1))</f>
        <v>6487.2</v>
      </c>
      <c r="K84" s="59">
        <v>0</v>
      </c>
      <c r="L84" s="92">
        <f>IF(C84=0,0,ROUNDDOWN(K84*C84,1))</f>
        <v>0</v>
      </c>
      <c r="M84" s="24" t="s">
        <v>2444</v>
      </c>
      <c r="N84" s="16" t="s">
        <v>2442</v>
      </c>
      <c r="O84" s="6" t="s">
        <v>2443</v>
      </c>
      <c r="P84" s="6" t="s">
        <v>1129</v>
      </c>
      <c r="Z84" s="19" t="str">
        <f ca="1">HYPERLINK("#"&amp;재료비목록표!G2&amp;"!A"&amp;ROW(재료비목록표!A5),"자재    2 →")</f>
        <v>자재    2 →</v>
      </c>
    </row>
    <row r="85" spans="1:26" ht="28.7" customHeight="1" x14ac:dyDescent="0.3">
      <c r="A85" s="9" t="s">
        <v>487</v>
      </c>
      <c r="B85" s="9" t="s">
        <v>488</v>
      </c>
      <c r="C85" s="87">
        <v>20</v>
      </c>
      <c r="D85" s="33" t="s">
        <v>483</v>
      </c>
      <c r="E85" s="62">
        <f t="shared" si="10"/>
        <v>6487.2</v>
      </c>
      <c r="F85" s="91">
        <f t="shared" si="10"/>
        <v>1297.4000000000001</v>
      </c>
      <c r="G85" s="59">
        <v>0</v>
      </c>
      <c r="H85" s="92">
        <f>IF(C85=0,0,ROUNDDOWN(G85*C85/100,1))</f>
        <v>0</v>
      </c>
      <c r="I85" s="93">
        <f>J84</f>
        <v>6487.2</v>
      </c>
      <c r="J85" s="94">
        <f>IF(C85=0,0,ROUNDDOWN(I85*C85/100,1))</f>
        <v>1297.4000000000001</v>
      </c>
      <c r="K85" s="59">
        <v>0</v>
      </c>
      <c r="L85" s="92">
        <f>IF(C85=0,0,ROUNDDOWN(K85*C85/100,1))</f>
        <v>0</v>
      </c>
      <c r="M85" s="24" t="s">
        <v>2447</v>
      </c>
      <c r="N85" s="16" t="s">
        <v>2445</v>
      </c>
      <c r="O85" s="6" t="s">
        <v>2446</v>
      </c>
      <c r="P85" s="6" t="s">
        <v>1129</v>
      </c>
      <c r="Z85" s="19" t="str">
        <f ca="1">HYPERLINK("#"&amp;재료비목록표!G2&amp;"!A"&amp;ROW(재료비목록표!A14),"자재   11 →")</f>
        <v>자재   11 →</v>
      </c>
    </row>
    <row r="86" spans="1:26" ht="28.7" customHeight="1" x14ac:dyDescent="0.3">
      <c r="A86" s="24" t="s">
        <v>6</v>
      </c>
      <c r="B86" s="58"/>
      <c r="C86" s="58"/>
      <c r="D86" s="58"/>
      <c r="E86" s="58"/>
      <c r="F86" s="55">
        <f>J86+H86+L86</f>
        <v>65009</v>
      </c>
      <c r="G86" s="58"/>
      <c r="H86" s="55">
        <f>ROUNDDOWN(SUMIF(P82:P85,O86,H82:H85),0)</f>
        <v>47231</v>
      </c>
      <c r="I86" s="58"/>
      <c r="J86" s="55">
        <f>ROUNDDOWN(SUMIF(P82:P85,O86,J82:J85),0)</f>
        <v>7784</v>
      </c>
      <c r="K86" s="58"/>
      <c r="L86" s="55">
        <f>ROUNDDOWN(SUMIF(P82:P85,O86,L82:L85),0)</f>
        <v>9994</v>
      </c>
      <c r="M86" s="58"/>
      <c r="O86" s="6" t="s">
        <v>1129</v>
      </c>
    </row>
    <row r="87" spans="1:26" ht="28.7" customHeight="1" x14ac:dyDescent="0.3">
      <c r="A87" s="84" t="s">
        <v>70</v>
      </c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36" t="str">
        <f>HYPERLINK("#N"&amp;ROW(N92),"_x0005_`BDCOD|X00046_x0007_`POSS|"&amp;ROW(N89)&amp;"_x0007_`POSE|"&amp;ROW(N92)&amp;"_x0007_`")</f>
        <v>_x0005_`BDCOD|X00046_x0007_`POSS|89_x0007_`POSE|92_x0007_`</v>
      </c>
    </row>
    <row r="88" spans="1:26" ht="28.7" customHeight="1" x14ac:dyDescent="0.3">
      <c r="A88" s="43" t="s">
        <v>386</v>
      </c>
      <c r="B88" s="43" t="s">
        <v>387</v>
      </c>
      <c r="C88" s="86"/>
      <c r="D88" s="89" t="s">
        <v>347</v>
      </c>
      <c r="E88" s="86"/>
      <c r="F88" s="86"/>
      <c r="G88" s="86"/>
      <c r="H88" s="86"/>
      <c r="I88" s="86"/>
      <c r="J88" s="86"/>
      <c r="K88" s="86"/>
      <c r="L88" s="86"/>
      <c r="M88" s="89" t="s">
        <v>388</v>
      </c>
      <c r="O88" s="6" t="s">
        <v>385</v>
      </c>
    </row>
    <row r="89" spans="1:26" ht="28.7" customHeight="1" x14ac:dyDescent="0.3">
      <c r="A89" s="9" t="s">
        <v>386</v>
      </c>
      <c r="B89" s="9" t="s">
        <v>387</v>
      </c>
      <c r="C89" s="87">
        <v>0.2576</v>
      </c>
      <c r="D89" s="33" t="s">
        <v>688</v>
      </c>
      <c r="E89" s="62">
        <f t="shared" ref="E89:F92" si="11">I89+G89+K89</f>
        <v>63483</v>
      </c>
      <c r="F89" s="91">
        <f t="shared" si="11"/>
        <v>16353.2</v>
      </c>
      <c r="G89" s="59">
        <v>0</v>
      </c>
      <c r="H89" s="91">
        <f>IF(C89=0,0,ROUNDDOWN(G89*C89,1))</f>
        <v>0</v>
      </c>
      <c r="I89" s="59">
        <v>0</v>
      </c>
      <c r="J89" s="92">
        <f>IF(C89=0,0,ROUNDDOWN(I89*C89,1))</f>
        <v>0</v>
      </c>
      <c r="K89" s="93">
        <f>경비목록표!E15</f>
        <v>63483</v>
      </c>
      <c r="L89" s="95">
        <f>IF(C89=0,0,ROUNDDOWN(K89*C89,1))</f>
        <v>16353.2</v>
      </c>
      <c r="M89" s="24" t="s">
        <v>2480</v>
      </c>
      <c r="N89" s="16" t="s">
        <v>2478</v>
      </c>
      <c r="O89" s="6" t="s">
        <v>2479</v>
      </c>
      <c r="P89" s="6" t="s">
        <v>1129</v>
      </c>
      <c r="Z89" s="19" t="str">
        <f ca="1">HYPERLINK("#"&amp;경비목록표!G2&amp;"!A"&amp;ROW(경비목록표!A15),"경비   12 →")</f>
        <v>경비   12 →</v>
      </c>
    </row>
    <row r="90" spans="1:26" ht="28.7" customHeight="1" x14ac:dyDescent="0.3">
      <c r="A90" s="9" t="s">
        <v>668</v>
      </c>
      <c r="B90" s="9"/>
      <c r="C90" s="87">
        <v>1</v>
      </c>
      <c r="D90" s="33" t="s">
        <v>650</v>
      </c>
      <c r="E90" s="62">
        <f t="shared" si="11"/>
        <v>55700</v>
      </c>
      <c r="F90" s="92">
        <f t="shared" si="11"/>
        <v>55700</v>
      </c>
      <c r="G90" s="93">
        <f>환율및기초자료!G6</f>
        <v>55700</v>
      </c>
      <c r="H90" s="94">
        <f>IF(C90=0,0,ROUNDDOWN(G90*C90,1))</f>
        <v>55700</v>
      </c>
      <c r="I90" s="59">
        <v>0</v>
      </c>
      <c r="J90" s="91">
        <f>IF(C90=0,0,ROUNDDOWN(I90*C90,1))</f>
        <v>0</v>
      </c>
      <c r="K90" s="59">
        <v>0</v>
      </c>
      <c r="L90" s="92">
        <f>IF(C90=0,0,ROUNDDOWN(K90*C90,1))</f>
        <v>0</v>
      </c>
      <c r="M90" s="24" t="s">
        <v>2441</v>
      </c>
      <c r="N90" s="16" t="s">
        <v>2439</v>
      </c>
      <c r="O90" s="6" t="s">
        <v>2440</v>
      </c>
      <c r="P90" s="6" t="s">
        <v>1129</v>
      </c>
      <c r="Z90" s="19" t="str">
        <f ca="1">HYPERLINK("#"&amp;환율및기초자료!I2&amp;"!A"&amp;ROW(환율및기초자료!A6),"노무    7 →")</f>
        <v>노무    7 →</v>
      </c>
    </row>
    <row r="91" spans="1:26" ht="28.7" customHeight="1" x14ac:dyDescent="0.3">
      <c r="A91" s="9" t="s">
        <v>438</v>
      </c>
      <c r="B91" s="9" t="s">
        <v>439</v>
      </c>
      <c r="C91" s="87">
        <v>16.5</v>
      </c>
      <c r="D91" s="33" t="s">
        <v>434</v>
      </c>
      <c r="E91" s="62">
        <f t="shared" si="11"/>
        <v>1272</v>
      </c>
      <c r="F91" s="91">
        <f t="shared" si="11"/>
        <v>20988</v>
      </c>
      <c r="G91" s="59">
        <v>0</v>
      </c>
      <c r="H91" s="92">
        <f>IF(C91=0,0,ROUNDDOWN(G91*C91,1))</f>
        <v>0</v>
      </c>
      <c r="I91" s="93">
        <f>재료비목록표!E5</f>
        <v>1272</v>
      </c>
      <c r="J91" s="94">
        <f>IF(C91=0,0,ROUNDDOWN(I91*C91,1))</f>
        <v>20988</v>
      </c>
      <c r="K91" s="59">
        <v>0</v>
      </c>
      <c r="L91" s="92">
        <f>IF(C91=0,0,ROUNDDOWN(K91*C91,1))</f>
        <v>0</v>
      </c>
      <c r="M91" s="24" t="s">
        <v>2444</v>
      </c>
      <c r="N91" s="16" t="s">
        <v>2442</v>
      </c>
      <c r="O91" s="6" t="s">
        <v>2443</v>
      </c>
      <c r="P91" s="6" t="s">
        <v>1129</v>
      </c>
      <c r="Z91" s="19" t="str">
        <f ca="1">HYPERLINK("#"&amp;재료비목록표!G2&amp;"!A"&amp;ROW(재료비목록표!A5),"자재    2 →")</f>
        <v>자재    2 →</v>
      </c>
    </row>
    <row r="92" spans="1:26" ht="28.7" customHeight="1" x14ac:dyDescent="0.3">
      <c r="A92" s="9" t="s">
        <v>487</v>
      </c>
      <c r="B92" s="9" t="s">
        <v>488</v>
      </c>
      <c r="C92" s="87">
        <v>39</v>
      </c>
      <c r="D92" s="33" t="s">
        <v>483</v>
      </c>
      <c r="E92" s="62">
        <f t="shared" si="11"/>
        <v>20988</v>
      </c>
      <c r="F92" s="91">
        <f t="shared" si="11"/>
        <v>8185.3</v>
      </c>
      <c r="G92" s="59">
        <v>0</v>
      </c>
      <c r="H92" s="92">
        <f>IF(C92=0,0,ROUNDDOWN(G92*C92/100,1))</f>
        <v>0</v>
      </c>
      <c r="I92" s="93">
        <f>J91</f>
        <v>20988</v>
      </c>
      <c r="J92" s="94">
        <f>IF(C92=0,0,ROUNDDOWN(I92*C92/100,1))</f>
        <v>8185.3</v>
      </c>
      <c r="K92" s="59">
        <v>0</v>
      </c>
      <c r="L92" s="92">
        <f>IF(C92=0,0,ROUNDDOWN(K92*C92/100,1))</f>
        <v>0</v>
      </c>
      <c r="M92" s="24" t="s">
        <v>2447</v>
      </c>
      <c r="N92" s="16" t="s">
        <v>2445</v>
      </c>
      <c r="O92" s="6" t="s">
        <v>2446</v>
      </c>
      <c r="P92" s="6" t="s">
        <v>1129</v>
      </c>
      <c r="Z92" s="19" t="str">
        <f ca="1">HYPERLINK("#"&amp;재료비목록표!G2&amp;"!A"&amp;ROW(재료비목록표!A14),"자재   11 →")</f>
        <v>자재   11 →</v>
      </c>
    </row>
    <row r="93" spans="1:26" ht="28.7" customHeight="1" x14ac:dyDescent="0.3">
      <c r="A93" s="24" t="s">
        <v>6</v>
      </c>
      <c r="B93" s="58"/>
      <c r="C93" s="58"/>
      <c r="D93" s="58"/>
      <c r="E93" s="58"/>
      <c r="F93" s="55">
        <f>J93+H93+L93</f>
        <v>101226</v>
      </c>
      <c r="G93" s="58"/>
      <c r="H93" s="55">
        <f>ROUNDDOWN(SUMIF(P89:P92,O93,H89:H92),0)</f>
        <v>55700</v>
      </c>
      <c r="I93" s="58"/>
      <c r="J93" s="55">
        <f>ROUNDDOWN(SUMIF(P89:P92,O93,J89:J92),0)</f>
        <v>29173</v>
      </c>
      <c r="K93" s="58"/>
      <c r="L93" s="55">
        <f>ROUNDDOWN(SUMIF(P89:P92,O93,L89:L92),0)</f>
        <v>16353</v>
      </c>
      <c r="M93" s="58"/>
      <c r="O93" s="6" t="s">
        <v>1129</v>
      </c>
    </row>
    <row r="94" spans="1:26" ht="28.7" customHeight="1" x14ac:dyDescent="0.3">
      <c r="A94" s="84" t="s">
        <v>74</v>
      </c>
      <c r="B94" s="84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36" t="str">
        <f>HYPERLINK("#N"&amp;ROW(N99),"_x0005_`BDCOD|X00048_x0007_`POSS|"&amp;ROW(N96)&amp;"_x0007_`POSE|"&amp;ROW(N99)&amp;"_x0007_`")</f>
        <v>_x0005_`BDCOD|X00048_x0007_`POSS|96_x0007_`POSE|99_x0007_`</v>
      </c>
    </row>
    <row r="95" spans="1:26" ht="28.7" customHeight="1" x14ac:dyDescent="0.3">
      <c r="A95" s="43" t="s">
        <v>390</v>
      </c>
      <c r="B95" s="43"/>
      <c r="C95" s="86"/>
      <c r="D95" s="89" t="s">
        <v>347</v>
      </c>
      <c r="E95" s="86"/>
      <c r="F95" s="86"/>
      <c r="G95" s="86"/>
      <c r="H95" s="86"/>
      <c r="I95" s="86"/>
      <c r="J95" s="86"/>
      <c r="K95" s="86"/>
      <c r="L95" s="86"/>
      <c r="M95" s="89" t="s">
        <v>391</v>
      </c>
      <c r="O95" s="6" t="s">
        <v>389</v>
      </c>
    </row>
    <row r="96" spans="1:26" ht="28.7" customHeight="1" x14ac:dyDescent="0.3">
      <c r="A96" s="9" t="s">
        <v>390</v>
      </c>
      <c r="B96" s="9"/>
      <c r="C96" s="87">
        <v>0.3039</v>
      </c>
      <c r="D96" s="33" t="s">
        <v>688</v>
      </c>
      <c r="E96" s="62">
        <f t="shared" ref="E96:F99" si="12">I96+G96+K96</f>
        <v>5409</v>
      </c>
      <c r="F96" s="91">
        <f t="shared" si="12"/>
        <v>1643.7</v>
      </c>
      <c r="G96" s="59">
        <v>0</v>
      </c>
      <c r="H96" s="91">
        <f>IF(C96=0,0,ROUNDDOWN(G96*C96,1))</f>
        <v>0</v>
      </c>
      <c r="I96" s="59">
        <v>0</v>
      </c>
      <c r="J96" s="92">
        <f>IF(C96=0,0,ROUNDDOWN(I96*C96,1))</f>
        <v>0</v>
      </c>
      <c r="K96" s="93">
        <f>경비목록표!E16</f>
        <v>5409</v>
      </c>
      <c r="L96" s="95">
        <f>IF(C96=0,0,ROUNDDOWN(K96*C96,1))</f>
        <v>1643.7</v>
      </c>
      <c r="M96" s="24" t="s">
        <v>2483</v>
      </c>
      <c r="N96" s="16" t="s">
        <v>2481</v>
      </c>
      <c r="O96" s="6" t="s">
        <v>2482</v>
      </c>
      <c r="P96" s="6" t="s">
        <v>1129</v>
      </c>
      <c r="Z96" s="19" t="str">
        <f ca="1">HYPERLINK("#"&amp;경비목록표!G2&amp;"!A"&amp;ROW(경비목록표!A16),"경비   13 →")</f>
        <v>경비   13 →</v>
      </c>
    </row>
    <row r="97" spans="1:26" ht="28.7" customHeight="1" x14ac:dyDescent="0.3">
      <c r="A97" s="9" t="s">
        <v>674</v>
      </c>
      <c r="B97" s="9"/>
      <c r="C97" s="87">
        <v>1</v>
      </c>
      <c r="D97" s="33" t="s">
        <v>650</v>
      </c>
      <c r="E97" s="62">
        <f t="shared" si="12"/>
        <v>33571</v>
      </c>
      <c r="F97" s="92">
        <f t="shared" si="12"/>
        <v>33571</v>
      </c>
      <c r="G97" s="93">
        <f>환율및기초자료!G8</f>
        <v>33571</v>
      </c>
      <c r="H97" s="94">
        <f>IF(C97=0,0,ROUNDDOWN(G97*C97,1))</f>
        <v>33571</v>
      </c>
      <c r="I97" s="59">
        <v>0</v>
      </c>
      <c r="J97" s="91">
        <f>IF(C97=0,0,ROUNDDOWN(I97*C97,1))</f>
        <v>0</v>
      </c>
      <c r="K97" s="59">
        <v>0</v>
      </c>
      <c r="L97" s="92">
        <f>IF(C97=0,0,ROUNDDOWN(K97*C97,1))</f>
        <v>0</v>
      </c>
      <c r="M97" s="24" t="s">
        <v>2486</v>
      </c>
      <c r="N97" s="16" t="s">
        <v>2484</v>
      </c>
      <c r="O97" s="6" t="s">
        <v>2485</v>
      </c>
      <c r="P97" s="6" t="s">
        <v>1129</v>
      </c>
      <c r="Z97" s="19" t="str">
        <f ca="1">HYPERLINK("#"&amp;환율및기초자료!I2&amp;"!A"&amp;ROW(환율및기초자료!A8),"노무    9 →")</f>
        <v>노무    9 →</v>
      </c>
    </row>
    <row r="98" spans="1:26" ht="28.7" customHeight="1" x14ac:dyDescent="0.3">
      <c r="A98" s="9" t="s">
        <v>433</v>
      </c>
      <c r="B98" s="9" t="s">
        <v>204</v>
      </c>
      <c r="C98" s="87">
        <v>3.9</v>
      </c>
      <c r="D98" s="33" t="s">
        <v>434</v>
      </c>
      <c r="E98" s="62">
        <f t="shared" si="12"/>
        <v>1369</v>
      </c>
      <c r="F98" s="91">
        <f t="shared" si="12"/>
        <v>5339.1</v>
      </c>
      <c r="G98" s="59">
        <v>0</v>
      </c>
      <c r="H98" s="92">
        <f>IF(C98=0,0,ROUNDDOWN(G98*C98,1))</f>
        <v>0</v>
      </c>
      <c r="I98" s="93">
        <f>재료비목록표!E4</f>
        <v>1369</v>
      </c>
      <c r="J98" s="94">
        <f>IF(C98=0,0,ROUNDDOWN(I98*C98,1))</f>
        <v>5339.1</v>
      </c>
      <c r="K98" s="59">
        <v>0</v>
      </c>
      <c r="L98" s="92">
        <f>IF(C98=0,0,ROUNDDOWN(K98*C98,1))</f>
        <v>0</v>
      </c>
      <c r="M98" s="24" t="s">
        <v>2489</v>
      </c>
      <c r="N98" s="16" t="s">
        <v>2487</v>
      </c>
      <c r="O98" s="6" t="s">
        <v>2488</v>
      </c>
      <c r="P98" s="6" t="s">
        <v>1129</v>
      </c>
      <c r="Z98" s="19" t="str">
        <f ca="1">HYPERLINK("#"&amp;재료비목록표!G2&amp;"!A"&amp;ROW(재료비목록표!A4),"자재    1 →")</f>
        <v>자재    1 →</v>
      </c>
    </row>
    <row r="99" spans="1:26" ht="28.7" customHeight="1" x14ac:dyDescent="0.3">
      <c r="A99" s="9" t="s">
        <v>497</v>
      </c>
      <c r="B99" s="9" t="s">
        <v>488</v>
      </c>
      <c r="C99" s="87">
        <v>2</v>
      </c>
      <c r="D99" s="33" t="s">
        <v>483</v>
      </c>
      <c r="E99" s="62">
        <f t="shared" si="12"/>
        <v>5339.1</v>
      </c>
      <c r="F99" s="91">
        <f t="shared" si="12"/>
        <v>106.7</v>
      </c>
      <c r="G99" s="59">
        <v>0</v>
      </c>
      <c r="H99" s="92">
        <f>IF(C99=0,0,ROUNDDOWN(G99*C99/100,1))</f>
        <v>0</v>
      </c>
      <c r="I99" s="93">
        <f>J98</f>
        <v>5339.1</v>
      </c>
      <c r="J99" s="94">
        <f>IF(C99=0,0,ROUNDDOWN(I99*C99/100,1))</f>
        <v>106.7</v>
      </c>
      <c r="K99" s="59">
        <v>0</v>
      </c>
      <c r="L99" s="92">
        <f>IF(C99=0,0,ROUNDDOWN(K99*C99/100,1))</f>
        <v>0</v>
      </c>
      <c r="M99" s="24" t="s">
        <v>2492</v>
      </c>
      <c r="N99" s="16" t="s">
        <v>2490</v>
      </c>
      <c r="O99" s="6" t="s">
        <v>2491</v>
      </c>
      <c r="P99" s="6" t="s">
        <v>1129</v>
      </c>
      <c r="Z99" s="19" t="str">
        <f ca="1">HYPERLINK("#"&amp;재료비목록표!G2&amp;"!A"&amp;ROW(재료비목록표!A16),"자재   13 →")</f>
        <v>자재   13 →</v>
      </c>
    </row>
    <row r="100" spans="1:26" ht="28.7" customHeight="1" x14ac:dyDescent="0.3">
      <c r="A100" s="24" t="s">
        <v>6</v>
      </c>
      <c r="B100" s="58"/>
      <c r="C100" s="58"/>
      <c r="D100" s="58"/>
      <c r="E100" s="58"/>
      <c r="F100" s="55">
        <f>J100+H100+L100</f>
        <v>40659</v>
      </c>
      <c r="G100" s="58"/>
      <c r="H100" s="55">
        <f>ROUNDDOWN(SUMIF(P96:P99,O100,H96:H99),0)</f>
        <v>33571</v>
      </c>
      <c r="I100" s="58"/>
      <c r="J100" s="55">
        <f>ROUNDDOWN(SUMIF(P96:P99,O100,J96:J99),0)</f>
        <v>5445</v>
      </c>
      <c r="K100" s="58"/>
      <c r="L100" s="55">
        <f>ROUNDDOWN(SUMIF(P96:P99,O100,L96:L99),0)</f>
        <v>1643</v>
      </c>
      <c r="M100" s="58"/>
      <c r="O100" s="6" t="s">
        <v>1129</v>
      </c>
    </row>
    <row r="101" spans="1:26" ht="28.7" customHeight="1" x14ac:dyDescent="0.3">
      <c r="A101" s="84" t="s">
        <v>78</v>
      </c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36" t="str">
        <f>HYPERLINK("#N"&amp;ROW(N106),"_x0005_`BDCOD|X00055_x0007_`POSS|"&amp;ROW(N103)&amp;"_x0007_`POSE|"&amp;ROW(N106)&amp;"_x0007_`")</f>
        <v>_x0005_`BDCOD|X00055_x0007_`POSS|103_x0007_`POSE|106_x0007_`</v>
      </c>
    </row>
    <row r="102" spans="1:26" ht="28.7" customHeight="1" x14ac:dyDescent="0.3">
      <c r="A102" s="43" t="s">
        <v>393</v>
      </c>
      <c r="B102" s="43" t="s">
        <v>394</v>
      </c>
      <c r="C102" s="86"/>
      <c r="D102" s="89" t="s">
        <v>347</v>
      </c>
      <c r="E102" s="86"/>
      <c r="F102" s="86"/>
      <c r="G102" s="86"/>
      <c r="H102" s="86"/>
      <c r="I102" s="86"/>
      <c r="J102" s="86"/>
      <c r="K102" s="86"/>
      <c r="L102" s="86"/>
      <c r="M102" s="89" t="s">
        <v>395</v>
      </c>
      <c r="O102" s="6" t="s">
        <v>392</v>
      </c>
    </row>
    <row r="103" spans="1:26" ht="28.7" customHeight="1" x14ac:dyDescent="0.3">
      <c r="A103" s="9" t="s">
        <v>722</v>
      </c>
      <c r="B103" s="9" t="s">
        <v>723</v>
      </c>
      <c r="C103" s="87">
        <v>0.15479999999999999</v>
      </c>
      <c r="D103" s="33" t="s">
        <v>688</v>
      </c>
      <c r="E103" s="62">
        <f t="shared" ref="E103:F106" si="13">I103+G103+K103</f>
        <v>150666</v>
      </c>
      <c r="F103" s="91">
        <f t="shared" si="13"/>
        <v>23323</v>
      </c>
      <c r="G103" s="59">
        <v>0</v>
      </c>
      <c r="H103" s="91">
        <f>IF(C103=0,0,ROUNDDOWN(G103*C103,1))</f>
        <v>0</v>
      </c>
      <c r="I103" s="59">
        <v>0</v>
      </c>
      <c r="J103" s="92">
        <f>IF(C103=0,0,ROUNDDOWN(I103*C103,1))</f>
        <v>0</v>
      </c>
      <c r="K103" s="93">
        <f>경비목록표!E17</f>
        <v>150666</v>
      </c>
      <c r="L103" s="95">
        <f>IF(C103=0,0,ROUNDDOWN(K103*C103,1))</f>
        <v>23323</v>
      </c>
      <c r="M103" s="24" t="s">
        <v>2495</v>
      </c>
      <c r="N103" s="16" t="s">
        <v>2493</v>
      </c>
      <c r="O103" s="6" t="s">
        <v>2494</v>
      </c>
      <c r="P103" s="6" t="s">
        <v>1129</v>
      </c>
      <c r="Z103" s="19" t="str">
        <f ca="1">HYPERLINK("#"&amp;경비목록표!G2&amp;"!A"&amp;ROW(경비목록표!A17),"경비   14 →")</f>
        <v>경비   14 →</v>
      </c>
    </row>
    <row r="104" spans="1:26" ht="28.7" customHeight="1" x14ac:dyDescent="0.3">
      <c r="A104" s="9" t="s">
        <v>668</v>
      </c>
      <c r="B104" s="9"/>
      <c r="C104" s="87">
        <v>1</v>
      </c>
      <c r="D104" s="33" t="s">
        <v>650</v>
      </c>
      <c r="E104" s="62">
        <f t="shared" si="13"/>
        <v>55700</v>
      </c>
      <c r="F104" s="92">
        <f t="shared" si="13"/>
        <v>55700</v>
      </c>
      <c r="G104" s="93">
        <f>환율및기초자료!G6</f>
        <v>55700</v>
      </c>
      <c r="H104" s="94">
        <f>IF(C104=0,0,ROUNDDOWN(G104*C104,1))</f>
        <v>55700</v>
      </c>
      <c r="I104" s="59">
        <v>0</v>
      </c>
      <c r="J104" s="91">
        <f>IF(C104=0,0,ROUNDDOWN(I104*C104,1))</f>
        <v>0</v>
      </c>
      <c r="K104" s="59">
        <v>0</v>
      </c>
      <c r="L104" s="92">
        <f>IF(C104=0,0,ROUNDDOWN(K104*C104,1))</f>
        <v>0</v>
      </c>
      <c r="M104" s="24" t="s">
        <v>2441</v>
      </c>
      <c r="N104" s="16" t="s">
        <v>2439</v>
      </c>
      <c r="O104" s="6" t="s">
        <v>2440</v>
      </c>
      <c r="P104" s="6" t="s">
        <v>1129</v>
      </c>
      <c r="Z104" s="19" t="str">
        <f ca="1">HYPERLINK("#"&amp;환율및기초자료!I2&amp;"!A"&amp;ROW(환율및기초자료!A6),"노무    7 →")</f>
        <v>노무    7 →</v>
      </c>
    </row>
    <row r="105" spans="1:26" ht="28.7" customHeight="1" x14ac:dyDescent="0.3">
      <c r="A105" s="9" t="s">
        <v>438</v>
      </c>
      <c r="B105" s="9" t="s">
        <v>439</v>
      </c>
      <c r="C105" s="87">
        <v>18.600000000000001</v>
      </c>
      <c r="D105" s="33" t="s">
        <v>434</v>
      </c>
      <c r="E105" s="62">
        <f t="shared" si="13"/>
        <v>1272</v>
      </c>
      <c r="F105" s="91">
        <f t="shared" si="13"/>
        <v>23659.200000000001</v>
      </c>
      <c r="G105" s="59">
        <v>0</v>
      </c>
      <c r="H105" s="92">
        <f>IF(C105=0,0,ROUNDDOWN(G105*C105,1))</f>
        <v>0</v>
      </c>
      <c r="I105" s="93">
        <f>재료비목록표!E5</f>
        <v>1272</v>
      </c>
      <c r="J105" s="94">
        <f>IF(C105=0,0,ROUNDDOWN(I105*C105,1))</f>
        <v>23659.200000000001</v>
      </c>
      <c r="K105" s="59">
        <v>0</v>
      </c>
      <c r="L105" s="92">
        <f>IF(C105=0,0,ROUNDDOWN(K105*C105,1))</f>
        <v>0</v>
      </c>
      <c r="M105" s="24" t="s">
        <v>2444</v>
      </c>
      <c r="N105" s="16" t="s">
        <v>2442</v>
      </c>
      <c r="O105" s="6" t="s">
        <v>2443</v>
      </c>
      <c r="P105" s="6" t="s">
        <v>1129</v>
      </c>
      <c r="Z105" s="19" t="str">
        <f ca="1">HYPERLINK("#"&amp;재료비목록표!G2&amp;"!A"&amp;ROW(재료비목록표!A5),"자재    2 →")</f>
        <v>자재    2 →</v>
      </c>
    </row>
    <row r="106" spans="1:26" ht="28.7" customHeight="1" x14ac:dyDescent="0.3">
      <c r="A106" s="9" t="s">
        <v>481</v>
      </c>
      <c r="B106" s="9" t="s">
        <v>482</v>
      </c>
      <c r="C106" s="87">
        <v>23</v>
      </c>
      <c r="D106" s="33" t="s">
        <v>483</v>
      </c>
      <c r="E106" s="62">
        <f t="shared" si="13"/>
        <v>23659.200000000001</v>
      </c>
      <c r="F106" s="91">
        <f t="shared" si="13"/>
        <v>5441.6</v>
      </c>
      <c r="G106" s="59">
        <v>0</v>
      </c>
      <c r="H106" s="91">
        <f>IF(C106=0,0,ROUNDDOWN(G106*C106/100,1))</f>
        <v>0</v>
      </c>
      <c r="I106" s="59">
        <v>23659.200000000001</v>
      </c>
      <c r="J106" s="91">
        <f>IF(C106=0,0,ROUNDDOWN(I106*C106/100,1))</f>
        <v>5441.6</v>
      </c>
      <c r="K106" s="59">
        <v>0</v>
      </c>
      <c r="L106" s="92">
        <f>IF(C106=0,0,ROUNDDOWN(K106*C106/100,1))</f>
        <v>0</v>
      </c>
      <c r="M106" s="24" t="s">
        <v>2498</v>
      </c>
      <c r="N106" s="16" t="s">
        <v>2496</v>
      </c>
      <c r="O106" s="6" t="s">
        <v>2497</v>
      </c>
      <c r="P106" s="6" t="s">
        <v>1129</v>
      </c>
      <c r="Z106" s="19" t="str">
        <f ca="1">HYPERLINK("#"&amp;재료비목록표!G2&amp;"!A"&amp;ROW(재료비목록표!A13),"자재   10 →")</f>
        <v>자재   10 →</v>
      </c>
    </row>
    <row r="107" spans="1:26" ht="28.7" customHeight="1" x14ac:dyDescent="0.3">
      <c r="A107" s="24" t="s">
        <v>6</v>
      </c>
      <c r="B107" s="58"/>
      <c r="C107" s="58"/>
      <c r="D107" s="58"/>
      <c r="E107" s="58"/>
      <c r="F107" s="55">
        <f>J107+H107+L107</f>
        <v>108123</v>
      </c>
      <c r="G107" s="58"/>
      <c r="H107" s="55">
        <f>ROUNDDOWN(SUMIF(P103:P106,O107,H103:H106),0)</f>
        <v>55700</v>
      </c>
      <c r="I107" s="58"/>
      <c r="J107" s="55">
        <f>ROUNDDOWN(SUMIF(P103:P106,O107,J103:J106),0)</f>
        <v>29100</v>
      </c>
      <c r="K107" s="58"/>
      <c r="L107" s="55">
        <f>ROUNDDOWN(SUMIF(P103:P106,O107,L103:L106),0)</f>
        <v>23323</v>
      </c>
      <c r="M107" s="58"/>
      <c r="O107" s="6" t="s">
        <v>1129</v>
      </c>
    </row>
    <row r="108" spans="1:26" ht="28.7" customHeight="1" x14ac:dyDescent="0.3">
      <c r="A108" s="84" t="s">
        <v>82</v>
      </c>
      <c r="B108" s="84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36" t="str">
        <f>HYPERLINK("#N"&amp;ROW(N113),"_x0005_`BDCOD|X00074_x0007_`POSS|"&amp;ROW(N110)&amp;"_x0007_`POSE|"&amp;ROW(N113)&amp;"_x0007_`")</f>
        <v>_x0005_`BDCOD|X00074_x0007_`POSS|110_x0007_`POSE|113_x0007_`</v>
      </c>
    </row>
    <row r="109" spans="1:26" ht="28.7" customHeight="1" x14ac:dyDescent="0.3">
      <c r="A109" s="43" t="s">
        <v>397</v>
      </c>
      <c r="B109" s="43"/>
      <c r="C109" s="86"/>
      <c r="D109" s="89" t="s">
        <v>347</v>
      </c>
      <c r="E109" s="86"/>
      <c r="F109" s="86"/>
      <c r="G109" s="86"/>
      <c r="H109" s="86"/>
      <c r="I109" s="86"/>
      <c r="J109" s="86"/>
      <c r="K109" s="86"/>
      <c r="L109" s="86"/>
      <c r="M109" s="89" t="s">
        <v>398</v>
      </c>
      <c r="O109" s="6" t="s">
        <v>396</v>
      </c>
    </row>
    <row r="110" spans="1:26" ht="28.7" customHeight="1" x14ac:dyDescent="0.3">
      <c r="A110" s="9" t="s">
        <v>736</v>
      </c>
      <c r="B110" s="9"/>
      <c r="C110" s="87">
        <v>0.29670000000000002</v>
      </c>
      <c r="D110" s="33" t="s">
        <v>688</v>
      </c>
      <c r="E110" s="62">
        <f t="shared" ref="E110:F113" si="14">I110+G110+K110</f>
        <v>20793</v>
      </c>
      <c r="F110" s="91">
        <f t="shared" si="14"/>
        <v>6169.2</v>
      </c>
      <c r="G110" s="59">
        <v>0</v>
      </c>
      <c r="H110" s="91">
        <f>IF(C110=0,0,ROUNDDOWN(G110*C110,1))</f>
        <v>0</v>
      </c>
      <c r="I110" s="59">
        <v>0</v>
      </c>
      <c r="J110" s="92">
        <f>IF(C110=0,0,ROUNDDOWN(I110*C110,1))</f>
        <v>0</v>
      </c>
      <c r="K110" s="93">
        <f>경비목록표!E21</f>
        <v>20793</v>
      </c>
      <c r="L110" s="95">
        <f>IF(C110=0,0,ROUNDDOWN(K110*C110,1))</f>
        <v>6169.2</v>
      </c>
      <c r="M110" s="24" t="s">
        <v>2501</v>
      </c>
      <c r="N110" s="16" t="s">
        <v>2499</v>
      </c>
      <c r="O110" s="6" t="s">
        <v>2500</v>
      </c>
      <c r="P110" s="6" t="s">
        <v>1129</v>
      </c>
      <c r="Z110" s="19" t="str">
        <f ca="1">HYPERLINK("#"&amp;경비목록표!G2&amp;"!A"&amp;ROW(경비목록표!A21),"경비   18 →")</f>
        <v>경비   18 →</v>
      </c>
    </row>
    <row r="111" spans="1:26" ht="28.7" customHeight="1" x14ac:dyDescent="0.3">
      <c r="A111" s="9" t="s">
        <v>671</v>
      </c>
      <c r="B111" s="9"/>
      <c r="C111" s="87">
        <v>1</v>
      </c>
      <c r="D111" s="33" t="s">
        <v>650</v>
      </c>
      <c r="E111" s="62">
        <f t="shared" si="14"/>
        <v>47231</v>
      </c>
      <c r="F111" s="92">
        <f t="shared" si="14"/>
        <v>47231</v>
      </c>
      <c r="G111" s="93">
        <f>환율및기초자료!G7</f>
        <v>47231</v>
      </c>
      <c r="H111" s="94">
        <f>IF(C111=0,0,ROUNDDOWN(G111*C111,1))</f>
        <v>47231</v>
      </c>
      <c r="I111" s="59">
        <v>0</v>
      </c>
      <c r="J111" s="91">
        <f>IF(C111=0,0,ROUNDDOWN(I111*C111,1))</f>
        <v>0</v>
      </c>
      <c r="K111" s="59">
        <v>0</v>
      </c>
      <c r="L111" s="92">
        <f>IF(C111=0,0,ROUNDDOWN(K111*C111,1))</f>
        <v>0</v>
      </c>
      <c r="M111" s="24" t="s">
        <v>2471</v>
      </c>
      <c r="N111" s="16" t="s">
        <v>2469</v>
      </c>
      <c r="O111" s="6" t="s">
        <v>2470</v>
      </c>
      <c r="P111" s="6" t="s">
        <v>1129</v>
      </c>
      <c r="Z111" s="19" t="str">
        <f ca="1">HYPERLINK("#"&amp;환율및기초자료!I2&amp;"!A"&amp;ROW(환율및기초자료!A7),"노무    8 →")</f>
        <v>노무    8 →</v>
      </c>
    </row>
    <row r="112" spans="1:26" ht="28.7" customHeight="1" x14ac:dyDescent="0.3">
      <c r="A112" s="9" t="s">
        <v>438</v>
      </c>
      <c r="B112" s="9" t="s">
        <v>439</v>
      </c>
      <c r="C112" s="87">
        <v>2.9</v>
      </c>
      <c r="D112" s="33" t="s">
        <v>434</v>
      </c>
      <c r="E112" s="62">
        <f t="shared" si="14"/>
        <v>1272</v>
      </c>
      <c r="F112" s="91">
        <f t="shared" si="14"/>
        <v>3688.8</v>
      </c>
      <c r="G112" s="59">
        <v>0</v>
      </c>
      <c r="H112" s="92">
        <f>IF(C112=0,0,ROUNDDOWN(G112*C112,1))</f>
        <v>0</v>
      </c>
      <c r="I112" s="93">
        <f>재료비목록표!E5</f>
        <v>1272</v>
      </c>
      <c r="J112" s="94">
        <f>IF(C112=0,0,ROUNDDOWN(I112*C112,1))</f>
        <v>3688.8</v>
      </c>
      <c r="K112" s="59">
        <v>0</v>
      </c>
      <c r="L112" s="92">
        <f>IF(C112=0,0,ROUNDDOWN(K112*C112,1))</f>
        <v>0</v>
      </c>
      <c r="M112" s="24" t="s">
        <v>2444</v>
      </c>
      <c r="N112" s="16" t="s">
        <v>2442</v>
      </c>
      <c r="O112" s="6" t="s">
        <v>2443</v>
      </c>
      <c r="P112" s="6" t="s">
        <v>1129</v>
      </c>
      <c r="Z112" s="19" t="str">
        <f ca="1">HYPERLINK("#"&amp;재료비목록표!G2&amp;"!A"&amp;ROW(재료비목록표!A5),"자재    2 →")</f>
        <v>자재    2 →</v>
      </c>
    </row>
    <row r="113" spans="1:26" ht="28.7" customHeight="1" x14ac:dyDescent="0.3">
      <c r="A113" s="9" t="s">
        <v>487</v>
      </c>
      <c r="B113" s="9" t="s">
        <v>488</v>
      </c>
      <c r="C113" s="87">
        <v>38</v>
      </c>
      <c r="D113" s="33" t="s">
        <v>483</v>
      </c>
      <c r="E113" s="62">
        <f t="shared" si="14"/>
        <v>3688.8</v>
      </c>
      <c r="F113" s="91">
        <f t="shared" si="14"/>
        <v>1401.7</v>
      </c>
      <c r="G113" s="59">
        <v>0</v>
      </c>
      <c r="H113" s="92">
        <f>IF(C113=0,0,ROUNDDOWN(G113*C113/100,1))</f>
        <v>0</v>
      </c>
      <c r="I113" s="93">
        <f>J112</f>
        <v>3688.8</v>
      </c>
      <c r="J113" s="94">
        <f>IF(C113=0,0,ROUNDDOWN(I113*C113/100,1))</f>
        <v>1401.7</v>
      </c>
      <c r="K113" s="59">
        <v>0</v>
      </c>
      <c r="L113" s="92">
        <f>IF(C113=0,0,ROUNDDOWN(K113*C113/100,1))</f>
        <v>0</v>
      </c>
      <c r="M113" s="24" t="s">
        <v>2447</v>
      </c>
      <c r="N113" s="16" t="s">
        <v>2445</v>
      </c>
      <c r="O113" s="6" t="s">
        <v>2446</v>
      </c>
      <c r="P113" s="6" t="s">
        <v>1129</v>
      </c>
      <c r="Z113" s="19" t="str">
        <f ca="1">HYPERLINK("#"&amp;재료비목록표!G2&amp;"!A"&amp;ROW(재료비목록표!A14),"자재   11 →")</f>
        <v>자재   11 →</v>
      </c>
    </row>
    <row r="114" spans="1:26" ht="28.7" customHeight="1" x14ac:dyDescent="0.3">
      <c r="A114" s="24" t="s">
        <v>6</v>
      </c>
      <c r="B114" s="58"/>
      <c r="C114" s="58"/>
      <c r="D114" s="58"/>
      <c r="E114" s="58"/>
      <c r="F114" s="55">
        <f>J114+H114+L114</f>
        <v>58490</v>
      </c>
      <c r="G114" s="58"/>
      <c r="H114" s="55">
        <f>ROUNDDOWN(SUMIF(P110:P113,O114,H110:H113),0)</f>
        <v>47231</v>
      </c>
      <c r="I114" s="58"/>
      <c r="J114" s="55">
        <f>ROUNDDOWN(SUMIF(P110:P113,O114,J110:J113),0)</f>
        <v>5090</v>
      </c>
      <c r="K114" s="58"/>
      <c r="L114" s="55">
        <f>ROUNDDOWN(SUMIF(P110:P113,O114,L110:L113),0)</f>
        <v>6169</v>
      </c>
      <c r="M114" s="58"/>
      <c r="O114" s="6" t="s">
        <v>1129</v>
      </c>
    </row>
    <row r="115" spans="1:26" ht="28.7" customHeight="1" x14ac:dyDescent="0.3">
      <c r="A115" s="84" t="s">
        <v>85</v>
      </c>
      <c r="B115" s="84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36" t="str">
        <f>HYPERLINK("#N"&amp;ROW(N120),"_x0005_`BDCOD|X00084_x0007_`POSS|"&amp;ROW(N117)&amp;"_x0007_`POSE|"&amp;ROW(N120)&amp;"_x0007_`")</f>
        <v>_x0005_`BDCOD|X00084_x0007_`POSS|117_x0007_`POSE|120_x0007_`</v>
      </c>
    </row>
    <row r="116" spans="1:26" ht="28.7" customHeight="1" x14ac:dyDescent="0.3">
      <c r="A116" s="43" t="s">
        <v>345</v>
      </c>
      <c r="B116" s="43" t="s">
        <v>400</v>
      </c>
      <c r="C116" s="86"/>
      <c r="D116" s="89" t="s">
        <v>347</v>
      </c>
      <c r="E116" s="86"/>
      <c r="F116" s="86"/>
      <c r="G116" s="86"/>
      <c r="H116" s="86"/>
      <c r="I116" s="86"/>
      <c r="J116" s="86"/>
      <c r="K116" s="86"/>
      <c r="L116" s="86"/>
      <c r="M116" s="89" t="s">
        <v>401</v>
      </c>
      <c r="O116" s="6" t="s">
        <v>399</v>
      </c>
    </row>
    <row r="117" spans="1:26" ht="28.7" customHeight="1" x14ac:dyDescent="0.3">
      <c r="A117" s="9" t="s">
        <v>687</v>
      </c>
      <c r="B117" s="9"/>
      <c r="C117" s="87">
        <v>0.2077</v>
      </c>
      <c r="D117" s="33" t="s">
        <v>688</v>
      </c>
      <c r="E117" s="62">
        <f t="shared" ref="E117:F120" si="15">I117+G117+K117</f>
        <v>184499</v>
      </c>
      <c r="F117" s="91">
        <f t="shared" si="15"/>
        <v>38320.400000000001</v>
      </c>
      <c r="G117" s="59">
        <v>0</v>
      </c>
      <c r="H117" s="91">
        <f>IF(C117=0,0,ROUNDDOWN(G117*C117,1))</f>
        <v>0</v>
      </c>
      <c r="I117" s="59">
        <v>0</v>
      </c>
      <c r="J117" s="92">
        <f>IF(C117=0,0,ROUNDDOWN(I117*C117,1))</f>
        <v>0</v>
      </c>
      <c r="K117" s="93">
        <f>경비목록표!E4</f>
        <v>184499</v>
      </c>
      <c r="L117" s="95">
        <f>IF(C117=0,0,ROUNDDOWN(K117*C117,1))</f>
        <v>38320.400000000001</v>
      </c>
      <c r="M117" s="24" t="s">
        <v>2438</v>
      </c>
      <c r="N117" s="16" t="s">
        <v>2436</v>
      </c>
      <c r="O117" s="6" t="s">
        <v>2437</v>
      </c>
      <c r="P117" s="6" t="s">
        <v>1129</v>
      </c>
      <c r="Z117" s="19" t="str">
        <f ca="1">HYPERLINK("#"&amp;경비목록표!G2&amp;"!A"&amp;ROW(경비목록표!A4),"경비    1 →")</f>
        <v>경비    1 →</v>
      </c>
    </row>
    <row r="118" spans="1:26" ht="28.7" customHeight="1" x14ac:dyDescent="0.3">
      <c r="A118" s="9" t="s">
        <v>668</v>
      </c>
      <c r="B118" s="9"/>
      <c r="C118" s="87">
        <v>1</v>
      </c>
      <c r="D118" s="33" t="s">
        <v>650</v>
      </c>
      <c r="E118" s="62">
        <f t="shared" si="15"/>
        <v>55700</v>
      </c>
      <c r="F118" s="92">
        <f t="shared" si="15"/>
        <v>55700</v>
      </c>
      <c r="G118" s="93">
        <f>환율및기초자료!G6</f>
        <v>55700</v>
      </c>
      <c r="H118" s="94">
        <f>IF(C118=0,0,ROUNDDOWN(G118*C118,1))</f>
        <v>55700</v>
      </c>
      <c r="I118" s="59">
        <v>0</v>
      </c>
      <c r="J118" s="91">
        <f>IF(C118=0,0,ROUNDDOWN(I118*C118,1))</f>
        <v>0</v>
      </c>
      <c r="K118" s="59">
        <v>0</v>
      </c>
      <c r="L118" s="92">
        <f>IF(C118=0,0,ROUNDDOWN(K118*C118,1))</f>
        <v>0</v>
      </c>
      <c r="M118" s="24" t="s">
        <v>2441</v>
      </c>
      <c r="N118" s="16" t="s">
        <v>2439</v>
      </c>
      <c r="O118" s="6" t="s">
        <v>2440</v>
      </c>
      <c r="P118" s="6" t="s">
        <v>1129</v>
      </c>
      <c r="Z118" s="19" t="str">
        <f ca="1">HYPERLINK("#"&amp;환율및기초자료!I2&amp;"!A"&amp;ROW(환율및기초자료!A6),"노무    7 →")</f>
        <v>노무    7 →</v>
      </c>
    </row>
    <row r="119" spans="1:26" ht="28.7" customHeight="1" x14ac:dyDescent="0.3">
      <c r="A119" s="9" t="s">
        <v>438</v>
      </c>
      <c r="B119" s="9" t="s">
        <v>439</v>
      </c>
      <c r="C119" s="87">
        <v>25</v>
      </c>
      <c r="D119" s="33" t="s">
        <v>434</v>
      </c>
      <c r="E119" s="62">
        <f t="shared" si="15"/>
        <v>1272</v>
      </c>
      <c r="F119" s="91">
        <f t="shared" si="15"/>
        <v>31800</v>
      </c>
      <c r="G119" s="59">
        <v>0</v>
      </c>
      <c r="H119" s="92">
        <f>IF(C119=0,0,ROUNDDOWN(G119*C119,1))</f>
        <v>0</v>
      </c>
      <c r="I119" s="93">
        <f>재료비목록표!E5</f>
        <v>1272</v>
      </c>
      <c r="J119" s="94">
        <f>IF(C119=0,0,ROUNDDOWN(I119*C119,1))</f>
        <v>31800</v>
      </c>
      <c r="K119" s="59">
        <v>0</v>
      </c>
      <c r="L119" s="92">
        <f>IF(C119=0,0,ROUNDDOWN(K119*C119,1))</f>
        <v>0</v>
      </c>
      <c r="M119" s="24" t="s">
        <v>2444</v>
      </c>
      <c r="N119" s="16" t="s">
        <v>2442</v>
      </c>
      <c r="O119" s="6" t="s">
        <v>2443</v>
      </c>
      <c r="P119" s="6" t="s">
        <v>1129</v>
      </c>
      <c r="Z119" s="19" t="str">
        <f ca="1">HYPERLINK("#"&amp;재료비목록표!G2&amp;"!A"&amp;ROW(재료비목록표!A5),"자재    2 →")</f>
        <v>자재    2 →</v>
      </c>
    </row>
    <row r="120" spans="1:26" ht="28.7" customHeight="1" x14ac:dyDescent="0.3">
      <c r="A120" s="9" t="s">
        <v>487</v>
      </c>
      <c r="B120" s="9" t="s">
        <v>488</v>
      </c>
      <c r="C120" s="87">
        <v>16</v>
      </c>
      <c r="D120" s="33" t="s">
        <v>483</v>
      </c>
      <c r="E120" s="62">
        <f t="shared" si="15"/>
        <v>31800</v>
      </c>
      <c r="F120" s="91">
        <f t="shared" si="15"/>
        <v>5088</v>
      </c>
      <c r="G120" s="59">
        <v>0</v>
      </c>
      <c r="H120" s="92">
        <f>IF(C120=0,0,ROUNDDOWN(G120*C120/100,1))</f>
        <v>0</v>
      </c>
      <c r="I120" s="93">
        <f>J119</f>
        <v>31800</v>
      </c>
      <c r="J120" s="94">
        <f>IF(C120=0,0,ROUNDDOWN(I120*C120/100,1))</f>
        <v>5088</v>
      </c>
      <c r="K120" s="59">
        <v>0</v>
      </c>
      <c r="L120" s="92">
        <f>IF(C120=0,0,ROUNDDOWN(K120*C120/100,1))</f>
        <v>0</v>
      </c>
      <c r="M120" s="24" t="s">
        <v>2447</v>
      </c>
      <c r="N120" s="16" t="s">
        <v>2445</v>
      </c>
      <c r="O120" s="6" t="s">
        <v>2446</v>
      </c>
      <c r="P120" s="6" t="s">
        <v>1129</v>
      </c>
      <c r="Z120" s="19" t="str">
        <f ca="1">HYPERLINK("#"&amp;재료비목록표!G2&amp;"!A"&amp;ROW(재료비목록표!A14),"자재   11 →")</f>
        <v>자재   11 →</v>
      </c>
    </row>
    <row r="121" spans="1:26" ht="28.7" customHeight="1" x14ac:dyDescent="0.3">
      <c r="A121" s="24" t="s">
        <v>6</v>
      </c>
      <c r="B121" s="58"/>
      <c r="C121" s="58"/>
      <c r="D121" s="58"/>
      <c r="E121" s="58"/>
      <c r="F121" s="55">
        <f>J121+H121+L121</f>
        <v>130908</v>
      </c>
      <c r="G121" s="58"/>
      <c r="H121" s="55">
        <f>ROUNDDOWN(SUMIF(P117:P120,O121,H117:H120),0)</f>
        <v>55700</v>
      </c>
      <c r="I121" s="58"/>
      <c r="J121" s="55">
        <f>ROUNDDOWN(SUMIF(P117:P120,O121,J117:J120),0)</f>
        <v>36888</v>
      </c>
      <c r="K121" s="58"/>
      <c r="L121" s="55">
        <f>ROUNDDOWN(SUMIF(P117:P120,O121,L117:L120),0)</f>
        <v>38320</v>
      </c>
      <c r="M121" s="58"/>
      <c r="O121" s="6" t="s">
        <v>1129</v>
      </c>
    </row>
    <row r="122" spans="1:26" ht="28.7" customHeight="1" x14ac:dyDescent="0.3">
      <c r="A122" s="84" t="s">
        <v>90</v>
      </c>
      <c r="B122" s="84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36" t="str">
        <f>HYPERLINK("#N"&amp;ROW(N124),"_x0005_`BDCOD|X00086_x0007_`POSS|"&amp;ROW(N124)&amp;"_x0007_`POSE|"&amp;ROW(N124)&amp;"_x0007_`")</f>
        <v>_x0005_`BDCOD|X00086_x0007_`POSS|124_x0007_`POSE|124_x0007_`</v>
      </c>
    </row>
    <row r="123" spans="1:26" ht="28.7" customHeight="1" x14ac:dyDescent="0.3">
      <c r="A123" s="43" t="s">
        <v>378</v>
      </c>
      <c r="B123" s="43" t="s">
        <v>403</v>
      </c>
      <c r="C123" s="86"/>
      <c r="D123" s="89" t="s">
        <v>347</v>
      </c>
      <c r="E123" s="86"/>
      <c r="F123" s="86"/>
      <c r="G123" s="86"/>
      <c r="H123" s="86"/>
      <c r="I123" s="86"/>
      <c r="J123" s="86"/>
      <c r="K123" s="86"/>
      <c r="L123" s="86"/>
      <c r="M123" s="89" t="s">
        <v>404</v>
      </c>
      <c r="O123" s="6" t="s">
        <v>402</v>
      </c>
    </row>
    <row r="124" spans="1:26" ht="28.7" customHeight="1" x14ac:dyDescent="0.3">
      <c r="A124" s="9" t="s">
        <v>378</v>
      </c>
      <c r="B124" s="9" t="s">
        <v>403</v>
      </c>
      <c r="C124" s="87">
        <v>0.26840000000000003</v>
      </c>
      <c r="D124" s="33" t="s">
        <v>688</v>
      </c>
      <c r="E124" s="62">
        <f>I124+G124+K124</f>
        <v>1794</v>
      </c>
      <c r="F124" s="91">
        <f>J124+H124+L124</f>
        <v>481.5</v>
      </c>
      <c r="G124" s="59">
        <v>0</v>
      </c>
      <c r="H124" s="91">
        <f>IF(C124=0,0,ROUNDDOWN(G124*C124,1))</f>
        <v>0</v>
      </c>
      <c r="I124" s="59">
        <v>0</v>
      </c>
      <c r="J124" s="92">
        <f>IF(C124=0,0,ROUNDDOWN(I124*C124,1))</f>
        <v>0</v>
      </c>
      <c r="K124" s="93">
        <f>경비목록표!E24</f>
        <v>1794</v>
      </c>
      <c r="L124" s="95">
        <f>IF(C124=0,0,ROUNDDOWN(K124*C124,1))</f>
        <v>481.5</v>
      </c>
      <c r="M124" s="24" t="s">
        <v>2503</v>
      </c>
      <c r="N124" s="16" t="s">
        <v>2502</v>
      </c>
      <c r="O124" s="6" t="s">
        <v>2286</v>
      </c>
      <c r="P124" s="6" t="s">
        <v>1129</v>
      </c>
      <c r="Z124" s="19" t="str">
        <f ca="1">HYPERLINK("#"&amp;경비목록표!G2&amp;"!A"&amp;ROW(경비목록표!A24),"경비   21 →")</f>
        <v>경비   21 →</v>
      </c>
    </row>
    <row r="125" spans="1:26" ht="28.7" customHeight="1" x14ac:dyDescent="0.3">
      <c r="A125" s="24" t="s">
        <v>6</v>
      </c>
      <c r="B125" s="58"/>
      <c r="C125" s="58"/>
      <c r="D125" s="58"/>
      <c r="E125" s="58"/>
      <c r="F125" s="55">
        <f>J125+H125+L125</f>
        <v>481</v>
      </c>
      <c r="G125" s="58"/>
      <c r="H125" s="55">
        <f>ROUNDDOWN(SUMIF(P124:P124,O125,H124:H124),0)</f>
        <v>0</v>
      </c>
      <c r="I125" s="58"/>
      <c r="J125" s="55">
        <f>ROUNDDOWN(SUMIF(P124:P124,O125,J124:J124),0)</f>
        <v>0</v>
      </c>
      <c r="K125" s="58"/>
      <c r="L125" s="55">
        <f>ROUNDDOWN(SUMIF(P124:P124,O125,L124:L124),0)</f>
        <v>481</v>
      </c>
      <c r="M125" s="58"/>
      <c r="O125" s="6" t="s">
        <v>1129</v>
      </c>
    </row>
    <row r="126" spans="1:26" ht="28.7" customHeight="1" x14ac:dyDescent="0.3">
      <c r="A126" s="84" t="s">
        <v>94</v>
      </c>
      <c r="B126" s="84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36" t="str">
        <f>HYPERLINK("#N"&amp;ROW(N131),"_x0005_`BDCOD|X00087_x0007_`POSS|"&amp;ROW(N128)&amp;"_x0007_`POSE|"&amp;ROW(N131)&amp;"_x0007_`")</f>
        <v>_x0005_`BDCOD|X00087_x0007_`POSS|128_x0007_`POSE|131_x0007_`</v>
      </c>
    </row>
    <row r="127" spans="1:26" ht="28.7" customHeight="1" x14ac:dyDescent="0.3">
      <c r="A127" s="43" t="s">
        <v>406</v>
      </c>
      <c r="B127" s="43"/>
      <c r="C127" s="86"/>
      <c r="D127" s="89" t="s">
        <v>347</v>
      </c>
      <c r="E127" s="86"/>
      <c r="F127" s="86"/>
      <c r="G127" s="86"/>
      <c r="H127" s="86"/>
      <c r="I127" s="86"/>
      <c r="J127" s="86"/>
      <c r="K127" s="86"/>
      <c r="L127" s="86"/>
      <c r="M127" s="89" t="s">
        <v>407</v>
      </c>
      <c r="O127" s="6" t="s">
        <v>405</v>
      </c>
    </row>
    <row r="128" spans="1:26" ht="28.7" customHeight="1" x14ac:dyDescent="0.3">
      <c r="A128" s="9" t="s">
        <v>743</v>
      </c>
      <c r="B128" s="9"/>
      <c r="C128" s="87">
        <v>0.22289999999999999</v>
      </c>
      <c r="D128" s="33" t="s">
        <v>688</v>
      </c>
      <c r="E128" s="62">
        <f t="shared" ref="E128:F131" si="16">I128+G128+K128</f>
        <v>140899</v>
      </c>
      <c r="F128" s="91">
        <f t="shared" si="16"/>
        <v>31406.3</v>
      </c>
      <c r="G128" s="59">
        <v>0</v>
      </c>
      <c r="H128" s="91">
        <f>IF(C128=0,0,ROUNDDOWN(G128*C128,1))</f>
        <v>0</v>
      </c>
      <c r="I128" s="59">
        <v>0</v>
      </c>
      <c r="J128" s="92">
        <f>IF(C128=0,0,ROUNDDOWN(I128*C128,1))</f>
        <v>0</v>
      </c>
      <c r="K128" s="93">
        <f>경비목록표!E23</f>
        <v>140899</v>
      </c>
      <c r="L128" s="95">
        <f>IF(C128=0,0,ROUNDDOWN(K128*C128,1))</f>
        <v>31406.3</v>
      </c>
      <c r="M128" s="24" t="s">
        <v>2506</v>
      </c>
      <c r="N128" s="16" t="s">
        <v>2504</v>
      </c>
      <c r="O128" s="6" t="s">
        <v>2505</v>
      </c>
      <c r="P128" s="6" t="s">
        <v>1129</v>
      </c>
      <c r="Z128" s="19" t="str">
        <f ca="1">HYPERLINK("#"&amp;경비목록표!G2&amp;"!A"&amp;ROW(경비목록표!A23),"경비   20 →")</f>
        <v>경비   20 →</v>
      </c>
    </row>
    <row r="129" spans="1:26" ht="28.7" customHeight="1" x14ac:dyDescent="0.3">
      <c r="A129" s="9" t="s">
        <v>668</v>
      </c>
      <c r="B129" s="9"/>
      <c r="C129" s="87">
        <v>1</v>
      </c>
      <c r="D129" s="33" t="s">
        <v>650</v>
      </c>
      <c r="E129" s="62">
        <f t="shared" si="16"/>
        <v>55700</v>
      </c>
      <c r="F129" s="92">
        <f t="shared" si="16"/>
        <v>55700</v>
      </c>
      <c r="G129" s="93">
        <f>환율및기초자료!G6</f>
        <v>55700</v>
      </c>
      <c r="H129" s="94">
        <f>IF(C129=0,0,ROUNDDOWN(G129*C129,1))</f>
        <v>55700</v>
      </c>
      <c r="I129" s="59">
        <v>0</v>
      </c>
      <c r="J129" s="91">
        <f>IF(C129=0,0,ROUNDDOWN(I129*C129,1))</f>
        <v>0</v>
      </c>
      <c r="K129" s="59">
        <v>0</v>
      </c>
      <c r="L129" s="92">
        <f>IF(C129=0,0,ROUNDDOWN(K129*C129,1))</f>
        <v>0</v>
      </c>
      <c r="M129" s="24" t="s">
        <v>2441</v>
      </c>
      <c r="N129" s="16" t="s">
        <v>2439</v>
      </c>
      <c r="O129" s="6" t="s">
        <v>2440</v>
      </c>
      <c r="P129" s="6" t="s">
        <v>1129</v>
      </c>
      <c r="Z129" s="19" t="str">
        <f ca="1">HYPERLINK("#"&amp;환율및기초자료!I2&amp;"!A"&amp;ROW(환율및기초자료!A6),"노무    7 →")</f>
        <v>노무    7 →</v>
      </c>
    </row>
    <row r="130" spans="1:26" ht="28.7" customHeight="1" x14ac:dyDescent="0.3">
      <c r="A130" s="9" t="s">
        <v>438</v>
      </c>
      <c r="B130" s="9" t="s">
        <v>439</v>
      </c>
      <c r="C130" s="87">
        <v>23</v>
      </c>
      <c r="D130" s="33" t="s">
        <v>434</v>
      </c>
      <c r="E130" s="62">
        <f t="shared" si="16"/>
        <v>1272</v>
      </c>
      <c r="F130" s="91">
        <f t="shared" si="16"/>
        <v>29256</v>
      </c>
      <c r="G130" s="59">
        <v>0</v>
      </c>
      <c r="H130" s="92">
        <f>IF(C130=0,0,ROUNDDOWN(G130*C130,1))</f>
        <v>0</v>
      </c>
      <c r="I130" s="93">
        <f>재료비목록표!E5</f>
        <v>1272</v>
      </c>
      <c r="J130" s="94">
        <f>IF(C130=0,0,ROUNDDOWN(I130*C130,1))</f>
        <v>29256</v>
      </c>
      <c r="K130" s="59">
        <v>0</v>
      </c>
      <c r="L130" s="92">
        <f>IF(C130=0,0,ROUNDDOWN(K130*C130,1))</f>
        <v>0</v>
      </c>
      <c r="M130" s="24" t="s">
        <v>2444</v>
      </c>
      <c r="N130" s="16" t="s">
        <v>2442</v>
      </c>
      <c r="O130" s="6" t="s">
        <v>2443</v>
      </c>
      <c r="P130" s="6" t="s">
        <v>1129</v>
      </c>
      <c r="Z130" s="19" t="str">
        <f ca="1">HYPERLINK("#"&amp;재료비목록표!G2&amp;"!A"&amp;ROW(재료비목록표!A5),"자재    2 →")</f>
        <v>자재    2 →</v>
      </c>
    </row>
    <row r="131" spans="1:26" ht="28.7" customHeight="1" x14ac:dyDescent="0.3">
      <c r="A131" s="9" t="s">
        <v>487</v>
      </c>
      <c r="B131" s="9" t="s">
        <v>488</v>
      </c>
      <c r="C131" s="87">
        <v>38</v>
      </c>
      <c r="D131" s="33" t="s">
        <v>483</v>
      </c>
      <c r="E131" s="62">
        <f t="shared" si="16"/>
        <v>29256</v>
      </c>
      <c r="F131" s="91">
        <f t="shared" si="16"/>
        <v>11117.2</v>
      </c>
      <c r="G131" s="59">
        <v>0</v>
      </c>
      <c r="H131" s="92">
        <f>IF(C131=0,0,ROUNDDOWN(G131*C131/100,1))</f>
        <v>0</v>
      </c>
      <c r="I131" s="93">
        <f>J130</f>
        <v>29256</v>
      </c>
      <c r="J131" s="94">
        <f>IF(C131=0,0,ROUNDDOWN(I131*C131/100,1))</f>
        <v>11117.2</v>
      </c>
      <c r="K131" s="59">
        <v>0</v>
      </c>
      <c r="L131" s="92">
        <f>IF(C131=0,0,ROUNDDOWN(K131*C131/100,1))</f>
        <v>0</v>
      </c>
      <c r="M131" s="24" t="s">
        <v>2447</v>
      </c>
      <c r="N131" s="16" t="s">
        <v>2445</v>
      </c>
      <c r="O131" s="6" t="s">
        <v>2446</v>
      </c>
      <c r="P131" s="6" t="s">
        <v>1129</v>
      </c>
      <c r="Z131" s="19" t="str">
        <f ca="1">HYPERLINK("#"&amp;재료비목록표!G2&amp;"!A"&amp;ROW(재료비목록표!A14),"자재   11 →")</f>
        <v>자재   11 →</v>
      </c>
    </row>
    <row r="132" spans="1:26" ht="28.7" customHeight="1" x14ac:dyDescent="0.3">
      <c r="A132" s="24" t="s">
        <v>6</v>
      </c>
      <c r="B132" s="58"/>
      <c r="C132" s="58"/>
      <c r="D132" s="58"/>
      <c r="E132" s="58"/>
      <c r="F132" s="55">
        <f>J132+H132+L132</f>
        <v>127479</v>
      </c>
      <c r="G132" s="58"/>
      <c r="H132" s="55">
        <f>ROUNDDOWN(SUMIF(P128:P131,O132,H128:H131),0)</f>
        <v>55700</v>
      </c>
      <c r="I132" s="58"/>
      <c r="J132" s="55">
        <f>ROUNDDOWN(SUMIF(P128:P131,O132,J128:J131),0)</f>
        <v>40373</v>
      </c>
      <c r="K132" s="58"/>
      <c r="L132" s="55">
        <f>ROUNDDOWN(SUMIF(P128:P131,O132,L128:L131),0)</f>
        <v>31406</v>
      </c>
      <c r="M132" s="58"/>
      <c r="O132" s="6" t="s">
        <v>1129</v>
      </c>
    </row>
    <row r="133" spans="1:26" ht="28.7" customHeight="1" x14ac:dyDescent="0.3">
      <c r="A133" s="84" t="s">
        <v>99</v>
      </c>
      <c r="B133" s="84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36" t="str">
        <f>HYPERLINK("#N"&amp;ROW(N139),"_x0005_`BDCOD|X00089_x0007_`POSS|"&amp;ROW(N135)&amp;"_x0007_`POSE|"&amp;ROW(N139)&amp;"_x0007_`")</f>
        <v>_x0005_`BDCOD|X00089_x0007_`POSS|135_x0007_`POSE|139_x0007_`</v>
      </c>
    </row>
    <row r="134" spans="1:26" ht="28.7" customHeight="1" x14ac:dyDescent="0.3">
      <c r="A134" s="43" t="s">
        <v>409</v>
      </c>
      <c r="B134" s="43"/>
      <c r="C134" s="86"/>
      <c r="D134" s="89" t="s">
        <v>347</v>
      </c>
      <c r="E134" s="86"/>
      <c r="F134" s="86"/>
      <c r="G134" s="86"/>
      <c r="H134" s="86"/>
      <c r="I134" s="86"/>
      <c r="J134" s="86"/>
      <c r="K134" s="86"/>
      <c r="L134" s="86"/>
      <c r="M134" s="89" t="s">
        <v>410</v>
      </c>
      <c r="O134" s="6" t="s">
        <v>408</v>
      </c>
    </row>
    <row r="135" spans="1:26" ht="28.7" customHeight="1" x14ac:dyDescent="0.3">
      <c r="A135" s="9" t="s">
        <v>739</v>
      </c>
      <c r="B135" s="9" t="s">
        <v>740</v>
      </c>
      <c r="C135" s="87">
        <v>0.22789999999999999</v>
      </c>
      <c r="D135" s="33" t="s">
        <v>688</v>
      </c>
      <c r="E135" s="62">
        <f t="shared" ref="E135:F139" si="17">I135+G135+K135</f>
        <v>112684</v>
      </c>
      <c r="F135" s="91">
        <f t="shared" si="17"/>
        <v>25680.6</v>
      </c>
      <c r="G135" s="59">
        <v>0</v>
      </c>
      <c r="H135" s="91">
        <f>IF(C135=0,0,ROUNDDOWN(G135*C135,1))</f>
        <v>0</v>
      </c>
      <c r="I135" s="59">
        <v>0</v>
      </c>
      <c r="J135" s="92">
        <f>IF(C135=0,0,ROUNDDOWN(I135*C135,1))</f>
        <v>0</v>
      </c>
      <c r="K135" s="93">
        <f>경비목록표!E22</f>
        <v>112684</v>
      </c>
      <c r="L135" s="95">
        <f>IF(C135=0,0,ROUNDDOWN(K135*C135,1))</f>
        <v>25680.6</v>
      </c>
      <c r="M135" s="24" t="s">
        <v>2509</v>
      </c>
      <c r="N135" s="16" t="s">
        <v>2507</v>
      </c>
      <c r="O135" s="6" t="s">
        <v>2508</v>
      </c>
      <c r="P135" s="6" t="s">
        <v>1129</v>
      </c>
      <c r="Z135" s="19" t="str">
        <f ca="1">HYPERLINK("#"&amp;경비목록표!G2&amp;"!A"&amp;ROW(경비목록표!A22),"경비   19 →")</f>
        <v>경비   19 →</v>
      </c>
    </row>
    <row r="136" spans="1:26" ht="28.7" customHeight="1" x14ac:dyDescent="0.3">
      <c r="A136" s="9" t="s">
        <v>733</v>
      </c>
      <c r="B136" s="9" t="s">
        <v>188</v>
      </c>
      <c r="C136" s="87">
        <v>0.74350000000000005</v>
      </c>
      <c r="D136" s="33" t="s">
        <v>688</v>
      </c>
      <c r="E136" s="62">
        <f t="shared" si="17"/>
        <v>7381</v>
      </c>
      <c r="F136" s="91">
        <f t="shared" si="17"/>
        <v>5487.7</v>
      </c>
      <c r="G136" s="59">
        <v>0</v>
      </c>
      <c r="H136" s="91">
        <f>IF(C136=0,0,ROUNDDOWN(G136*C136,1))</f>
        <v>0</v>
      </c>
      <c r="I136" s="59">
        <v>0</v>
      </c>
      <c r="J136" s="92">
        <f>IF(C136=0,0,ROUNDDOWN(I136*C136,1))</f>
        <v>0</v>
      </c>
      <c r="K136" s="93">
        <f>경비목록표!E20</f>
        <v>7381</v>
      </c>
      <c r="L136" s="95">
        <f>IF(C136=0,0,ROUNDDOWN(K136*C136,1))</f>
        <v>5487.7</v>
      </c>
      <c r="M136" s="24" t="s">
        <v>2512</v>
      </c>
      <c r="N136" s="16" t="s">
        <v>2510</v>
      </c>
      <c r="O136" s="6" t="s">
        <v>2511</v>
      </c>
      <c r="P136" s="6" t="s">
        <v>1129</v>
      </c>
      <c r="Z136" s="19" t="str">
        <f ca="1">HYPERLINK("#"&amp;경비목록표!G2&amp;"!A"&amp;ROW(경비목록표!A20),"경비   17 →")</f>
        <v>경비   17 →</v>
      </c>
    </row>
    <row r="137" spans="1:26" ht="28.7" customHeight="1" x14ac:dyDescent="0.3">
      <c r="A137" s="9" t="s">
        <v>668</v>
      </c>
      <c r="B137" s="9"/>
      <c r="C137" s="87">
        <v>1</v>
      </c>
      <c r="D137" s="33" t="s">
        <v>650</v>
      </c>
      <c r="E137" s="62">
        <f t="shared" si="17"/>
        <v>55700</v>
      </c>
      <c r="F137" s="92">
        <f t="shared" si="17"/>
        <v>55700</v>
      </c>
      <c r="G137" s="93">
        <f>환율및기초자료!G6</f>
        <v>55700</v>
      </c>
      <c r="H137" s="94">
        <f>IF(C137=0,0,ROUNDDOWN(G137*C137,1))</f>
        <v>55700</v>
      </c>
      <c r="I137" s="59">
        <v>0</v>
      </c>
      <c r="J137" s="91">
        <f>IF(C137=0,0,ROUNDDOWN(I137*C137,1))</f>
        <v>0</v>
      </c>
      <c r="K137" s="59">
        <v>0</v>
      </c>
      <c r="L137" s="92">
        <f>IF(C137=0,0,ROUNDDOWN(K137*C137,1))</f>
        <v>0</v>
      </c>
      <c r="M137" s="24" t="s">
        <v>2441</v>
      </c>
      <c r="N137" s="16" t="s">
        <v>2439</v>
      </c>
      <c r="O137" s="6" t="s">
        <v>2440</v>
      </c>
      <c r="P137" s="6" t="s">
        <v>1129</v>
      </c>
      <c r="Z137" s="19" t="str">
        <f ca="1">HYPERLINK("#"&amp;환율및기초자료!I2&amp;"!A"&amp;ROW(환율및기초자료!A6),"노무    7 →")</f>
        <v>노무    7 →</v>
      </c>
    </row>
    <row r="138" spans="1:26" ht="28.7" customHeight="1" x14ac:dyDescent="0.3">
      <c r="A138" s="9" t="s">
        <v>438</v>
      </c>
      <c r="B138" s="9" t="s">
        <v>439</v>
      </c>
      <c r="C138" s="87">
        <v>11.6</v>
      </c>
      <c r="D138" s="33" t="s">
        <v>434</v>
      </c>
      <c r="E138" s="62">
        <f t="shared" si="17"/>
        <v>1272</v>
      </c>
      <c r="F138" s="91">
        <f t="shared" si="17"/>
        <v>14755.2</v>
      </c>
      <c r="G138" s="59">
        <v>0</v>
      </c>
      <c r="H138" s="92">
        <f>IF(C138=0,0,ROUNDDOWN(G138*C138,1))</f>
        <v>0</v>
      </c>
      <c r="I138" s="93">
        <f>재료비목록표!E5</f>
        <v>1272</v>
      </c>
      <c r="J138" s="94">
        <f>IF(C138=0,0,ROUNDDOWN(I138*C138,1))</f>
        <v>14755.2</v>
      </c>
      <c r="K138" s="59">
        <v>0</v>
      </c>
      <c r="L138" s="92">
        <f>IF(C138=0,0,ROUNDDOWN(K138*C138,1))</f>
        <v>0</v>
      </c>
      <c r="M138" s="24" t="s">
        <v>2444</v>
      </c>
      <c r="N138" s="16" t="s">
        <v>2442</v>
      </c>
      <c r="O138" s="6" t="s">
        <v>2443</v>
      </c>
      <c r="P138" s="6" t="s">
        <v>1129</v>
      </c>
      <c r="Z138" s="19" t="str">
        <f ca="1">HYPERLINK("#"&amp;재료비목록표!G2&amp;"!A"&amp;ROW(재료비목록표!A5),"자재    2 →")</f>
        <v>자재    2 →</v>
      </c>
    </row>
    <row r="139" spans="1:26" ht="28.7" customHeight="1" x14ac:dyDescent="0.3">
      <c r="A139" s="9" t="s">
        <v>487</v>
      </c>
      <c r="B139" s="9" t="s">
        <v>488</v>
      </c>
      <c r="C139" s="87">
        <v>24</v>
      </c>
      <c r="D139" s="33" t="s">
        <v>483</v>
      </c>
      <c r="E139" s="62">
        <f t="shared" si="17"/>
        <v>14755.2</v>
      </c>
      <c r="F139" s="91">
        <f t="shared" si="17"/>
        <v>3541.2</v>
      </c>
      <c r="G139" s="59">
        <v>0</v>
      </c>
      <c r="H139" s="92">
        <f>IF(C139=0,0,ROUNDDOWN(G139*C139/100,1))</f>
        <v>0</v>
      </c>
      <c r="I139" s="93">
        <f>J138</f>
        <v>14755.2</v>
      </c>
      <c r="J139" s="94">
        <f>IF(C139=0,0,ROUNDDOWN(I139*C139/100,1))</f>
        <v>3541.2</v>
      </c>
      <c r="K139" s="59">
        <v>0</v>
      </c>
      <c r="L139" s="92">
        <f>IF(C139=0,0,ROUNDDOWN(K139*C139/100,1))</f>
        <v>0</v>
      </c>
      <c r="M139" s="24" t="s">
        <v>2447</v>
      </c>
      <c r="N139" s="16" t="s">
        <v>2445</v>
      </c>
      <c r="O139" s="6" t="s">
        <v>2446</v>
      </c>
      <c r="P139" s="6" t="s">
        <v>1129</v>
      </c>
      <c r="Z139" s="19" t="str">
        <f ca="1">HYPERLINK("#"&amp;재료비목록표!G2&amp;"!A"&amp;ROW(재료비목록표!A14),"자재   11 →")</f>
        <v>자재   11 →</v>
      </c>
    </row>
    <row r="140" spans="1:26" ht="28.7" customHeight="1" x14ac:dyDescent="0.3">
      <c r="A140" s="24" t="s">
        <v>6</v>
      </c>
      <c r="B140" s="58"/>
      <c r="C140" s="58"/>
      <c r="D140" s="58"/>
      <c r="E140" s="58"/>
      <c r="F140" s="55">
        <f>J140+H140+L140</f>
        <v>105164</v>
      </c>
      <c r="G140" s="58"/>
      <c r="H140" s="55">
        <f>ROUNDDOWN(SUMIF(P135:P139,O140,H135:H139),0)</f>
        <v>55700</v>
      </c>
      <c r="I140" s="58"/>
      <c r="J140" s="55">
        <f>ROUNDDOWN(SUMIF(P135:P139,O140,J135:J139),0)</f>
        <v>18296</v>
      </c>
      <c r="K140" s="58"/>
      <c r="L140" s="55">
        <f>ROUNDDOWN(SUMIF(P135:P139,O140,L135:L139),0)</f>
        <v>31168</v>
      </c>
      <c r="M140" s="58"/>
      <c r="O140" s="6" t="s">
        <v>1129</v>
      </c>
    </row>
    <row r="141" spans="1:26" ht="28.7" customHeight="1" x14ac:dyDescent="0.3">
      <c r="A141" s="84" t="s">
        <v>103</v>
      </c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36" t="str">
        <f>HYPERLINK("#N"&amp;ROW(N146),"_x0005_`BDCOD|X00092_x0007_`POSS|"&amp;ROW(N143)&amp;"_x0007_`POSE|"&amp;ROW(N146)&amp;"_x0007_`")</f>
        <v>_x0005_`BDCOD|X00092_x0007_`POSS|143_x0007_`POSE|146_x0007_`</v>
      </c>
    </row>
    <row r="142" spans="1:26" ht="28.7" customHeight="1" x14ac:dyDescent="0.3">
      <c r="A142" s="43" t="s">
        <v>412</v>
      </c>
      <c r="B142" s="43"/>
      <c r="C142" s="86"/>
      <c r="D142" s="89" t="s">
        <v>347</v>
      </c>
      <c r="E142" s="86"/>
      <c r="F142" s="86"/>
      <c r="G142" s="86"/>
      <c r="H142" s="86"/>
      <c r="I142" s="86"/>
      <c r="J142" s="86"/>
      <c r="K142" s="86"/>
      <c r="L142" s="86"/>
      <c r="M142" s="89" t="s">
        <v>413</v>
      </c>
      <c r="O142" s="6" t="s">
        <v>411</v>
      </c>
    </row>
    <row r="143" spans="1:26" ht="28.7" customHeight="1" x14ac:dyDescent="0.3">
      <c r="A143" s="9" t="s">
        <v>703</v>
      </c>
      <c r="B143" s="9"/>
      <c r="C143" s="87">
        <v>0.3533</v>
      </c>
      <c r="D143" s="33" t="s">
        <v>688</v>
      </c>
      <c r="E143" s="62">
        <f t="shared" ref="E143:F146" si="18">I143+G143+K143</f>
        <v>24274</v>
      </c>
      <c r="F143" s="91">
        <f t="shared" si="18"/>
        <v>8576</v>
      </c>
      <c r="G143" s="59">
        <v>0</v>
      </c>
      <c r="H143" s="91">
        <f>IF(C143=0,0,ROUNDDOWN(G143*C143,1))</f>
        <v>0</v>
      </c>
      <c r="I143" s="59">
        <v>0</v>
      </c>
      <c r="J143" s="92">
        <f>IF(C143=0,0,ROUNDDOWN(I143*C143,1))</f>
        <v>0</v>
      </c>
      <c r="K143" s="93">
        <f>경비목록표!E10</f>
        <v>24274</v>
      </c>
      <c r="L143" s="95">
        <f>IF(C143=0,0,ROUNDDOWN(K143*C143,1))</f>
        <v>8576</v>
      </c>
      <c r="M143" s="24" t="s">
        <v>2515</v>
      </c>
      <c r="N143" s="16" t="s">
        <v>2513</v>
      </c>
      <c r="O143" s="6" t="s">
        <v>2514</v>
      </c>
      <c r="P143" s="6" t="s">
        <v>1129</v>
      </c>
      <c r="Z143" s="19" t="str">
        <f ca="1">HYPERLINK("#"&amp;경비목록표!G2&amp;"!A"&amp;ROW(경비목록표!A10),"경비    7 →")</f>
        <v>경비    7 →</v>
      </c>
    </row>
    <row r="144" spans="1:26" ht="28.7" customHeight="1" x14ac:dyDescent="0.3">
      <c r="A144" s="9" t="s">
        <v>671</v>
      </c>
      <c r="B144" s="9"/>
      <c r="C144" s="87">
        <v>1</v>
      </c>
      <c r="D144" s="33" t="s">
        <v>650</v>
      </c>
      <c r="E144" s="62">
        <f t="shared" si="18"/>
        <v>47231</v>
      </c>
      <c r="F144" s="92">
        <f t="shared" si="18"/>
        <v>47231</v>
      </c>
      <c r="G144" s="93">
        <f>환율및기초자료!G7</f>
        <v>47231</v>
      </c>
      <c r="H144" s="94">
        <f>IF(C144=0,0,ROUNDDOWN(G144*C144,1))</f>
        <v>47231</v>
      </c>
      <c r="I144" s="59">
        <v>0</v>
      </c>
      <c r="J144" s="91">
        <f>IF(C144=0,0,ROUNDDOWN(I144*C144,1))</f>
        <v>0</v>
      </c>
      <c r="K144" s="59">
        <v>0</v>
      </c>
      <c r="L144" s="92">
        <f>IF(C144=0,0,ROUNDDOWN(K144*C144,1))</f>
        <v>0</v>
      </c>
      <c r="M144" s="24" t="s">
        <v>2471</v>
      </c>
      <c r="N144" s="16" t="s">
        <v>2469</v>
      </c>
      <c r="O144" s="6" t="s">
        <v>2470</v>
      </c>
      <c r="P144" s="6" t="s">
        <v>1129</v>
      </c>
      <c r="Z144" s="19" t="str">
        <f ca="1">HYPERLINK("#"&amp;환율및기초자료!I2&amp;"!A"&amp;ROW(환율및기초자료!A7),"노무    8 →")</f>
        <v>노무    8 →</v>
      </c>
    </row>
    <row r="145" spans="1:26" ht="28.7" customHeight="1" x14ac:dyDescent="0.3">
      <c r="A145" s="9" t="s">
        <v>438</v>
      </c>
      <c r="B145" s="9" t="s">
        <v>439</v>
      </c>
      <c r="C145" s="87">
        <v>5</v>
      </c>
      <c r="D145" s="33" t="s">
        <v>434</v>
      </c>
      <c r="E145" s="62">
        <f t="shared" si="18"/>
        <v>1272</v>
      </c>
      <c r="F145" s="91">
        <f t="shared" si="18"/>
        <v>6360</v>
      </c>
      <c r="G145" s="59">
        <v>0</v>
      </c>
      <c r="H145" s="92">
        <f>IF(C145=0,0,ROUNDDOWN(G145*C145,1))</f>
        <v>0</v>
      </c>
      <c r="I145" s="93">
        <f>재료비목록표!E5</f>
        <v>1272</v>
      </c>
      <c r="J145" s="94">
        <f>IF(C145=0,0,ROUNDDOWN(I145*C145,1))</f>
        <v>6360</v>
      </c>
      <c r="K145" s="59">
        <v>0</v>
      </c>
      <c r="L145" s="92">
        <f>IF(C145=0,0,ROUNDDOWN(K145*C145,1))</f>
        <v>0</v>
      </c>
      <c r="M145" s="24" t="s">
        <v>2444</v>
      </c>
      <c r="N145" s="16" t="s">
        <v>2442</v>
      </c>
      <c r="O145" s="6" t="s">
        <v>2443</v>
      </c>
      <c r="P145" s="6" t="s">
        <v>1129</v>
      </c>
      <c r="Z145" s="19" t="str">
        <f ca="1">HYPERLINK("#"&amp;재료비목록표!G2&amp;"!A"&amp;ROW(재료비목록표!A5),"자재    2 →")</f>
        <v>자재    2 →</v>
      </c>
    </row>
    <row r="146" spans="1:26" ht="28.7" customHeight="1" x14ac:dyDescent="0.3">
      <c r="A146" s="9" t="s">
        <v>487</v>
      </c>
      <c r="B146" s="9" t="s">
        <v>488</v>
      </c>
      <c r="C146" s="87">
        <v>38</v>
      </c>
      <c r="D146" s="33" t="s">
        <v>483</v>
      </c>
      <c r="E146" s="62">
        <f t="shared" si="18"/>
        <v>6360</v>
      </c>
      <c r="F146" s="91">
        <f t="shared" si="18"/>
        <v>2416.8000000000002</v>
      </c>
      <c r="G146" s="59">
        <v>0</v>
      </c>
      <c r="H146" s="92">
        <f>IF(C146=0,0,ROUNDDOWN(G146*C146/100,1))</f>
        <v>0</v>
      </c>
      <c r="I146" s="93">
        <f>J145</f>
        <v>6360</v>
      </c>
      <c r="J146" s="94">
        <f>IF(C146=0,0,ROUNDDOWN(I146*C146/100,1))</f>
        <v>2416.8000000000002</v>
      </c>
      <c r="K146" s="59">
        <v>0</v>
      </c>
      <c r="L146" s="92">
        <f>IF(C146=0,0,ROUNDDOWN(K146*C146/100,1))</f>
        <v>0</v>
      </c>
      <c r="M146" s="24" t="s">
        <v>2447</v>
      </c>
      <c r="N146" s="16" t="s">
        <v>2445</v>
      </c>
      <c r="O146" s="6" t="s">
        <v>2446</v>
      </c>
      <c r="P146" s="6" t="s">
        <v>1129</v>
      </c>
      <c r="Z146" s="19" t="str">
        <f ca="1">HYPERLINK("#"&amp;재료비목록표!G2&amp;"!A"&amp;ROW(재료비목록표!A14),"자재   11 →")</f>
        <v>자재   11 →</v>
      </c>
    </row>
    <row r="147" spans="1:26" ht="28.7" customHeight="1" x14ac:dyDescent="0.3">
      <c r="A147" s="24" t="s">
        <v>6</v>
      </c>
      <c r="B147" s="58"/>
      <c r="C147" s="58"/>
      <c r="D147" s="58"/>
      <c r="E147" s="58"/>
      <c r="F147" s="55">
        <f>J147+H147+L147</f>
        <v>64583</v>
      </c>
      <c r="G147" s="58"/>
      <c r="H147" s="55">
        <f>ROUNDDOWN(SUMIF(P143:P146,O147,H143:H146),0)</f>
        <v>47231</v>
      </c>
      <c r="I147" s="58"/>
      <c r="J147" s="55">
        <f>ROUNDDOWN(SUMIF(P143:P146,O147,J143:J146),0)</f>
        <v>8776</v>
      </c>
      <c r="K147" s="58"/>
      <c r="L147" s="55">
        <f>ROUNDDOWN(SUMIF(P143:P146,O147,L143:L146),0)</f>
        <v>8576</v>
      </c>
      <c r="M147" s="58"/>
      <c r="O147" s="6" t="s">
        <v>1129</v>
      </c>
    </row>
    <row r="148" spans="1:26" ht="28.7" customHeight="1" x14ac:dyDescent="0.3">
      <c r="A148" s="84" t="s">
        <v>107</v>
      </c>
      <c r="B148" s="84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36" t="str">
        <f>HYPERLINK("#N"&amp;ROW(N154),"_x0005_`BDCOD|X00099_x0007_`POSS|"&amp;ROW(N150)&amp;"_x0007_`POSE|"&amp;ROW(N154)&amp;"_x0007_`")</f>
        <v>_x0005_`BDCOD|X00099_x0007_`POSS|150_x0007_`POSE|154_x0007_`</v>
      </c>
    </row>
    <row r="149" spans="1:26" ht="28.7" customHeight="1" x14ac:dyDescent="0.3">
      <c r="A149" s="43" t="s">
        <v>415</v>
      </c>
      <c r="B149" s="43" t="s">
        <v>416</v>
      </c>
      <c r="C149" s="86"/>
      <c r="D149" s="89" t="s">
        <v>347</v>
      </c>
      <c r="E149" s="86"/>
      <c r="F149" s="86"/>
      <c r="G149" s="86"/>
      <c r="H149" s="86"/>
      <c r="I149" s="86"/>
      <c r="J149" s="86"/>
      <c r="K149" s="86"/>
      <c r="L149" s="86"/>
      <c r="M149" s="89" t="s">
        <v>417</v>
      </c>
      <c r="O149" s="6" t="s">
        <v>414</v>
      </c>
    </row>
    <row r="150" spans="1:26" ht="28.7" customHeight="1" x14ac:dyDescent="0.3">
      <c r="A150" s="9" t="s">
        <v>356</v>
      </c>
      <c r="B150" s="9" t="s">
        <v>691</v>
      </c>
      <c r="C150" s="87">
        <v>0.20849999999999999</v>
      </c>
      <c r="D150" s="33" t="s">
        <v>688</v>
      </c>
      <c r="E150" s="62">
        <f t="shared" ref="E150:F154" si="19">I150+G150+K150</f>
        <v>110926</v>
      </c>
      <c r="F150" s="91">
        <f t="shared" si="19"/>
        <v>23128</v>
      </c>
      <c r="G150" s="59">
        <v>0</v>
      </c>
      <c r="H150" s="91">
        <f>IF(C150=0,0,ROUNDDOWN(G150*C150,1))</f>
        <v>0</v>
      </c>
      <c r="I150" s="59">
        <v>0</v>
      </c>
      <c r="J150" s="92">
        <f>IF(C150=0,0,ROUNDDOWN(I150*C150,1))</f>
        <v>0</v>
      </c>
      <c r="K150" s="93">
        <f>경비목록표!E7</f>
        <v>110926</v>
      </c>
      <c r="L150" s="95">
        <f>IF(C150=0,0,ROUNDDOWN(K150*C150,1))</f>
        <v>23128</v>
      </c>
      <c r="M150" s="24" t="s">
        <v>2456</v>
      </c>
      <c r="N150" s="16" t="s">
        <v>2454</v>
      </c>
      <c r="O150" s="6" t="s">
        <v>2455</v>
      </c>
      <c r="P150" s="6" t="s">
        <v>1129</v>
      </c>
      <c r="Z150" s="19" t="str">
        <f ca="1">HYPERLINK("#"&amp;경비목록표!G2&amp;"!A"&amp;ROW(경비목록표!A7),"경비    4 →")</f>
        <v>경비    4 →</v>
      </c>
    </row>
    <row r="151" spans="1:26" ht="28.7" customHeight="1" x14ac:dyDescent="0.3">
      <c r="A151" s="9" t="s">
        <v>714</v>
      </c>
      <c r="B151" s="9" t="s">
        <v>715</v>
      </c>
      <c r="C151" s="87">
        <v>0.31929999999999997</v>
      </c>
      <c r="D151" s="33" t="s">
        <v>688</v>
      </c>
      <c r="E151" s="62">
        <f t="shared" si="19"/>
        <v>11046</v>
      </c>
      <c r="F151" s="91">
        <f t="shared" si="19"/>
        <v>3526.9</v>
      </c>
      <c r="G151" s="59">
        <v>0</v>
      </c>
      <c r="H151" s="91">
        <f>IF(C151=0,0,ROUNDDOWN(G151*C151,1))</f>
        <v>0</v>
      </c>
      <c r="I151" s="59">
        <v>0</v>
      </c>
      <c r="J151" s="92">
        <f>IF(C151=0,0,ROUNDDOWN(I151*C151,1))</f>
        <v>0</v>
      </c>
      <c r="K151" s="93">
        <f>경비목록표!E14</f>
        <v>11046</v>
      </c>
      <c r="L151" s="95">
        <f>IF(C151=0,0,ROUNDDOWN(K151*C151,1))</f>
        <v>3526.9</v>
      </c>
      <c r="M151" s="24" t="s">
        <v>2518</v>
      </c>
      <c r="N151" s="16" t="s">
        <v>2516</v>
      </c>
      <c r="O151" s="6" t="s">
        <v>2517</v>
      </c>
      <c r="P151" s="6" t="s">
        <v>1129</v>
      </c>
      <c r="Z151" s="19" t="str">
        <f ca="1">HYPERLINK("#"&amp;경비목록표!G2&amp;"!A"&amp;ROW(경비목록표!A14),"경비   11 →")</f>
        <v>경비   11 →</v>
      </c>
    </row>
    <row r="152" spans="1:26" ht="28.7" customHeight="1" x14ac:dyDescent="0.3">
      <c r="A152" s="9" t="s">
        <v>668</v>
      </c>
      <c r="B152" s="9"/>
      <c r="C152" s="87">
        <v>1</v>
      </c>
      <c r="D152" s="33" t="s">
        <v>650</v>
      </c>
      <c r="E152" s="62">
        <f t="shared" si="19"/>
        <v>55700</v>
      </c>
      <c r="F152" s="92">
        <f t="shared" si="19"/>
        <v>55700</v>
      </c>
      <c r="G152" s="93">
        <f>환율및기초자료!G6</f>
        <v>55700</v>
      </c>
      <c r="H152" s="94">
        <f>IF(C152=0,0,ROUNDDOWN(G152*C152,1))</f>
        <v>55700</v>
      </c>
      <c r="I152" s="59">
        <v>0</v>
      </c>
      <c r="J152" s="91">
        <f>IF(C152=0,0,ROUNDDOWN(I152*C152,1))</f>
        <v>0</v>
      </c>
      <c r="K152" s="59">
        <v>0</v>
      </c>
      <c r="L152" s="92">
        <f>IF(C152=0,0,ROUNDDOWN(K152*C152,1))</f>
        <v>0</v>
      </c>
      <c r="M152" s="24" t="s">
        <v>2441</v>
      </c>
      <c r="N152" s="16" t="s">
        <v>2439</v>
      </c>
      <c r="O152" s="6" t="s">
        <v>2440</v>
      </c>
      <c r="P152" s="6" t="s">
        <v>1129</v>
      </c>
      <c r="Z152" s="19" t="str">
        <f ca="1">HYPERLINK("#"&amp;환율및기초자료!I2&amp;"!A"&amp;ROW(환율및기초자료!A6),"노무    7 →")</f>
        <v>노무    7 →</v>
      </c>
    </row>
    <row r="153" spans="1:26" ht="28.7" customHeight="1" x14ac:dyDescent="0.3">
      <c r="A153" s="9" t="s">
        <v>438</v>
      </c>
      <c r="B153" s="9" t="s">
        <v>439</v>
      </c>
      <c r="C153" s="87">
        <v>11.6</v>
      </c>
      <c r="D153" s="33" t="s">
        <v>434</v>
      </c>
      <c r="E153" s="62">
        <f t="shared" si="19"/>
        <v>1272</v>
      </c>
      <c r="F153" s="91">
        <f t="shared" si="19"/>
        <v>14755.2</v>
      </c>
      <c r="G153" s="59">
        <v>0</v>
      </c>
      <c r="H153" s="92">
        <f>IF(C153=0,0,ROUNDDOWN(G153*C153,1))</f>
        <v>0</v>
      </c>
      <c r="I153" s="93">
        <f>재료비목록표!E5</f>
        <v>1272</v>
      </c>
      <c r="J153" s="94">
        <f>IF(C153=0,0,ROUNDDOWN(I153*C153,1))</f>
        <v>14755.2</v>
      </c>
      <c r="K153" s="59">
        <v>0</v>
      </c>
      <c r="L153" s="92">
        <f>IF(C153=0,0,ROUNDDOWN(K153*C153,1))</f>
        <v>0</v>
      </c>
      <c r="M153" s="24" t="s">
        <v>2444</v>
      </c>
      <c r="N153" s="16" t="s">
        <v>2442</v>
      </c>
      <c r="O153" s="6" t="s">
        <v>2443</v>
      </c>
      <c r="P153" s="6" t="s">
        <v>1129</v>
      </c>
      <c r="Z153" s="19" t="str">
        <f ca="1">HYPERLINK("#"&amp;재료비목록표!G2&amp;"!A"&amp;ROW(재료비목록표!A5),"자재    2 →")</f>
        <v>자재    2 →</v>
      </c>
    </row>
    <row r="154" spans="1:26" ht="28.7" customHeight="1" x14ac:dyDescent="0.3">
      <c r="A154" s="9" t="s">
        <v>487</v>
      </c>
      <c r="B154" s="9" t="s">
        <v>488</v>
      </c>
      <c r="C154" s="87">
        <v>22</v>
      </c>
      <c r="D154" s="33" t="s">
        <v>483</v>
      </c>
      <c r="E154" s="62">
        <f t="shared" si="19"/>
        <v>14755.2</v>
      </c>
      <c r="F154" s="91">
        <f t="shared" si="19"/>
        <v>3246.1</v>
      </c>
      <c r="G154" s="59">
        <v>0</v>
      </c>
      <c r="H154" s="92">
        <f>IF(C154=0,0,ROUNDDOWN(G154*C154/100,1))</f>
        <v>0</v>
      </c>
      <c r="I154" s="93">
        <f>J153</f>
        <v>14755.2</v>
      </c>
      <c r="J154" s="94">
        <f>IF(C154=0,0,ROUNDDOWN(I154*C154/100,1))</f>
        <v>3246.1</v>
      </c>
      <c r="K154" s="59">
        <v>0</v>
      </c>
      <c r="L154" s="92">
        <f>IF(C154=0,0,ROUNDDOWN(K154*C154/100,1))</f>
        <v>0</v>
      </c>
      <c r="M154" s="24" t="s">
        <v>2447</v>
      </c>
      <c r="N154" s="16" t="s">
        <v>2445</v>
      </c>
      <c r="O154" s="6" t="s">
        <v>2446</v>
      </c>
      <c r="P154" s="6" t="s">
        <v>1129</v>
      </c>
      <c r="Z154" s="19" t="str">
        <f ca="1">HYPERLINK("#"&amp;재료비목록표!G2&amp;"!A"&amp;ROW(재료비목록표!A14),"자재   11 →")</f>
        <v>자재   11 →</v>
      </c>
    </row>
    <row r="155" spans="1:26" ht="28.7" customHeight="1" x14ac:dyDescent="0.3">
      <c r="A155" s="24" t="s">
        <v>6</v>
      </c>
      <c r="B155" s="58"/>
      <c r="C155" s="58"/>
      <c r="D155" s="58"/>
      <c r="E155" s="58"/>
      <c r="F155" s="55">
        <f>J155+H155+L155</f>
        <v>100355</v>
      </c>
      <c r="G155" s="58"/>
      <c r="H155" s="55">
        <f>ROUNDDOWN(SUMIF(P150:P154,O155,H150:H154),0)</f>
        <v>55700</v>
      </c>
      <c r="I155" s="58"/>
      <c r="J155" s="55">
        <f>ROUNDDOWN(SUMIF(P150:P154,O155,J150:J154),0)</f>
        <v>18001</v>
      </c>
      <c r="K155" s="58"/>
      <c r="L155" s="55">
        <f>ROUNDDOWN(SUMIF(P150:P154,O155,L150:L154),0)</f>
        <v>26654</v>
      </c>
      <c r="M155" s="58"/>
      <c r="O155" s="6" t="s">
        <v>1129</v>
      </c>
    </row>
    <row r="156" spans="1:26" ht="28.7" customHeight="1" x14ac:dyDescent="0.3">
      <c r="A156" s="84" t="s">
        <v>112</v>
      </c>
      <c r="B156" s="84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36" t="str">
        <f>HYPERLINK("#N"&amp;ROW(N161),"_x0005_`BDCOD|X00101_x0007_`POSS|"&amp;ROW(N158)&amp;"_x0007_`POSE|"&amp;ROW(N161)&amp;"_x0007_`")</f>
        <v>_x0005_`BDCOD|X00101_x0007_`POSS|158_x0007_`POSE|161_x0007_`</v>
      </c>
    </row>
    <row r="157" spans="1:26" ht="28.7" customHeight="1" x14ac:dyDescent="0.3">
      <c r="A157" s="43" t="s">
        <v>359</v>
      </c>
      <c r="B157" s="43" t="s">
        <v>419</v>
      </c>
      <c r="C157" s="86"/>
      <c r="D157" s="89" t="s">
        <v>347</v>
      </c>
      <c r="E157" s="86"/>
      <c r="F157" s="86"/>
      <c r="G157" s="86"/>
      <c r="H157" s="86"/>
      <c r="I157" s="86"/>
      <c r="J157" s="86"/>
      <c r="K157" s="86"/>
      <c r="L157" s="86"/>
      <c r="M157" s="89" t="s">
        <v>420</v>
      </c>
      <c r="O157" s="6" t="s">
        <v>418</v>
      </c>
    </row>
    <row r="158" spans="1:26" ht="28.7" customHeight="1" x14ac:dyDescent="0.3">
      <c r="A158" s="9" t="s">
        <v>359</v>
      </c>
      <c r="B158" s="9" t="s">
        <v>691</v>
      </c>
      <c r="C158" s="87">
        <v>0.24049999999999999</v>
      </c>
      <c r="D158" s="33" t="s">
        <v>688</v>
      </c>
      <c r="E158" s="62">
        <f t="shared" ref="E158:F161" si="20">I158+G158+K158</f>
        <v>133819</v>
      </c>
      <c r="F158" s="91">
        <f t="shared" si="20"/>
        <v>32183.4</v>
      </c>
      <c r="G158" s="59">
        <v>0</v>
      </c>
      <c r="H158" s="91">
        <f>IF(C158=0,0,ROUNDDOWN(G158*C158,1))</f>
        <v>0</v>
      </c>
      <c r="I158" s="59">
        <v>0</v>
      </c>
      <c r="J158" s="92">
        <f>IF(C158=0,0,ROUNDDOWN(I158*C158,1))</f>
        <v>0</v>
      </c>
      <c r="K158" s="93">
        <f>경비목록표!E8</f>
        <v>133819</v>
      </c>
      <c r="L158" s="95">
        <f>IF(C158=0,0,ROUNDDOWN(K158*C158,1))</f>
        <v>32183.4</v>
      </c>
      <c r="M158" s="24" t="s">
        <v>2459</v>
      </c>
      <c r="N158" s="16" t="s">
        <v>2457</v>
      </c>
      <c r="O158" s="6" t="s">
        <v>2458</v>
      </c>
      <c r="P158" s="6" t="s">
        <v>1129</v>
      </c>
      <c r="Z158" s="19" t="str">
        <f ca="1">HYPERLINK("#"&amp;경비목록표!G2&amp;"!A"&amp;ROW(경비목록표!A8),"경비    5 →")</f>
        <v>경비    5 →</v>
      </c>
    </row>
    <row r="159" spans="1:26" ht="28.7" customHeight="1" x14ac:dyDescent="0.3">
      <c r="A159" s="9" t="s">
        <v>668</v>
      </c>
      <c r="B159" s="9"/>
      <c r="C159" s="87">
        <v>1</v>
      </c>
      <c r="D159" s="33" t="s">
        <v>650</v>
      </c>
      <c r="E159" s="62">
        <f t="shared" si="20"/>
        <v>55700</v>
      </c>
      <c r="F159" s="92">
        <f t="shared" si="20"/>
        <v>55700</v>
      </c>
      <c r="G159" s="93">
        <f>환율및기초자료!G6</f>
        <v>55700</v>
      </c>
      <c r="H159" s="94">
        <f>IF(C159=0,0,ROUNDDOWN(G159*C159,1))</f>
        <v>55700</v>
      </c>
      <c r="I159" s="59">
        <v>0</v>
      </c>
      <c r="J159" s="91">
        <f>IF(C159=0,0,ROUNDDOWN(I159*C159,1))</f>
        <v>0</v>
      </c>
      <c r="K159" s="59">
        <v>0</v>
      </c>
      <c r="L159" s="92">
        <f>IF(C159=0,0,ROUNDDOWN(K159*C159,1))</f>
        <v>0</v>
      </c>
      <c r="M159" s="24" t="s">
        <v>2441</v>
      </c>
      <c r="N159" s="16" t="s">
        <v>2439</v>
      </c>
      <c r="O159" s="6" t="s">
        <v>2440</v>
      </c>
      <c r="P159" s="6" t="s">
        <v>1129</v>
      </c>
      <c r="Z159" s="19" t="str">
        <f ca="1">HYPERLINK("#"&amp;환율및기초자료!I2&amp;"!A"&amp;ROW(환율및기초자료!A6),"노무    7 →")</f>
        <v>노무    7 →</v>
      </c>
    </row>
    <row r="160" spans="1:26" ht="28.7" customHeight="1" x14ac:dyDescent="0.3">
      <c r="A160" s="9" t="s">
        <v>438</v>
      </c>
      <c r="B160" s="9" t="s">
        <v>439</v>
      </c>
      <c r="C160" s="87">
        <v>19.5</v>
      </c>
      <c r="D160" s="33" t="s">
        <v>434</v>
      </c>
      <c r="E160" s="62">
        <f t="shared" si="20"/>
        <v>1272</v>
      </c>
      <c r="F160" s="91">
        <f t="shared" si="20"/>
        <v>24804</v>
      </c>
      <c r="G160" s="59">
        <v>0</v>
      </c>
      <c r="H160" s="92">
        <f>IF(C160=0,0,ROUNDDOWN(G160*C160,1))</f>
        <v>0</v>
      </c>
      <c r="I160" s="93">
        <f>재료비목록표!E5</f>
        <v>1272</v>
      </c>
      <c r="J160" s="94">
        <f>IF(C160=0,0,ROUNDDOWN(I160*C160,1))</f>
        <v>24804</v>
      </c>
      <c r="K160" s="59">
        <v>0</v>
      </c>
      <c r="L160" s="92">
        <f>IF(C160=0,0,ROUNDDOWN(K160*C160,1))</f>
        <v>0</v>
      </c>
      <c r="M160" s="24" t="s">
        <v>2444</v>
      </c>
      <c r="N160" s="16" t="s">
        <v>2442</v>
      </c>
      <c r="O160" s="6" t="s">
        <v>2443</v>
      </c>
      <c r="P160" s="6" t="s">
        <v>1129</v>
      </c>
      <c r="Z160" s="19" t="str">
        <f ca="1">HYPERLINK("#"&amp;재료비목록표!G2&amp;"!A"&amp;ROW(재료비목록표!A5),"자재    2 →")</f>
        <v>자재    2 →</v>
      </c>
    </row>
    <row r="161" spans="1:26" ht="28.7" customHeight="1" x14ac:dyDescent="0.3">
      <c r="A161" s="9" t="s">
        <v>487</v>
      </c>
      <c r="B161" s="9" t="s">
        <v>488</v>
      </c>
      <c r="C161" s="87">
        <v>22</v>
      </c>
      <c r="D161" s="33" t="s">
        <v>483</v>
      </c>
      <c r="E161" s="62">
        <f t="shared" si="20"/>
        <v>24804</v>
      </c>
      <c r="F161" s="91">
        <f t="shared" si="20"/>
        <v>5456.8</v>
      </c>
      <c r="G161" s="59">
        <v>0</v>
      </c>
      <c r="H161" s="92">
        <f>IF(C161=0,0,ROUNDDOWN(G161*C161/100,1))</f>
        <v>0</v>
      </c>
      <c r="I161" s="93">
        <f>J160</f>
        <v>24804</v>
      </c>
      <c r="J161" s="94">
        <f>IF(C161=0,0,ROUNDDOWN(I161*C161/100,1))</f>
        <v>5456.8</v>
      </c>
      <c r="K161" s="59">
        <v>0</v>
      </c>
      <c r="L161" s="92">
        <f>IF(C161=0,0,ROUNDDOWN(K161*C161/100,1))</f>
        <v>0</v>
      </c>
      <c r="M161" s="24" t="s">
        <v>2447</v>
      </c>
      <c r="N161" s="16" t="s">
        <v>2445</v>
      </c>
      <c r="O161" s="6" t="s">
        <v>2446</v>
      </c>
      <c r="P161" s="6" t="s">
        <v>1129</v>
      </c>
      <c r="Z161" s="19" t="str">
        <f ca="1">HYPERLINK("#"&amp;재료비목록표!G2&amp;"!A"&amp;ROW(재료비목록표!A14),"자재   11 →")</f>
        <v>자재   11 →</v>
      </c>
    </row>
    <row r="162" spans="1:26" ht="28.7" customHeight="1" x14ac:dyDescent="0.3">
      <c r="A162" s="24" t="s">
        <v>6</v>
      </c>
      <c r="B162" s="58"/>
      <c r="C162" s="58"/>
      <c r="D162" s="58"/>
      <c r="E162" s="58"/>
      <c r="F162" s="55">
        <f>J162+H162+L162</f>
        <v>118143</v>
      </c>
      <c r="G162" s="58"/>
      <c r="H162" s="55">
        <f>ROUNDDOWN(SUMIF(P158:P161,O162,H158:H161),0)</f>
        <v>55700</v>
      </c>
      <c r="I162" s="58"/>
      <c r="J162" s="55">
        <f>ROUNDDOWN(SUMIF(P158:P161,O162,J158:J161),0)</f>
        <v>30260</v>
      </c>
      <c r="K162" s="58"/>
      <c r="L162" s="55">
        <f>ROUNDDOWN(SUMIF(P158:P161,O162,L158:L161),0)</f>
        <v>32183</v>
      </c>
      <c r="M162" s="58"/>
      <c r="O162" s="6" t="s">
        <v>1129</v>
      </c>
    </row>
    <row r="163" spans="1:26" ht="28.7" customHeight="1" x14ac:dyDescent="0.3">
      <c r="A163" s="84" t="s">
        <v>116</v>
      </c>
      <c r="B163" s="84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36" t="str">
        <f>HYPERLINK("#N"&amp;ROW(N168),"_x0005_`BDCOD|X00102_x0007_`POSS|"&amp;ROW(N165)&amp;"_x0007_`POSE|"&amp;ROW(N168)&amp;"_x0007_`")</f>
        <v>_x0005_`BDCOD|X00102_x0007_`POSS|165_x0007_`POSE|168_x0007_`</v>
      </c>
    </row>
    <row r="164" spans="1:26" ht="28.7" customHeight="1" x14ac:dyDescent="0.3">
      <c r="A164" s="43" t="s">
        <v>422</v>
      </c>
      <c r="B164" s="43" t="s">
        <v>423</v>
      </c>
      <c r="C164" s="86"/>
      <c r="D164" s="89" t="s">
        <v>347</v>
      </c>
      <c r="E164" s="86"/>
      <c r="F164" s="86"/>
      <c r="G164" s="86"/>
      <c r="H164" s="86"/>
      <c r="I164" s="86"/>
      <c r="J164" s="86"/>
      <c r="K164" s="86"/>
      <c r="L164" s="86"/>
      <c r="M164" s="89" t="s">
        <v>424</v>
      </c>
      <c r="O164" s="6" t="s">
        <v>421</v>
      </c>
    </row>
    <row r="165" spans="1:26" ht="28.7" customHeight="1" x14ac:dyDescent="0.3">
      <c r="A165" s="9" t="s">
        <v>706</v>
      </c>
      <c r="B165" s="9"/>
      <c r="C165" s="87">
        <v>0.22789999999999999</v>
      </c>
      <c r="D165" s="33" t="s">
        <v>688</v>
      </c>
      <c r="E165" s="62">
        <f t="shared" ref="E165:F168" si="21">I165+G165+K165</f>
        <v>49355</v>
      </c>
      <c r="F165" s="91">
        <f t="shared" si="21"/>
        <v>11248</v>
      </c>
      <c r="G165" s="59">
        <v>0</v>
      </c>
      <c r="H165" s="91">
        <f>IF(C165=0,0,ROUNDDOWN(G165*C165,1))</f>
        <v>0</v>
      </c>
      <c r="I165" s="59">
        <v>0</v>
      </c>
      <c r="J165" s="92">
        <f>IF(C165=0,0,ROUNDDOWN(I165*C165,1))</f>
        <v>0</v>
      </c>
      <c r="K165" s="93">
        <f>경비목록표!E11</f>
        <v>49355</v>
      </c>
      <c r="L165" s="95">
        <f>IF(C165=0,0,ROUNDDOWN(K165*C165,1))</f>
        <v>11248</v>
      </c>
      <c r="M165" s="24" t="s">
        <v>2468</v>
      </c>
      <c r="N165" s="16" t="s">
        <v>2466</v>
      </c>
      <c r="O165" s="6" t="s">
        <v>2467</v>
      </c>
      <c r="P165" s="6" t="s">
        <v>1129</v>
      </c>
      <c r="Z165" s="19" t="str">
        <f ca="1">HYPERLINK("#"&amp;경비목록표!G2&amp;"!A"&amp;ROW(경비목록표!A11),"경비    8 →")</f>
        <v>경비    8 →</v>
      </c>
    </row>
    <row r="166" spans="1:26" ht="28.7" customHeight="1" x14ac:dyDescent="0.3">
      <c r="A166" s="9" t="s">
        <v>671</v>
      </c>
      <c r="B166" s="9"/>
      <c r="C166" s="87">
        <v>1</v>
      </c>
      <c r="D166" s="33" t="s">
        <v>650</v>
      </c>
      <c r="E166" s="62">
        <f t="shared" si="21"/>
        <v>47231</v>
      </c>
      <c r="F166" s="92">
        <f t="shared" si="21"/>
        <v>47231</v>
      </c>
      <c r="G166" s="93">
        <f>환율및기초자료!G7</f>
        <v>47231</v>
      </c>
      <c r="H166" s="94">
        <f>IF(C166=0,0,ROUNDDOWN(G166*C166,1))</f>
        <v>47231</v>
      </c>
      <c r="I166" s="59">
        <v>0</v>
      </c>
      <c r="J166" s="91">
        <f>IF(C166=0,0,ROUNDDOWN(I166*C166,1))</f>
        <v>0</v>
      </c>
      <c r="K166" s="59">
        <v>0</v>
      </c>
      <c r="L166" s="92">
        <f>IF(C166=0,0,ROUNDDOWN(K166*C166,1))</f>
        <v>0</v>
      </c>
      <c r="M166" s="24" t="s">
        <v>2471</v>
      </c>
      <c r="N166" s="16" t="s">
        <v>2469</v>
      </c>
      <c r="O166" s="6" t="s">
        <v>2470</v>
      </c>
      <c r="P166" s="6" t="s">
        <v>1129</v>
      </c>
      <c r="Z166" s="19" t="str">
        <f ca="1">HYPERLINK("#"&amp;환율및기초자료!I2&amp;"!A"&amp;ROW(환율및기초자료!A7),"노무    8 →")</f>
        <v>노무    8 →</v>
      </c>
    </row>
    <row r="167" spans="1:26" ht="28.7" customHeight="1" x14ac:dyDescent="0.3">
      <c r="A167" s="9" t="s">
        <v>438</v>
      </c>
      <c r="B167" s="9" t="s">
        <v>582</v>
      </c>
      <c r="C167" s="87">
        <v>14.1</v>
      </c>
      <c r="D167" s="33" t="s">
        <v>434</v>
      </c>
      <c r="E167" s="62">
        <f t="shared" si="21"/>
        <v>1273</v>
      </c>
      <c r="F167" s="91">
        <f t="shared" si="21"/>
        <v>17949.3</v>
      </c>
      <c r="G167" s="59">
        <v>0</v>
      </c>
      <c r="H167" s="92">
        <f>IF(C167=0,0,ROUNDDOWN(G167*C167,1))</f>
        <v>0</v>
      </c>
      <c r="I167" s="93">
        <f>재료비목록표!E35</f>
        <v>1273</v>
      </c>
      <c r="J167" s="94">
        <f>IF(C167=0,0,ROUNDDOWN(I167*C167,1))</f>
        <v>17949.3</v>
      </c>
      <c r="K167" s="59">
        <v>0</v>
      </c>
      <c r="L167" s="92">
        <f>IF(C167=0,0,ROUNDDOWN(K167*C167,1))</f>
        <v>0</v>
      </c>
      <c r="M167" s="24" t="s">
        <v>2521</v>
      </c>
      <c r="N167" s="16" t="s">
        <v>2519</v>
      </c>
      <c r="O167" s="6" t="s">
        <v>2520</v>
      </c>
      <c r="P167" s="6" t="s">
        <v>1129</v>
      </c>
      <c r="Q167" s="6" t="s">
        <v>1309</v>
      </c>
      <c r="Z167" s="19" t="str">
        <f ca="1">HYPERLINK("#"&amp;재료비목록표!G2&amp;"!A"&amp;ROW(재료비목록표!A35),"자재   32 →")</f>
        <v>자재   32 →</v>
      </c>
    </row>
    <row r="168" spans="1:26" ht="28.7" customHeight="1" x14ac:dyDescent="0.3">
      <c r="A168" s="9" t="s">
        <v>487</v>
      </c>
      <c r="B168" s="9" t="s">
        <v>2522</v>
      </c>
      <c r="C168" s="87">
        <v>38</v>
      </c>
      <c r="D168" s="33" t="s">
        <v>483</v>
      </c>
      <c r="E168" s="62">
        <f t="shared" si="21"/>
        <v>17949.3</v>
      </c>
      <c r="F168" s="91">
        <f t="shared" si="21"/>
        <v>6820.7</v>
      </c>
      <c r="G168" s="12">
        <v>0</v>
      </c>
      <c r="H168" s="91">
        <f>IF(C168=0,0,ROUNDDOWN(G168*C168/100,1))</f>
        <v>0</v>
      </c>
      <c r="I168" s="111">
        <f>SUMIF(Q165:Q167,"1_01",J165:J167)</f>
        <v>17949.3</v>
      </c>
      <c r="J168" s="92">
        <f>IF(C168=0,0,ROUNDDOWN(I168*C168/100,1))</f>
        <v>6820.7</v>
      </c>
      <c r="K168" s="23">
        <v>0</v>
      </c>
      <c r="L168" s="92">
        <f>IF(C168=0,0,ROUNDDOWN(K168*C168/100,1))</f>
        <v>0</v>
      </c>
      <c r="M168" s="24"/>
      <c r="N168" s="16" t="s">
        <v>2523</v>
      </c>
      <c r="O168" s="6" t="s">
        <v>2524</v>
      </c>
      <c r="P168" s="6" t="s">
        <v>1129</v>
      </c>
    </row>
    <row r="169" spans="1:26" ht="28.7" customHeight="1" x14ac:dyDescent="0.3">
      <c r="A169" s="24" t="s">
        <v>6</v>
      </c>
      <c r="B169" s="58"/>
      <c r="C169" s="58"/>
      <c r="D169" s="58"/>
      <c r="E169" s="58"/>
      <c r="F169" s="55">
        <f>J169+H169+L169</f>
        <v>83249</v>
      </c>
      <c r="G169" s="58"/>
      <c r="H169" s="55">
        <f>ROUNDDOWN(SUMIF(P165:P168,O169,H165:H168),0)</f>
        <v>47231</v>
      </c>
      <c r="I169" s="58"/>
      <c r="J169" s="55">
        <f>ROUNDDOWN(SUMIF(P165:P168,O169,J165:J168),0)</f>
        <v>24770</v>
      </c>
      <c r="K169" s="58"/>
      <c r="L169" s="55">
        <f>ROUNDDOWN(SUMIF(P165:P168,O169,L165:L168),0)</f>
        <v>11248</v>
      </c>
      <c r="M169" s="58"/>
      <c r="O169" s="6" t="s">
        <v>1129</v>
      </c>
    </row>
    <row r="170" spans="1:26" ht="28.7" customHeight="1" x14ac:dyDescent="0.3">
      <c r="A170" s="84" t="s">
        <v>121</v>
      </c>
      <c r="B170" s="84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36" t="str">
        <f>HYPERLINK("#N"&amp;ROW(N176),"_x0005_`BDCOD|X00105_x0007_`POSS|"&amp;ROW(N172)&amp;"_x0007_`POSE|"&amp;ROW(N176)&amp;"_x0007_`")</f>
        <v>_x0005_`BDCOD|X00105_x0007_`POSS|172_x0007_`POSE|176_x0007_`</v>
      </c>
    </row>
    <row r="171" spans="1:26" ht="28.7" customHeight="1" x14ac:dyDescent="0.3">
      <c r="A171" s="43" t="s">
        <v>426</v>
      </c>
      <c r="B171" s="43" t="s">
        <v>427</v>
      </c>
      <c r="C171" s="86"/>
      <c r="D171" s="89" t="s">
        <v>347</v>
      </c>
      <c r="E171" s="86"/>
      <c r="F171" s="86"/>
      <c r="G171" s="86"/>
      <c r="H171" s="86"/>
      <c r="I171" s="86"/>
      <c r="J171" s="86"/>
      <c r="K171" s="86"/>
      <c r="L171" s="86"/>
      <c r="M171" s="89" t="s">
        <v>428</v>
      </c>
      <c r="O171" s="6" t="s">
        <v>425</v>
      </c>
    </row>
    <row r="172" spans="1:26" ht="28.7" customHeight="1" x14ac:dyDescent="0.3">
      <c r="A172" s="9" t="s">
        <v>426</v>
      </c>
      <c r="B172" s="9" t="s">
        <v>752</v>
      </c>
      <c r="C172" s="87">
        <v>0.22789999999999999</v>
      </c>
      <c r="D172" s="33" t="s">
        <v>688</v>
      </c>
      <c r="E172" s="62">
        <f t="shared" ref="E172:F176" si="22">I172+G172+K172</f>
        <v>112684</v>
      </c>
      <c r="F172" s="91">
        <f t="shared" si="22"/>
        <v>25680.6</v>
      </c>
      <c r="G172" s="59">
        <v>0</v>
      </c>
      <c r="H172" s="91">
        <f>IF(C172=0,0,ROUNDDOWN(G172*C172,1))</f>
        <v>0</v>
      </c>
      <c r="I172" s="59">
        <v>0</v>
      </c>
      <c r="J172" s="92">
        <f>IF(C172=0,0,ROUNDDOWN(I172*C172,1))</f>
        <v>0</v>
      </c>
      <c r="K172" s="93">
        <f>경비목록표!E26</f>
        <v>112684</v>
      </c>
      <c r="L172" s="95">
        <f>IF(C172=0,0,ROUNDDOWN(K172*C172,1))</f>
        <v>25680.6</v>
      </c>
      <c r="M172" s="24" t="s">
        <v>2527</v>
      </c>
      <c r="N172" s="16" t="s">
        <v>2525</v>
      </c>
      <c r="O172" s="6" t="s">
        <v>2526</v>
      </c>
      <c r="P172" s="6" t="s">
        <v>1129</v>
      </c>
      <c r="Z172" s="19" t="str">
        <f ca="1">HYPERLINK("#"&amp;경비목록표!G2&amp;"!A"&amp;ROW(경비목록표!A26),"경비   23 →")</f>
        <v>경비   23 →</v>
      </c>
    </row>
    <row r="173" spans="1:26" ht="28.7" customHeight="1" x14ac:dyDescent="0.3">
      <c r="A173" s="9" t="s">
        <v>668</v>
      </c>
      <c r="B173" s="9"/>
      <c r="C173" s="87">
        <v>1</v>
      </c>
      <c r="D173" s="33" t="s">
        <v>650</v>
      </c>
      <c r="E173" s="62">
        <f t="shared" si="22"/>
        <v>55700</v>
      </c>
      <c r="F173" s="92">
        <f t="shared" si="22"/>
        <v>55700</v>
      </c>
      <c r="G173" s="93">
        <f>환율및기초자료!G6</f>
        <v>55700</v>
      </c>
      <c r="H173" s="94">
        <f>IF(C173=0,0,ROUNDDOWN(G173*C173,1))</f>
        <v>55700</v>
      </c>
      <c r="I173" s="59">
        <v>0</v>
      </c>
      <c r="J173" s="91">
        <f>IF(C173=0,0,ROUNDDOWN(I173*C173,1))</f>
        <v>0</v>
      </c>
      <c r="K173" s="59">
        <v>0</v>
      </c>
      <c r="L173" s="92">
        <f>IF(C173=0,0,ROUNDDOWN(K173*C173,1))</f>
        <v>0</v>
      </c>
      <c r="M173" s="24" t="s">
        <v>2441</v>
      </c>
      <c r="N173" s="16" t="s">
        <v>2439</v>
      </c>
      <c r="O173" s="6" t="s">
        <v>2440</v>
      </c>
      <c r="P173" s="6" t="s">
        <v>1129</v>
      </c>
      <c r="Z173" s="19" t="str">
        <f ca="1">HYPERLINK("#"&amp;환율및기초자료!I2&amp;"!A"&amp;ROW(환율및기초자료!A6),"노무    7 →")</f>
        <v>노무    7 →</v>
      </c>
    </row>
    <row r="174" spans="1:26" ht="28.7" customHeight="1" x14ac:dyDescent="0.3">
      <c r="A174" s="9" t="s">
        <v>438</v>
      </c>
      <c r="B174" s="9" t="s">
        <v>582</v>
      </c>
      <c r="C174" s="87">
        <v>11.6</v>
      </c>
      <c r="D174" s="33" t="s">
        <v>434</v>
      </c>
      <c r="E174" s="62">
        <f t="shared" si="22"/>
        <v>1273</v>
      </c>
      <c r="F174" s="91">
        <f t="shared" si="22"/>
        <v>14766.8</v>
      </c>
      <c r="G174" s="59">
        <v>0</v>
      </c>
      <c r="H174" s="92">
        <f>IF(C174=0,0,ROUNDDOWN(G174*C174,1))</f>
        <v>0</v>
      </c>
      <c r="I174" s="93">
        <f>재료비목록표!E35</f>
        <v>1273</v>
      </c>
      <c r="J174" s="94">
        <f>IF(C174=0,0,ROUNDDOWN(I174*C174,1))</f>
        <v>14766.8</v>
      </c>
      <c r="K174" s="59">
        <v>0</v>
      </c>
      <c r="L174" s="92">
        <f>IF(C174=0,0,ROUNDDOWN(K174*C174,1))</f>
        <v>0</v>
      </c>
      <c r="M174" s="24" t="s">
        <v>2521</v>
      </c>
      <c r="N174" s="16" t="s">
        <v>2519</v>
      </c>
      <c r="O174" s="6" t="s">
        <v>2520</v>
      </c>
      <c r="P174" s="6" t="s">
        <v>1129</v>
      </c>
      <c r="Q174" s="6" t="s">
        <v>1309</v>
      </c>
      <c r="Z174" s="19" t="str">
        <f ca="1">HYPERLINK("#"&amp;재료비목록표!G2&amp;"!A"&amp;ROW(재료비목록표!A35),"자재   32 →")</f>
        <v>자재   32 →</v>
      </c>
    </row>
    <row r="175" spans="1:26" ht="28.7" customHeight="1" x14ac:dyDescent="0.3">
      <c r="A175" s="9" t="s">
        <v>487</v>
      </c>
      <c r="B175" s="9" t="s">
        <v>2522</v>
      </c>
      <c r="C175" s="87">
        <v>24</v>
      </c>
      <c r="D175" s="33" t="s">
        <v>483</v>
      </c>
      <c r="E175" s="62">
        <f t="shared" si="22"/>
        <v>14766.8</v>
      </c>
      <c r="F175" s="91">
        <f t="shared" si="22"/>
        <v>3544</v>
      </c>
      <c r="G175" s="12">
        <v>0</v>
      </c>
      <c r="H175" s="91">
        <f>IF(C175=0,0,ROUNDDOWN(G175*C175/100,1))</f>
        <v>0</v>
      </c>
      <c r="I175" s="111">
        <f>SUMIF(Q172:Q174,"1_01",J172:J174)</f>
        <v>14766.8</v>
      </c>
      <c r="J175" s="92">
        <f>IF(C175=0,0,ROUNDDOWN(I175*C175/100,1))</f>
        <v>3544</v>
      </c>
      <c r="K175" s="23">
        <v>0</v>
      </c>
      <c r="L175" s="92">
        <f>IF(C175=0,0,ROUNDDOWN(K175*C175/100,1))</f>
        <v>0</v>
      </c>
      <c r="M175" s="24"/>
      <c r="N175" s="16" t="s">
        <v>2523</v>
      </c>
      <c r="O175" s="6" t="s">
        <v>2524</v>
      </c>
      <c r="P175" s="6" t="s">
        <v>1129</v>
      </c>
    </row>
    <row r="176" spans="1:26" ht="28.7" customHeight="1" x14ac:dyDescent="0.3">
      <c r="A176" s="9" t="s">
        <v>748</v>
      </c>
      <c r="B176" s="9" t="s">
        <v>749</v>
      </c>
      <c r="C176" s="87">
        <v>0.74350000000000005</v>
      </c>
      <c r="D176" s="33" t="s">
        <v>688</v>
      </c>
      <c r="E176" s="62">
        <f t="shared" si="22"/>
        <v>7381</v>
      </c>
      <c r="F176" s="91">
        <f t="shared" si="22"/>
        <v>5487.7</v>
      </c>
      <c r="G176" s="59">
        <v>0</v>
      </c>
      <c r="H176" s="91">
        <f>IF(C176=0,0,ROUNDDOWN(G176*C176,1))</f>
        <v>0</v>
      </c>
      <c r="I176" s="59">
        <v>0</v>
      </c>
      <c r="J176" s="92">
        <f>IF(C176=0,0,ROUNDDOWN(I176*C176,1))</f>
        <v>0</v>
      </c>
      <c r="K176" s="93">
        <f>경비목록표!E25</f>
        <v>7381</v>
      </c>
      <c r="L176" s="95">
        <f>IF(C176=0,0,ROUNDDOWN(K176*C176,1))</f>
        <v>5487.7</v>
      </c>
      <c r="M176" s="24" t="s">
        <v>2530</v>
      </c>
      <c r="N176" s="16" t="s">
        <v>2528</v>
      </c>
      <c r="O176" s="6" t="s">
        <v>2529</v>
      </c>
      <c r="P176" s="6" t="s">
        <v>1129</v>
      </c>
      <c r="Z176" s="19" t="str">
        <f ca="1">HYPERLINK("#"&amp;경비목록표!G2&amp;"!A"&amp;ROW(경비목록표!A25),"경비   22 →")</f>
        <v>경비   22 →</v>
      </c>
    </row>
    <row r="177" spans="1:15" ht="28.7" customHeight="1" x14ac:dyDescent="0.3">
      <c r="A177" s="24" t="s">
        <v>6</v>
      </c>
      <c r="B177" s="58"/>
      <c r="C177" s="58"/>
      <c r="D177" s="58"/>
      <c r="E177" s="58"/>
      <c r="F177" s="55">
        <f>J177+H177+L177</f>
        <v>105178</v>
      </c>
      <c r="G177" s="58"/>
      <c r="H177" s="55">
        <f>ROUNDDOWN(SUMIF(P172:P176,O177,H172:H176),0)</f>
        <v>55700</v>
      </c>
      <c r="I177" s="58"/>
      <c r="J177" s="55">
        <f>ROUNDDOWN(SUMIF(P172:P176,O177,J172:J176),0)</f>
        <v>18310</v>
      </c>
      <c r="K177" s="58"/>
      <c r="L177" s="55">
        <f>ROUNDDOWN(SUMIF(P172:P176,O177,L172:L176),0)</f>
        <v>31168</v>
      </c>
      <c r="M177" s="58"/>
      <c r="O177" s="6" t="s">
        <v>1129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3" type="noConversion"/>
  <conditionalFormatting sqref="C5:M177">
    <cfRule type="expression" dxfId="1" priority="1" stopIfTrue="1">
      <formula>AND(C5&lt;&gt;0,INT(C5)=C5)</formula>
    </cfRule>
  </conditionalFormatting>
  <hyperlinks>
    <hyperlink ref="Z1" r:id="rId1" tooltip="설계예산시스템(STmate w24.04)으로 작성 하였으며,_x000a_엑셀 인쇄품질 600 dpi에 최적화 되어 있습니다._x000a_경영정보(주) http://www.stma.co.kr_x000a_Tel) 070-4350-0040_x000a_Fax) 0505-300-3948"/>
    <hyperlink ref="N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30" t="s">
        <v>430</v>
      </c>
      <c r="B1" s="131"/>
      <c r="C1" s="131"/>
      <c r="D1" s="131"/>
      <c r="E1" s="131"/>
      <c r="F1" s="131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재료비목록표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431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432</v>
      </c>
      <c r="B4" s="9" t="s">
        <v>433</v>
      </c>
      <c r="C4" s="9" t="s">
        <v>204</v>
      </c>
      <c r="D4" s="8" t="s">
        <v>434</v>
      </c>
      <c r="E4" s="35">
        <f>자재단가대비표!O5</f>
        <v>1369</v>
      </c>
      <c r="F4" s="24" t="s">
        <v>432</v>
      </c>
      <c r="G4" s="36" t="str">
        <f>"_x0007_`COD|M00001_x0005_`QTY1|1_x0005_`BQC|2024.02_x0005_`EQC|_x0005_`JDC|_x0005_`WQC|_x0005_`EDT|_x0005_`DET|"&amp;ROW(자재단가대비표!A5)&amp;"_x0005_`"</f>
        <v>_x0007_`COD|M00001_x0005_`QTY1|1_x0005_`BQC|2024.02_x0005_`EQC|_x0005_`JDC|_x0005_`WQC|_x0005_`EDT|_x0005_`DET|5_x0005_`</v>
      </c>
      <c r="H4" s="19" t="str">
        <f ca="1">HYPERLINK("#"&amp;자재단가대비표!R2&amp;"!A"&amp;ROW(자재단가대비표!A5),"자재    1 →")</f>
        <v>자재    1 →</v>
      </c>
    </row>
    <row r="5" spans="1:8" ht="21.75" customHeight="1" x14ac:dyDescent="0.3">
      <c r="A5" s="8" t="s">
        <v>437</v>
      </c>
      <c r="B5" s="9" t="s">
        <v>438</v>
      </c>
      <c r="C5" s="9" t="s">
        <v>439</v>
      </c>
      <c r="D5" s="8" t="s">
        <v>434</v>
      </c>
      <c r="E5" s="35">
        <f>자재단가대비표!O6</f>
        <v>1272</v>
      </c>
      <c r="F5" s="24" t="s">
        <v>437</v>
      </c>
      <c r="G5" s="36" t="str">
        <f>"_x0007_`COD|M00003_x0005_`QTY1|1_x0005_`BQC|2024.02_x0005_`EQC|_x0005_`JDC|_x0005_`WQC|_x0005_`EDT|_x0005_`DET|"&amp;ROW(자재단가대비표!A6)&amp;"_x0005_`"</f>
        <v>_x0007_`COD|M00003_x0005_`QTY1|1_x0005_`BQC|2024.02_x0005_`EQC|_x0005_`JDC|_x0005_`WQC|_x0005_`EDT|_x0005_`DET|6_x0005_`</v>
      </c>
      <c r="H5" s="19" t="str">
        <f ca="1">HYPERLINK("#"&amp;자재단가대비표!R2&amp;"!A"&amp;ROW(자재단가대비표!A6),"자재    2 →")</f>
        <v>자재    2 →</v>
      </c>
    </row>
    <row r="6" spans="1:8" ht="21.75" customHeight="1" x14ac:dyDescent="0.3">
      <c r="A6" s="8" t="s">
        <v>442</v>
      </c>
      <c r="B6" s="9" t="s">
        <v>443</v>
      </c>
      <c r="C6" s="9" t="s">
        <v>444</v>
      </c>
      <c r="D6" s="8" t="s">
        <v>445</v>
      </c>
      <c r="E6" s="35">
        <f>자재단가대비표!O7</f>
        <v>500661</v>
      </c>
      <c r="F6" s="24" t="s">
        <v>442</v>
      </c>
      <c r="G6" s="36" t="str">
        <f>"_x0007_`COD|M00004_x0005_`QTY1|1_x0005_`BQC|2024.01_x0005_`EQC|_x0005_`JDC|_x0005_`WQC|_x0005_`EDT|_x0005_`DET|"&amp;ROW(자재단가대비표!A7)&amp;"_x0005_`"</f>
        <v>_x0007_`COD|M00004_x0005_`QTY1|1_x0005_`BQC|2024.01_x0005_`EQC|_x0005_`JDC|_x0005_`WQC|_x0005_`EDT|_x0005_`DET|7_x0005_`</v>
      </c>
      <c r="H6" s="19" t="str">
        <f ca="1">HYPERLINK("#"&amp;자재단가대비표!R2&amp;"!A"&amp;ROW(자재단가대비표!A7),"자재    3 →")</f>
        <v>자재    3 →</v>
      </c>
    </row>
    <row r="7" spans="1:8" ht="21.75" customHeight="1" x14ac:dyDescent="0.3">
      <c r="A7" s="8" t="s">
        <v>448</v>
      </c>
      <c r="B7" s="9" t="s">
        <v>449</v>
      </c>
      <c r="C7" s="9" t="s">
        <v>450</v>
      </c>
      <c r="D7" s="8" t="s">
        <v>451</v>
      </c>
      <c r="E7" s="35">
        <f>자재단가대비표!O8</f>
        <v>1503</v>
      </c>
      <c r="F7" s="24" t="s">
        <v>448</v>
      </c>
      <c r="G7" s="36" t="str">
        <f>"_x0007_`COD|M00005_x0005_`QTY1|1_x0005_`BQC|2024.01_x0005_`EQC|_x0005_`JDC|_x0005_`WQC|_x0005_`EDT|_x0005_`DET|"&amp;ROW(자재단가대비표!A8)&amp;"_x0005_`"</f>
        <v>_x0007_`COD|M00005_x0005_`QTY1|1_x0005_`BQC|2024.01_x0005_`EQC|_x0005_`JDC|_x0005_`WQC|_x0005_`EDT|_x0005_`DET|8_x0005_`</v>
      </c>
      <c r="H7" s="19" t="str">
        <f ca="1">HYPERLINK("#"&amp;자재단가대비표!R2&amp;"!A"&amp;ROW(자재단가대비표!A8),"자재    4 →")</f>
        <v>자재    4 →</v>
      </c>
    </row>
    <row r="8" spans="1:8" ht="21.75" customHeight="1" x14ac:dyDescent="0.3">
      <c r="A8" s="8" t="s">
        <v>454</v>
      </c>
      <c r="B8" s="9" t="s">
        <v>455</v>
      </c>
      <c r="C8" s="9" t="s">
        <v>444</v>
      </c>
      <c r="D8" s="8" t="s">
        <v>445</v>
      </c>
      <c r="E8" s="35">
        <f>자재단가대비표!O9</f>
        <v>572185</v>
      </c>
      <c r="F8" s="24" t="s">
        <v>454</v>
      </c>
      <c r="G8" s="36" t="str">
        <f>"_x0007_`COD|M00007_x0005_`QTY1|1_x0005_`BQC|2024.01_x0005_`EQC|_x0005_`JDC|_x0005_`WQC|_x0005_`EDT|_x0005_`DET|"&amp;ROW(자재단가대비표!A9)&amp;"_x0005_`"</f>
        <v>_x0007_`COD|M00007_x0005_`QTY1|1_x0005_`BQC|2024.01_x0005_`EQC|_x0005_`JDC|_x0005_`WQC|_x0005_`EDT|_x0005_`DET|9_x0005_`</v>
      </c>
      <c r="H8" s="19" t="str">
        <f ca="1">HYPERLINK("#"&amp;자재단가대비표!R2&amp;"!A"&amp;ROW(자재단가대비표!A9),"자재    5 →")</f>
        <v>자재    5 →</v>
      </c>
    </row>
    <row r="9" spans="1:8" ht="21.75" customHeight="1" x14ac:dyDescent="0.3">
      <c r="A9" s="8" t="s">
        <v>458</v>
      </c>
      <c r="B9" s="9" t="s">
        <v>459</v>
      </c>
      <c r="C9" s="9" t="s">
        <v>460</v>
      </c>
      <c r="D9" s="8" t="s">
        <v>461</v>
      </c>
      <c r="E9" s="35">
        <f>자재단가대비표!O10</f>
        <v>3920</v>
      </c>
      <c r="F9" s="24" t="s">
        <v>458</v>
      </c>
      <c r="G9" s="36" t="str">
        <f>"_x0007_`COD|M00018_x0005_`QTY1|1_x0005_`BQC|2024.01_x0005_`EQC|_x0005_`JDC|_x0005_`WQC|_x0005_`EDT|_x0005_`DET|"&amp;ROW(자재단가대비표!A10)&amp;"_x0005_`"</f>
        <v>_x0007_`COD|M00018_x0005_`QTY1|1_x0005_`BQC|2024.01_x0005_`EQC|_x0005_`JDC|_x0005_`WQC|_x0005_`EDT|_x0005_`DET|10_x0005_`</v>
      </c>
      <c r="H9" s="19" t="str">
        <f ca="1">HYPERLINK("#"&amp;자재단가대비표!R2&amp;"!A"&amp;ROW(자재단가대비표!A10),"자재    6 →")</f>
        <v>자재    6 →</v>
      </c>
    </row>
    <row r="10" spans="1:8" ht="21.75" customHeight="1" x14ac:dyDescent="0.3">
      <c r="A10" s="8" t="s">
        <v>464</v>
      </c>
      <c r="B10" s="9" t="s">
        <v>465</v>
      </c>
      <c r="C10" s="9" t="s">
        <v>466</v>
      </c>
      <c r="D10" s="8" t="s">
        <v>451</v>
      </c>
      <c r="E10" s="35">
        <f>자재단가대비표!O11</f>
        <v>12712</v>
      </c>
      <c r="F10" s="24" t="s">
        <v>464</v>
      </c>
      <c r="G10" s="36" t="str">
        <f>"_x0007_`COD|M00034_x0005_`QTY1|1_x0005_`BQC|2024.01_x0005_`EQC|_x0005_`JDC|_x0005_`WQC|_x0005_`EDT|_x0005_`DET|"&amp;ROW(자재단가대비표!A11)&amp;"_x0005_`"</f>
        <v>_x0007_`COD|M00034_x0005_`QTY1|1_x0005_`BQC|2024.01_x0005_`EQC|_x0005_`JDC|_x0005_`WQC|_x0005_`EDT|_x0005_`DET|11_x0005_`</v>
      </c>
      <c r="H10" s="19" t="str">
        <f ca="1">HYPERLINK("#"&amp;자재단가대비표!R2&amp;"!A"&amp;ROW(자재단가대비표!A11),"자재    7 →")</f>
        <v>자재    7 →</v>
      </c>
    </row>
    <row r="11" spans="1:8" ht="21.75" customHeight="1" x14ac:dyDescent="0.3">
      <c r="A11" s="8" t="s">
        <v>469</v>
      </c>
      <c r="B11" s="9" t="s">
        <v>470</v>
      </c>
      <c r="C11" s="9" t="s">
        <v>471</v>
      </c>
      <c r="D11" s="8" t="s">
        <v>445</v>
      </c>
      <c r="E11" s="35">
        <f>자재단가대비표!O12</f>
        <v>288000</v>
      </c>
      <c r="F11" s="24" t="s">
        <v>469</v>
      </c>
      <c r="G11" s="36" t="str">
        <f>"_x0007_`COD|M00075_x0005_`QTY1|1_x0005_`BQC|2024.01_x0005_`EQC|_x0005_`JDC|_x0005_`WQC|_x0005_`EDT|_x0005_`DET|"&amp;ROW(자재단가대비표!A12)&amp;"_x0005_`"</f>
        <v>_x0007_`COD|M00075_x0005_`QTY1|1_x0005_`BQC|2024.01_x0005_`EQC|_x0005_`JDC|_x0005_`WQC|_x0005_`EDT|_x0005_`DET|12_x0005_`</v>
      </c>
      <c r="H11" s="19" t="str">
        <f ca="1">HYPERLINK("#"&amp;자재단가대비표!R2&amp;"!A"&amp;ROW(자재단가대비표!A12),"자재    8 →")</f>
        <v>자재    8 →</v>
      </c>
    </row>
    <row r="12" spans="1:8" ht="21.75" customHeight="1" x14ac:dyDescent="0.3">
      <c r="A12" s="8" t="s">
        <v>474</v>
      </c>
      <c r="B12" s="9" t="s">
        <v>475</v>
      </c>
      <c r="C12" s="9" t="s">
        <v>476</v>
      </c>
      <c r="D12" s="8" t="s">
        <v>477</v>
      </c>
      <c r="E12" s="35">
        <f>자재단가대비표!O13</f>
        <v>1912</v>
      </c>
      <c r="F12" s="24" t="s">
        <v>474</v>
      </c>
      <c r="G12" s="36" t="str">
        <f>"_x0007_`COD|M00082_x0005_`QTY1|1_x0005_`BQC|2024.01_x0005_`EQC|_x0005_`JDC|_x0005_`WQC|_x0005_`EDT|_x0005_`DET|"&amp;ROW(자재단가대비표!A13)&amp;"_x0005_`"</f>
        <v>_x0007_`COD|M00082_x0005_`QTY1|1_x0005_`BQC|2024.01_x0005_`EQC|_x0005_`JDC|_x0005_`WQC|_x0005_`EDT|_x0005_`DET|13_x0005_`</v>
      </c>
      <c r="H12" s="19" t="str">
        <f ca="1">HYPERLINK("#"&amp;자재단가대비표!R2&amp;"!A"&amp;ROW(자재단가대비표!A13),"자재    9 →")</f>
        <v>자재    9 →</v>
      </c>
    </row>
    <row r="13" spans="1:8" ht="21.75" customHeight="1" x14ac:dyDescent="0.3">
      <c r="A13" s="8" t="s">
        <v>480</v>
      </c>
      <c r="B13" s="9" t="s">
        <v>481</v>
      </c>
      <c r="C13" s="9" t="s">
        <v>482</v>
      </c>
      <c r="D13" s="8" t="s">
        <v>483</v>
      </c>
      <c r="E13" s="35">
        <f>자재단가대비표!O14</f>
        <v>0</v>
      </c>
      <c r="F13" s="24" t="s">
        <v>480</v>
      </c>
      <c r="G13" s="36" t="str">
        <f>"_x0007_`COD|M00090_x0005_`QTY1|1_x0005_`UNT|M%_x0005_`BQC|_x0005_`EQC|_x0005_`JDC|_x0005_`WQC|_x0005_`EDT|_x0005_`DET|"&amp;ROW(자재단가대비표!A14)&amp;"_x0005_`"</f>
        <v>_x0007_`COD|M00090_x0005_`QTY1|1_x0005_`UNT|M%_x0005_`BQC|_x0005_`EQC|_x0005_`JDC|_x0005_`WQC|_x0005_`EDT|_x0005_`DET|14_x0005_`</v>
      </c>
      <c r="H13" s="19" t="str">
        <f ca="1">HYPERLINK("#"&amp;자재단가대비표!R2&amp;"!A"&amp;ROW(자재단가대비표!A14),"자재   10 →")</f>
        <v>자재   10 →</v>
      </c>
    </row>
    <row r="14" spans="1:8" ht="21.75" customHeight="1" x14ac:dyDescent="0.3">
      <c r="A14" s="8" t="s">
        <v>486</v>
      </c>
      <c r="B14" s="9" t="s">
        <v>487</v>
      </c>
      <c r="C14" s="9" t="s">
        <v>488</v>
      </c>
      <c r="D14" s="8" t="s">
        <v>483</v>
      </c>
      <c r="E14" s="35">
        <f>자재단가대비표!O15</f>
        <v>0</v>
      </c>
      <c r="F14" s="24" t="s">
        <v>486</v>
      </c>
      <c r="G14" s="36" t="str">
        <f>"_x0007_`COD|M00093_x0005_`QTY1|1_x0005_`UNT|M%_x0005_`BQC|_x0005_`EQC|_x0005_`JDC|_x0005_`WQC|_x0005_`EDT|_x0005_`DET|"&amp;ROW(자재단가대비표!A15)&amp;"_x0005_`"</f>
        <v>_x0007_`COD|M00093_x0005_`QTY1|1_x0005_`UNT|M%_x0005_`BQC|_x0005_`EQC|_x0005_`JDC|_x0005_`WQC|_x0005_`EDT|_x0005_`DET|15_x0005_`</v>
      </c>
      <c r="H14" s="19" t="str">
        <f ca="1">HYPERLINK("#"&amp;자재단가대비표!R2&amp;"!A"&amp;ROW(자재단가대비표!A15),"자재   11 →")</f>
        <v>자재   11 →</v>
      </c>
    </row>
    <row r="15" spans="1:8" ht="21.75" customHeight="1" x14ac:dyDescent="0.3">
      <c r="A15" s="8" t="s">
        <v>491</v>
      </c>
      <c r="B15" s="9" t="s">
        <v>492</v>
      </c>
      <c r="C15" s="9" t="s">
        <v>493</v>
      </c>
      <c r="D15" s="8" t="s">
        <v>483</v>
      </c>
      <c r="E15" s="35">
        <f>자재단가대비표!O16</f>
        <v>0</v>
      </c>
      <c r="F15" s="24" t="s">
        <v>491</v>
      </c>
      <c r="G15" s="36" t="str">
        <f>"_x0007_`COD|M00095_x0005_`QTY1|1_x0005_`UNT|M%_x0005_`BQC|_x0005_`EQC|_x0005_`JDC|_x0005_`WQC|_x0005_`EDT|_x0005_`DET|"&amp;ROW(자재단가대비표!A16)&amp;"_x0005_`"</f>
        <v>_x0007_`COD|M00095_x0005_`QTY1|1_x0005_`UNT|M%_x0005_`BQC|_x0005_`EQC|_x0005_`JDC|_x0005_`WQC|_x0005_`EDT|_x0005_`DET|16_x0005_`</v>
      </c>
      <c r="H15" s="19" t="str">
        <f ca="1">HYPERLINK("#"&amp;자재단가대비표!R2&amp;"!A"&amp;ROW(자재단가대비표!A16),"자재   12 →")</f>
        <v>자재   12 →</v>
      </c>
    </row>
    <row r="16" spans="1:8" ht="21.75" customHeight="1" x14ac:dyDescent="0.3">
      <c r="A16" s="8" t="s">
        <v>496</v>
      </c>
      <c r="B16" s="9" t="s">
        <v>497</v>
      </c>
      <c r="C16" s="9" t="s">
        <v>488</v>
      </c>
      <c r="D16" s="8" t="s">
        <v>483</v>
      </c>
      <c r="E16" s="35">
        <f>자재단가대비표!O17</f>
        <v>0</v>
      </c>
      <c r="F16" s="24" t="s">
        <v>496</v>
      </c>
      <c r="G16" s="36" t="str">
        <f>"_x0007_`COD|M00099_x0005_`QTY1|1_x0005_`UNT|M%_x0005_`BQC|_x0005_`EQC|_x0005_`JDC|_x0005_`WQC|_x0005_`EDT|_x0005_`DET|"&amp;ROW(자재단가대비표!A17)&amp;"_x0005_`"</f>
        <v>_x0007_`COD|M00099_x0005_`QTY1|1_x0005_`UNT|M%_x0005_`BQC|_x0005_`EQC|_x0005_`JDC|_x0005_`WQC|_x0005_`EDT|_x0005_`DET|17_x0005_`</v>
      </c>
      <c r="H16" s="19" t="str">
        <f ca="1">HYPERLINK("#"&amp;자재단가대비표!R2&amp;"!A"&amp;ROW(자재단가대비표!A17),"자재   13 →")</f>
        <v>자재   13 →</v>
      </c>
    </row>
    <row r="17" spans="1:8" ht="21.75" customHeight="1" x14ac:dyDescent="0.3">
      <c r="A17" s="8" t="s">
        <v>500</v>
      </c>
      <c r="B17" s="9" t="s">
        <v>501</v>
      </c>
      <c r="C17" s="9" t="s">
        <v>502</v>
      </c>
      <c r="D17" s="8" t="s">
        <v>451</v>
      </c>
      <c r="E17" s="35">
        <f>자재단가대비표!O18</f>
        <v>0</v>
      </c>
      <c r="F17" s="24" t="s">
        <v>500</v>
      </c>
      <c r="G17" s="36" t="str">
        <f>"_x0007_`COD|M00101_x0005_`QTY1|1_x0005_`BQC|_x0005_`EQC|_x0005_`JDC|_x0005_`WQC|_x0005_`EDT|_x0005_`DET|"&amp;ROW(자재단가대비표!A18)&amp;"_x0005_`"</f>
        <v>_x0007_`COD|M00101_x0005_`QTY1|1_x0005_`BQC|_x0005_`EQC|_x0005_`JDC|_x0005_`WQC|_x0005_`EDT|_x0005_`DET|18_x0005_`</v>
      </c>
      <c r="H17" s="19" t="str">
        <f ca="1">HYPERLINK("#"&amp;자재단가대비표!R2&amp;"!A"&amp;ROW(자재단가대비표!A18),"자재   14 →")</f>
        <v>자재   14 →</v>
      </c>
    </row>
    <row r="18" spans="1:8" ht="21.75" customHeight="1" x14ac:dyDescent="0.3">
      <c r="A18" s="8" t="s">
        <v>505</v>
      </c>
      <c r="B18" s="9" t="s">
        <v>506</v>
      </c>
      <c r="C18" s="9" t="s">
        <v>502</v>
      </c>
      <c r="D18" s="8" t="s">
        <v>445</v>
      </c>
      <c r="E18" s="35">
        <f>자재단가대비표!O19</f>
        <v>0</v>
      </c>
      <c r="F18" s="24" t="s">
        <v>505</v>
      </c>
      <c r="G18" s="36" t="str">
        <f>"_x0007_`COD|M00103_x0005_`QTY1|1_x0005_`BQC|_x0005_`EQC|_x0005_`JDC|_x0005_`WQC|_x0005_`EDT|_x0005_`DET|"&amp;ROW(자재단가대비표!A19)&amp;"_x0005_`"</f>
        <v>_x0007_`COD|M00103_x0005_`QTY1|1_x0005_`BQC|_x0005_`EQC|_x0005_`JDC|_x0005_`WQC|_x0005_`EDT|_x0005_`DET|19_x0005_`</v>
      </c>
      <c r="H18" s="19" t="str">
        <f ca="1">HYPERLINK("#"&amp;자재단가대비표!R2&amp;"!A"&amp;ROW(자재단가대비표!A19),"자재   15 →")</f>
        <v>자재   15 →</v>
      </c>
    </row>
    <row r="19" spans="1:8" ht="21.75" customHeight="1" x14ac:dyDescent="0.3">
      <c r="A19" s="8" t="s">
        <v>509</v>
      </c>
      <c r="B19" s="9" t="s">
        <v>510</v>
      </c>
      <c r="C19" s="9" t="s">
        <v>511</v>
      </c>
      <c r="D19" s="8" t="s">
        <v>512</v>
      </c>
      <c r="E19" s="35">
        <f>자재단가대비표!O20</f>
        <v>31500</v>
      </c>
      <c r="F19" s="24" t="s">
        <v>509</v>
      </c>
      <c r="G19" s="36" t="str">
        <f>"_x0007_`COD|M00112_x0005_`QTY1|1_x0005_`BQC|2024.01_x0005_`EQC|_x0005_`JDC|_x0005_`WQC|_x0005_`EDT|_x0005_`DET|"&amp;ROW(자재단가대비표!A20)&amp;"_x0005_`"</f>
        <v>_x0007_`COD|M00112_x0005_`QTY1|1_x0005_`BQC|2024.01_x0005_`EQC|_x0005_`JDC|_x0005_`WQC|_x0005_`EDT|_x0005_`DET|20_x0005_`</v>
      </c>
      <c r="H19" s="19" t="str">
        <f ca="1">HYPERLINK("#"&amp;자재단가대비표!R2&amp;"!A"&amp;ROW(자재단가대비표!A20),"자재   16 →")</f>
        <v>자재   16 →</v>
      </c>
    </row>
    <row r="20" spans="1:8" ht="21.75" customHeight="1" x14ac:dyDescent="0.3">
      <c r="A20" s="8" t="s">
        <v>515</v>
      </c>
      <c r="B20" s="9" t="s">
        <v>516</v>
      </c>
      <c r="C20" s="9" t="s">
        <v>517</v>
      </c>
      <c r="D20" s="8" t="s">
        <v>512</v>
      </c>
      <c r="E20" s="35">
        <f>자재단가대비표!O21</f>
        <v>21000</v>
      </c>
      <c r="F20" s="24" t="s">
        <v>515</v>
      </c>
      <c r="G20" s="36" t="str">
        <f>"_x0007_`COD|M00113_x0005_`QTY1|1_x0005_`BQC|2024.01_x0005_`EQC|_x0005_`JDC|_x0005_`WQC|_x0005_`EDT|_x0005_`DET|"&amp;ROW(자재단가대비표!A21)&amp;"_x0005_`"</f>
        <v>_x0007_`COD|M00113_x0005_`QTY1|1_x0005_`BQC|2024.01_x0005_`EQC|_x0005_`JDC|_x0005_`WQC|_x0005_`EDT|_x0005_`DET|21_x0005_`</v>
      </c>
      <c r="H20" s="19" t="str">
        <f ca="1">HYPERLINK("#"&amp;자재단가대비표!R2&amp;"!A"&amp;ROW(자재단가대비표!A21),"자재   17 →")</f>
        <v>자재   17 →</v>
      </c>
    </row>
    <row r="21" spans="1:8" ht="21.75" customHeight="1" x14ac:dyDescent="0.3">
      <c r="A21" s="8" t="s">
        <v>520</v>
      </c>
      <c r="B21" s="9" t="s">
        <v>521</v>
      </c>
      <c r="C21" s="9" t="s">
        <v>502</v>
      </c>
      <c r="D21" s="8" t="s">
        <v>477</v>
      </c>
      <c r="E21" s="35">
        <f>자재단가대비표!O22</f>
        <v>0</v>
      </c>
      <c r="F21" s="24" t="s">
        <v>520</v>
      </c>
      <c r="G21" s="36" t="str">
        <f>"_x0007_`COD|M00219_x0005_`QTY1|1_x0005_`BQC|_x0005_`EQC|_x0005_`JDC|_x0005_`WQC|_x0005_`EDT|_x0005_`DET|"&amp;ROW(자재단가대비표!A22)&amp;"_x0005_`"</f>
        <v>_x0007_`COD|M00219_x0005_`QTY1|1_x0005_`BQC|_x0005_`EQC|_x0005_`JDC|_x0005_`WQC|_x0005_`EDT|_x0005_`DET|22_x0005_`</v>
      </c>
      <c r="H21" s="19" t="str">
        <f ca="1">HYPERLINK("#"&amp;자재단가대비표!R2&amp;"!A"&amp;ROW(자재단가대비표!A22),"자재   18 →")</f>
        <v>자재   18 →</v>
      </c>
    </row>
    <row r="22" spans="1:8" ht="21.75" customHeight="1" x14ac:dyDescent="0.3">
      <c r="A22" s="8" t="s">
        <v>524</v>
      </c>
      <c r="B22" s="9" t="s">
        <v>525</v>
      </c>
      <c r="C22" s="9" t="s">
        <v>502</v>
      </c>
      <c r="D22" s="8" t="s">
        <v>477</v>
      </c>
      <c r="E22" s="35">
        <f>자재단가대비표!O23</f>
        <v>0</v>
      </c>
      <c r="F22" s="24" t="s">
        <v>524</v>
      </c>
      <c r="G22" s="36" t="str">
        <f>"_x0007_`COD|M00222_x0005_`QTY1|1_x0005_`BQC|_x0005_`EQC|_x0005_`JDC|_x0005_`WQC|_x0005_`EDT|_x0005_`DET|"&amp;ROW(자재단가대비표!A23)&amp;"_x0005_`"</f>
        <v>_x0007_`COD|M00222_x0005_`QTY1|1_x0005_`BQC|_x0005_`EQC|_x0005_`JDC|_x0005_`WQC|_x0005_`EDT|_x0005_`DET|23_x0005_`</v>
      </c>
      <c r="H22" s="19" t="str">
        <f ca="1">HYPERLINK("#"&amp;자재단가대비표!R2&amp;"!A"&amp;ROW(자재단가대비표!A23),"자재   19 →")</f>
        <v>자재   19 →</v>
      </c>
    </row>
    <row r="23" spans="1:8" ht="21.75" customHeight="1" x14ac:dyDescent="0.3">
      <c r="A23" s="8" t="s">
        <v>528</v>
      </c>
      <c r="B23" s="9" t="s">
        <v>529</v>
      </c>
      <c r="C23" s="9" t="s">
        <v>416</v>
      </c>
      <c r="D23" s="8" t="s">
        <v>461</v>
      </c>
      <c r="E23" s="35">
        <f>자재단가대비표!O24</f>
        <v>223000</v>
      </c>
      <c r="F23" s="24" t="s">
        <v>528</v>
      </c>
      <c r="G23" s="36" t="str">
        <f>"_x0007_`COD|M00292_x0005_`QTY1|1_x0005_`BQC|2023.01_x0005_`EQC|_x0005_`JDC|_x0005_`WQC|_x0005_`EDT|_x0005_`DET|"&amp;ROW(자재단가대비표!A24)&amp;"_x0005_`"</f>
        <v>_x0007_`COD|M00292_x0005_`QTY1|1_x0005_`BQC|2023.01_x0005_`EQC|_x0005_`JDC|_x0005_`WQC|_x0005_`EDT|_x0005_`DET|24_x0005_`</v>
      </c>
      <c r="H23" s="19" t="str">
        <f ca="1">HYPERLINK("#"&amp;자재단가대비표!R2&amp;"!A"&amp;ROW(자재단가대비표!A24),"자재   20 →")</f>
        <v>자재   20 →</v>
      </c>
    </row>
    <row r="24" spans="1:8" ht="21.75" customHeight="1" x14ac:dyDescent="0.3">
      <c r="A24" s="8" t="s">
        <v>532</v>
      </c>
      <c r="B24" s="9" t="s">
        <v>481</v>
      </c>
      <c r="C24" s="9" t="s">
        <v>482</v>
      </c>
      <c r="D24" s="8" t="s">
        <v>483</v>
      </c>
      <c r="E24" s="35">
        <f>자재단가대비표!O25</f>
        <v>0</v>
      </c>
      <c r="F24" s="24" t="s">
        <v>532</v>
      </c>
      <c r="G24" s="36" t="str">
        <f>"_x0007_`COD|M00580_x0005_`QTY1|1_x0005_`UNT|M%_x0005_`BQC|_x0005_`EQC|_x0005_`JDC|_x0005_`WQC|_x0005_`EDT|_x0005_`DET|"&amp;ROW(자재단가대비표!A25)&amp;"_x0005_`"</f>
        <v>_x0007_`COD|M00580_x0005_`QTY1|1_x0005_`UNT|M%_x0005_`BQC|_x0005_`EQC|_x0005_`JDC|_x0005_`WQC|_x0005_`EDT|_x0005_`DET|25_x0005_`</v>
      </c>
      <c r="H24" s="19" t="str">
        <f ca="1">HYPERLINK("#"&amp;자재단가대비표!R2&amp;"!A"&amp;ROW(자재단가대비표!A25),"자재   21 →")</f>
        <v>자재   21 →</v>
      </c>
    </row>
    <row r="25" spans="1:8" ht="21.75" customHeight="1" x14ac:dyDescent="0.3">
      <c r="A25" s="8" t="s">
        <v>535</v>
      </c>
      <c r="B25" s="9" t="s">
        <v>536</v>
      </c>
      <c r="C25" s="9" t="s">
        <v>502</v>
      </c>
      <c r="D25" s="8" t="s">
        <v>537</v>
      </c>
      <c r="E25" s="35">
        <f>자재단가대비표!O26</f>
        <v>0</v>
      </c>
      <c r="F25" s="24" t="s">
        <v>535</v>
      </c>
      <c r="G25" s="36" t="str">
        <f>"_x0007_`COD|M00792_x0005_`QTY1|1_x0005_`BQC|_x0005_`EQC|_x0005_`JDC|_x0005_`WQC|_x0005_`EDT|_x0005_`DET|"&amp;ROW(자재단가대비표!A26)&amp;"_x0005_`"</f>
        <v>_x0007_`COD|M00792_x0005_`QTY1|1_x0005_`BQC|_x0005_`EQC|_x0005_`JDC|_x0005_`WQC|_x0005_`EDT|_x0005_`DET|26_x0005_`</v>
      </c>
      <c r="H25" s="19" t="str">
        <f ca="1">HYPERLINK("#"&amp;자재단가대비표!R2&amp;"!A"&amp;ROW(자재단가대비표!A26),"자재   22 →")</f>
        <v>자재   22 →</v>
      </c>
    </row>
    <row r="26" spans="1:8" ht="21.75" customHeight="1" x14ac:dyDescent="0.3">
      <c r="A26" s="8" t="s">
        <v>540</v>
      </c>
      <c r="B26" s="9" t="s">
        <v>541</v>
      </c>
      <c r="C26" s="9" t="s">
        <v>542</v>
      </c>
      <c r="D26" s="8" t="s">
        <v>477</v>
      </c>
      <c r="E26" s="35">
        <f>자재단가대비표!O27</f>
        <v>157000</v>
      </c>
      <c r="F26" s="24" t="s">
        <v>540</v>
      </c>
      <c r="G26" s="36" t="str">
        <f>"_x0007_`COD|M00798_x0005_`QTY1|1_x0005_`BQC|2024.01_x0005_`EQC|거양_x0005_`JDC|_x0005_`WQC|_x0005_`EDT|_x0005_`DET|"&amp;ROW(자재단가대비표!A27)&amp;"_x0005_`"</f>
        <v>_x0007_`COD|M00798_x0005_`QTY1|1_x0005_`BQC|2024.01_x0005_`EQC|거양_x0005_`JDC|_x0005_`WQC|_x0005_`EDT|_x0005_`DET|27_x0005_`</v>
      </c>
      <c r="H26" s="19" t="str">
        <f ca="1">HYPERLINK("#"&amp;자재단가대비표!R2&amp;"!A"&amp;ROW(자재단가대비표!A27),"자재   23 →")</f>
        <v>자재   23 →</v>
      </c>
    </row>
    <row r="27" spans="1:8" ht="21.75" customHeight="1" x14ac:dyDescent="0.3">
      <c r="A27" s="8" t="s">
        <v>545</v>
      </c>
      <c r="B27" s="9" t="s">
        <v>546</v>
      </c>
      <c r="C27" s="9" t="s">
        <v>547</v>
      </c>
      <c r="D27" s="8" t="s">
        <v>483</v>
      </c>
      <c r="E27" s="35">
        <f>자재단가대비표!O28</f>
        <v>0</v>
      </c>
      <c r="F27" s="24" t="s">
        <v>545</v>
      </c>
      <c r="G27" s="36" t="str">
        <f>"_x0007_`COD|M00920_x0005_`QTY1|1_x0005_`UNT|L%_x0005_`BQC|_x0005_`EQC|_x0005_`JDC|_x0005_`WQC|_x0005_`EDT|_x0005_`DET|"&amp;ROW(자재단가대비표!A28)&amp;"_x0005_`"</f>
        <v>_x0007_`COD|M00920_x0005_`QTY1|1_x0005_`UNT|L%_x0005_`BQC|_x0005_`EQC|_x0005_`JDC|_x0005_`WQC|_x0005_`EDT|_x0005_`DET|28_x0005_`</v>
      </c>
      <c r="H27" s="19" t="str">
        <f ca="1">HYPERLINK("#"&amp;자재단가대비표!R2&amp;"!A"&amp;ROW(자재단가대비표!A28),"자재   24 →")</f>
        <v>자재   24 →</v>
      </c>
    </row>
    <row r="28" spans="1:8" ht="21.75" customHeight="1" x14ac:dyDescent="0.3">
      <c r="A28" s="8" t="s">
        <v>550</v>
      </c>
      <c r="B28" s="9" t="s">
        <v>541</v>
      </c>
      <c r="C28" s="9" t="s">
        <v>551</v>
      </c>
      <c r="D28" s="8" t="s">
        <v>477</v>
      </c>
      <c r="E28" s="35">
        <f>자재단가대비표!O29</f>
        <v>196270</v>
      </c>
      <c r="F28" s="24" t="s">
        <v>550</v>
      </c>
      <c r="G28" s="36" t="str">
        <f>"_x0007_`COD|M00934_x0005_`QTY1|1_x0005_`BQC|2024.01_x0005_`EQC|거양_x0005_`JDC|_x0005_`WQC|_x0005_`EDT|_x0005_`DET|"&amp;ROW(자재단가대비표!A29)&amp;"_x0005_`"</f>
        <v>_x0007_`COD|M00934_x0005_`QTY1|1_x0005_`BQC|2024.01_x0005_`EQC|거양_x0005_`JDC|_x0005_`WQC|_x0005_`EDT|_x0005_`DET|29_x0005_`</v>
      </c>
      <c r="H28" s="19" t="str">
        <f ca="1">HYPERLINK("#"&amp;자재단가대비표!R2&amp;"!A"&amp;ROW(자재단가대비표!A29),"자재   25 →")</f>
        <v>자재   25 →</v>
      </c>
    </row>
    <row r="29" spans="1:8" ht="21.75" customHeight="1" x14ac:dyDescent="0.3">
      <c r="A29" s="8" t="s">
        <v>554</v>
      </c>
      <c r="B29" s="9" t="s">
        <v>555</v>
      </c>
      <c r="C29" s="9" t="s">
        <v>556</v>
      </c>
      <c r="D29" s="8" t="s">
        <v>477</v>
      </c>
      <c r="E29" s="35">
        <f>자재단가대비표!O30</f>
        <v>142</v>
      </c>
      <c r="F29" s="24" t="s">
        <v>554</v>
      </c>
      <c r="G29" s="36" t="str">
        <f>"_x0007_`COD|M00938_x0005_`QTY1|1_x0005_`BQC|_x0005_`EQC|_x0005_`JDC|_x0005_`WQC|_x0005_`EDT|_x0005_`DET|"&amp;ROW(자재단가대비표!A30)&amp;"_x0005_`"</f>
        <v>_x0007_`COD|M00938_x0005_`QTY1|1_x0005_`BQC|_x0005_`EQC|_x0005_`JDC|_x0005_`WQC|_x0005_`EDT|_x0005_`DET|30_x0005_`</v>
      </c>
      <c r="H29" s="19" t="str">
        <f ca="1">HYPERLINK("#"&amp;자재단가대비표!R2&amp;"!A"&amp;ROW(자재단가대비표!A30),"자재   26 →")</f>
        <v>자재   26 →</v>
      </c>
    </row>
    <row r="30" spans="1:8" ht="21.75" customHeight="1" x14ac:dyDescent="0.3">
      <c r="A30" s="8" t="s">
        <v>559</v>
      </c>
      <c r="B30" s="9" t="s">
        <v>516</v>
      </c>
      <c r="C30" s="9" t="s">
        <v>560</v>
      </c>
      <c r="D30" s="8" t="s">
        <v>512</v>
      </c>
      <c r="E30" s="35">
        <f>자재단가대비표!O31</f>
        <v>21000</v>
      </c>
      <c r="F30" s="24" t="s">
        <v>559</v>
      </c>
      <c r="G30" s="36" t="str">
        <f>"_x0007_`COD|M00939_x0005_`QTY1|1_x0005_`BQC|24년 1월_x0005_`EQC|_x0005_`JDC|_x0005_`WQC|_x0005_`EDT|_x0005_`DET|"&amp;ROW(자재단가대비표!A31)&amp;"_x0005_`"</f>
        <v>_x0007_`COD|M00939_x0005_`QTY1|1_x0005_`BQC|24년 1월_x0005_`EQC|_x0005_`JDC|_x0005_`WQC|_x0005_`EDT|_x0005_`DET|31_x0005_`</v>
      </c>
      <c r="H30" s="19" t="str">
        <f ca="1">HYPERLINK("#"&amp;자재단가대비표!R2&amp;"!A"&amp;ROW(자재단가대비표!A31),"자재   27 →")</f>
        <v>자재   27 →</v>
      </c>
    </row>
    <row r="31" spans="1:8" ht="21.75" customHeight="1" x14ac:dyDescent="0.3">
      <c r="A31" s="8" t="s">
        <v>563</v>
      </c>
      <c r="B31" s="9" t="s">
        <v>564</v>
      </c>
      <c r="C31" s="9" t="s">
        <v>502</v>
      </c>
      <c r="D31" s="8" t="s">
        <v>445</v>
      </c>
      <c r="E31" s="35">
        <f>자재단가대비표!O32</f>
        <v>0</v>
      </c>
      <c r="F31" s="24" t="s">
        <v>563</v>
      </c>
      <c r="G31" s="36" t="str">
        <f>"_x0007_`COD|M00941_x0005_`QTY1|1_x0005_`BQC|_x0005_`EQC|_x0005_`JDC|_x0005_`WQC|_x0005_`EDT|_x0005_`DET|"&amp;ROW(자재단가대비표!A32)&amp;"_x0005_`"</f>
        <v>_x0007_`COD|M00941_x0005_`QTY1|1_x0005_`BQC|_x0005_`EQC|_x0005_`JDC|_x0005_`WQC|_x0005_`EDT|_x0005_`DET|32_x0005_`</v>
      </c>
      <c r="H31" s="19" t="str">
        <f ca="1">HYPERLINK("#"&amp;자재단가대비표!R2&amp;"!A"&amp;ROW(자재단가대비표!A32),"자재   28 →")</f>
        <v>자재   28 →</v>
      </c>
    </row>
    <row r="32" spans="1:8" ht="21.75" customHeight="1" x14ac:dyDescent="0.3">
      <c r="A32" s="8" t="s">
        <v>567</v>
      </c>
      <c r="B32" s="9" t="s">
        <v>568</v>
      </c>
      <c r="C32" s="9" t="s">
        <v>569</v>
      </c>
      <c r="D32" s="8" t="s">
        <v>451</v>
      </c>
      <c r="E32" s="35">
        <f>자재단가대비표!O33</f>
        <v>1710</v>
      </c>
      <c r="F32" s="24" t="s">
        <v>567</v>
      </c>
      <c r="G32" s="36" t="str">
        <f>"_x0007_`COD|M00943_x0005_`QTY1|1_x0005_`BQC|24.01_x0005_`EQC|_x0005_`JDC|_x0005_`WQC|_x0005_`EDT|_x0005_`DET|"&amp;ROW(자재단가대비표!A33)&amp;"_x0005_`"</f>
        <v>_x0007_`COD|M00943_x0005_`QTY1|1_x0005_`BQC|24.01_x0005_`EQC|_x0005_`JDC|_x0005_`WQC|_x0005_`EDT|_x0005_`DET|33_x0005_`</v>
      </c>
      <c r="H32" s="19" t="str">
        <f ca="1">HYPERLINK("#"&amp;자재단가대비표!R2&amp;"!A"&amp;ROW(자재단가대비표!A33),"자재   29 →")</f>
        <v>자재   29 →</v>
      </c>
    </row>
    <row r="33" spans="1:8" ht="21.75" customHeight="1" x14ac:dyDescent="0.3">
      <c r="A33" s="8" t="s">
        <v>572</v>
      </c>
      <c r="B33" s="9" t="s">
        <v>573</v>
      </c>
      <c r="C33" s="9" t="s">
        <v>574</v>
      </c>
      <c r="D33" s="8" t="s">
        <v>461</v>
      </c>
      <c r="E33" s="35">
        <f>자재단가대비표!O34</f>
        <v>21200</v>
      </c>
      <c r="F33" s="24" t="s">
        <v>572</v>
      </c>
      <c r="G33" s="36" t="str">
        <f>"_x0007_`COD|M00945_x0005_`QTY1|1_x0005_`BQC|2024.01_x0005_`EQC|거양_x0005_`JDC|_x0005_`WQC|_x0005_`EDT|_x0005_`DET|"&amp;ROW(자재단가대비표!A34)&amp;"_x0005_`"</f>
        <v>_x0007_`COD|M00945_x0005_`QTY1|1_x0005_`BQC|2024.01_x0005_`EQC|거양_x0005_`JDC|_x0005_`WQC|_x0005_`EDT|_x0005_`DET|34_x0005_`</v>
      </c>
      <c r="H33" s="19" t="str">
        <f ca="1">HYPERLINK("#"&amp;자재단가대비표!R2&amp;"!A"&amp;ROW(자재단가대비표!A34),"자재   30 →")</f>
        <v>자재   30 →</v>
      </c>
    </row>
    <row r="34" spans="1:8" ht="21.75" customHeight="1" x14ac:dyDescent="0.3">
      <c r="A34" s="8" t="s">
        <v>577</v>
      </c>
      <c r="B34" s="9" t="s">
        <v>573</v>
      </c>
      <c r="C34" s="9" t="s">
        <v>578</v>
      </c>
      <c r="D34" s="8" t="s">
        <v>461</v>
      </c>
      <c r="E34" s="35">
        <f>자재단가대비표!O35</f>
        <v>32200</v>
      </c>
      <c r="F34" s="24" t="s">
        <v>577</v>
      </c>
      <c r="G34" s="36" t="str">
        <f>"_x0007_`COD|M00946_x0005_`QTY1|1_x0005_`BQC|2024.01_x0005_`EQC|거양_x0005_`JDC|_x0005_`WQC|_x0005_`EDT|_x0005_`DET|"&amp;ROW(자재단가대비표!A35)&amp;"_x0005_`"</f>
        <v>_x0007_`COD|M00946_x0005_`QTY1|1_x0005_`BQC|2024.01_x0005_`EQC|거양_x0005_`JDC|_x0005_`WQC|_x0005_`EDT|_x0005_`DET|35_x0005_`</v>
      </c>
      <c r="H34" s="19" t="str">
        <f ca="1">HYPERLINK("#"&amp;자재단가대비표!R2&amp;"!A"&amp;ROW(자재단가대비표!A35),"자재   31 →")</f>
        <v>자재   31 →</v>
      </c>
    </row>
    <row r="35" spans="1:8" ht="21.75" customHeight="1" x14ac:dyDescent="0.3">
      <c r="A35" s="8" t="s">
        <v>581</v>
      </c>
      <c r="B35" s="9" t="s">
        <v>438</v>
      </c>
      <c r="C35" s="9" t="s">
        <v>582</v>
      </c>
      <c r="D35" s="8" t="s">
        <v>434</v>
      </c>
      <c r="E35" s="35">
        <f>자재단가대비표!O36</f>
        <v>1273</v>
      </c>
      <c r="F35" s="24" t="s">
        <v>581</v>
      </c>
      <c r="G35" s="36" t="str">
        <f>"_x0007_`COD|M00947_x0005_`QTY1|1_x0005_`BQC|24년_x0005_`EQC|_x0005_`JDC|1510150520282163_x0005_`WQC|_x0005_`EDT|2024.01.02_x0005_`DET|"&amp;ROW(자재단가대비표!A36)&amp;"_x0005_`"</f>
        <v>_x0007_`COD|M00947_x0005_`QTY1|1_x0005_`BQC|24년_x0005_`EQC|_x0005_`JDC|1510150520282163_x0005_`WQC|_x0005_`EDT|2024.01.02_x0005_`DET|36_x0005_`</v>
      </c>
      <c r="H35" s="19" t="str">
        <f ca="1">HYPERLINK("#"&amp;자재단가대비표!R2&amp;"!A"&amp;ROW(자재단가대비표!A36),"자재   32 →")</f>
        <v>자재   32 →</v>
      </c>
    </row>
    <row r="36" spans="1:8" ht="21.75" customHeight="1" x14ac:dyDescent="0.3">
      <c r="A36" s="8" t="s">
        <v>585</v>
      </c>
      <c r="B36" s="9" t="s">
        <v>586</v>
      </c>
      <c r="C36" s="9" t="s">
        <v>502</v>
      </c>
      <c r="D36" s="8" t="s">
        <v>26</v>
      </c>
      <c r="E36" s="35">
        <f>자재단가대비표!O37</f>
        <v>0</v>
      </c>
      <c r="F36" s="24" t="s">
        <v>585</v>
      </c>
      <c r="G36" s="36" t="str">
        <f>"_x0007_`COD|M00948_x0005_`QTY1|1_x0005_`BQC|_x0005_`EQC|_x0005_`JDC|_x0005_`WQC|_x0005_`EDT|_x0005_`DET|"&amp;ROW(자재단가대비표!A37)&amp;"_x0005_`"</f>
        <v>_x0007_`COD|M00948_x0005_`QTY1|1_x0005_`BQC|_x0005_`EQC|_x0005_`JDC|_x0005_`WQC|_x0005_`EDT|_x0005_`DET|37_x0005_`</v>
      </c>
      <c r="H36" s="19" t="str">
        <f ca="1">HYPERLINK("#"&amp;자재단가대비표!R2&amp;"!A"&amp;ROW(자재단가대비표!A37),"자재   33 →")</f>
        <v>자재   33 →</v>
      </c>
    </row>
    <row r="37" spans="1:8" ht="21.75" customHeight="1" x14ac:dyDescent="0.3">
      <c r="A37" s="8" t="s">
        <v>589</v>
      </c>
      <c r="B37" s="9" t="s">
        <v>590</v>
      </c>
      <c r="C37" s="9" t="s">
        <v>502</v>
      </c>
      <c r="D37" s="8" t="s">
        <v>477</v>
      </c>
      <c r="E37" s="35">
        <f>자재단가대비표!O38</f>
        <v>0</v>
      </c>
      <c r="F37" s="24" t="s">
        <v>589</v>
      </c>
      <c r="G37" s="36" t="str">
        <f>"_x0007_`COD|M00949_x0005_`QTY1|1_x0005_`BQC|_x0005_`EQC|_x0005_`JDC|_x0005_`WQC|_x0005_`EDT|_x0005_`DET|"&amp;ROW(자재단가대비표!A38)&amp;"_x0005_`"</f>
        <v>_x0007_`COD|M00949_x0005_`QTY1|1_x0005_`BQC|_x0005_`EQC|_x0005_`JDC|_x0005_`WQC|_x0005_`EDT|_x0005_`DET|38_x0005_`</v>
      </c>
      <c r="H37" s="19" t="str">
        <f ca="1">HYPERLINK("#"&amp;자재단가대비표!R2&amp;"!A"&amp;ROW(자재단가대비표!A38),"자재   34 →")</f>
        <v>자재   34 →</v>
      </c>
    </row>
    <row r="38" spans="1:8" ht="21.75" customHeight="1" x14ac:dyDescent="0.3">
      <c r="A38" s="8" t="s">
        <v>593</v>
      </c>
      <c r="B38" s="9" t="s">
        <v>594</v>
      </c>
      <c r="C38" s="9" t="s">
        <v>595</v>
      </c>
      <c r="D38" s="8" t="s">
        <v>483</v>
      </c>
      <c r="E38" s="35">
        <f>자재단가대비표!O39</f>
        <v>0</v>
      </c>
      <c r="F38" s="24" t="s">
        <v>593</v>
      </c>
      <c r="G38" s="36" t="str">
        <f>"_x0007_`COD|M00950_x0005_`QTY1|1_x0005_`UNT|L%_x0005_`BQC|_x0005_`EQC|_x0005_`JDC|_x0005_`WQC|_x0005_`EDT|_x0005_`DET|"&amp;ROW(자재단가대비표!A39)&amp;"_x0005_`"</f>
        <v>_x0007_`COD|M00950_x0005_`QTY1|1_x0005_`UNT|L%_x0005_`BQC|_x0005_`EQC|_x0005_`JDC|_x0005_`WQC|_x0005_`EDT|_x0005_`DET|39_x0005_`</v>
      </c>
      <c r="H38" s="19" t="str">
        <f ca="1">HYPERLINK("#"&amp;자재단가대비표!R2&amp;"!A"&amp;ROW(자재단가대비표!A39),"자재   35 →")</f>
        <v>자재   35 →</v>
      </c>
    </row>
    <row r="39" spans="1:8" ht="21.75" customHeight="1" x14ac:dyDescent="0.3">
      <c r="A39" s="8" t="s">
        <v>598</v>
      </c>
      <c r="B39" s="9" t="s">
        <v>599</v>
      </c>
      <c r="C39" s="9" t="s">
        <v>502</v>
      </c>
      <c r="D39" s="8" t="s">
        <v>26</v>
      </c>
      <c r="E39" s="35">
        <f>자재단가대비표!O40</f>
        <v>0</v>
      </c>
      <c r="F39" s="24" t="s">
        <v>598</v>
      </c>
      <c r="G39" s="36" t="str">
        <f>"_x0007_`COD|M00951_x0005_`QTY1|1_x0005_`BQC|_x0005_`EQC|_x0005_`JDC|_x0005_`WQC|_x0005_`EDT|_x0005_`DET|"&amp;ROW(자재단가대비표!A40)&amp;"_x0005_`"</f>
        <v>_x0007_`COD|M00951_x0005_`QTY1|1_x0005_`BQC|_x0005_`EQC|_x0005_`JDC|_x0005_`WQC|_x0005_`EDT|_x0005_`DET|40_x0005_`</v>
      </c>
      <c r="H39" s="19" t="str">
        <f ca="1">HYPERLINK("#"&amp;자재단가대비표!R2&amp;"!A"&amp;ROW(자재단가대비표!A40),"자재   36 →")</f>
        <v>자재   36 →</v>
      </c>
    </row>
    <row r="40" spans="1:8" ht="21.75" customHeight="1" x14ac:dyDescent="0.3">
      <c r="A40" s="8" t="s">
        <v>602</v>
      </c>
      <c r="B40" s="9" t="s">
        <v>603</v>
      </c>
      <c r="C40" s="9" t="s">
        <v>604</v>
      </c>
      <c r="D40" s="8" t="s">
        <v>445</v>
      </c>
      <c r="E40" s="35">
        <f>자재단가대비표!O41</f>
        <v>102970</v>
      </c>
      <c r="F40" s="24" t="s">
        <v>602</v>
      </c>
      <c r="G40" s="36" t="str">
        <f>"_x0007_`COD|M00952_x0005_`QTY1|1_x0005_`BQC|240308_x0005_`EQC|_x0005_`JDC|_x0005_`WQC|_x0005_`EDT|_x0005_`DET|"&amp;ROW(자재단가대비표!A41)&amp;"_x0005_`"</f>
        <v>_x0007_`COD|M00952_x0005_`QTY1|1_x0005_`BQC|240308_x0005_`EQC|_x0005_`JDC|_x0005_`WQC|_x0005_`EDT|_x0005_`DET|41_x0005_`</v>
      </c>
      <c r="H40" s="19" t="str">
        <f ca="1">HYPERLINK("#"&amp;자재단가대비표!R2&amp;"!A"&amp;ROW(자재단가대비표!A41),"자재   37 →")</f>
        <v>자재   37 →</v>
      </c>
    </row>
    <row r="41" spans="1:8" ht="21.75" customHeight="1" x14ac:dyDescent="0.3">
      <c r="A41" s="8" t="s">
        <v>607</v>
      </c>
      <c r="B41" s="9" t="s">
        <v>541</v>
      </c>
      <c r="C41" s="9" t="s">
        <v>608</v>
      </c>
      <c r="D41" s="8" t="s">
        <v>477</v>
      </c>
      <c r="E41" s="35">
        <f>자재단가대비표!O42</f>
        <v>273370</v>
      </c>
      <c r="F41" s="24" t="s">
        <v>607</v>
      </c>
      <c r="G41" s="36" t="str">
        <f>"_x0007_`COD|M00953_x0005_`QTY1|1_x0005_`BQC|_x0005_`EQC|조달_x0005_`JDC|_x0005_`WQC|_x0005_`EDT|_x0005_`DET|"&amp;ROW(자재단가대비표!A42)&amp;"_x0005_`"</f>
        <v>_x0007_`COD|M00953_x0005_`QTY1|1_x0005_`BQC|_x0005_`EQC|조달_x0005_`JDC|_x0005_`WQC|_x0005_`EDT|_x0005_`DET|42_x0005_`</v>
      </c>
      <c r="H41" s="19" t="str">
        <f ca="1">HYPERLINK("#"&amp;자재단가대비표!R2&amp;"!A"&amp;ROW(자재단가대비표!A42),"자재   38 →")</f>
        <v>자재   38 →</v>
      </c>
    </row>
    <row r="42" spans="1:8" ht="21.75" customHeight="1" x14ac:dyDescent="0.3">
      <c r="A42" s="8" t="s">
        <v>611</v>
      </c>
      <c r="B42" s="9" t="s">
        <v>573</v>
      </c>
      <c r="C42" s="9" t="s">
        <v>612</v>
      </c>
      <c r="D42" s="8" t="s">
        <v>461</v>
      </c>
      <c r="E42" s="35">
        <f>자재단가대비표!O43</f>
        <v>40200</v>
      </c>
      <c r="F42" s="24" t="s">
        <v>611</v>
      </c>
      <c r="G42" s="36" t="str">
        <f>"_x0007_`COD|M00954_x0005_`QTY1|1_x0005_`BQC|2024.01_x0005_`EQC|거양_x0005_`JDC|_x0005_`WQC|_x0005_`EDT|_x0005_`DET|"&amp;ROW(자재단가대비표!A43)&amp;"_x0005_`"</f>
        <v>_x0007_`COD|M00954_x0005_`QTY1|1_x0005_`BQC|2024.01_x0005_`EQC|거양_x0005_`JDC|_x0005_`WQC|_x0005_`EDT|_x0005_`DET|43_x0005_`</v>
      </c>
      <c r="H42" s="19" t="str">
        <f ca="1">HYPERLINK("#"&amp;자재단가대비표!R2&amp;"!A"&amp;ROW(자재단가대비표!A43),"자재   39 →")</f>
        <v>자재   39 →</v>
      </c>
    </row>
    <row r="43" spans="1:8" ht="21.75" customHeight="1" x14ac:dyDescent="0.3">
      <c r="A43" s="8" t="s">
        <v>615</v>
      </c>
      <c r="B43" s="9" t="s">
        <v>616</v>
      </c>
      <c r="C43" s="9" t="s">
        <v>617</v>
      </c>
      <c r="D43" s="8" t="s">
        <v>53</v>
      </c>
      <c r="E43" s="35">
        <f>자재단가대비표!O44</f>
        <v>460200</v>
      </c>
      <c r="F43" s="24" t="s">
        <v>615</v>
      </c>
      <c r="G43" s="36" t="str">
        <f>"_x0007_`COD|M00955_x0005_`QTY1|1_x0005_`BQC|2024.01_x0005_`EQC|_x0005_`JDC|_x0005_`WQC|_x0005_`EDT|_x0005_`DET|"&amp;ROW(자재단가대비표!A44)&amp;"_x0005_`"</f>
        <v>_x0007_`COD|M00955_x0005_`QTY1|1_x0005_`BQC|2024.01_x0005_`EQC|_x0005_`JDC|_x0005_`WQC|_x0005_`EDT|_x0005_`DET|44_x0005_`</v>
      </c>
      <c r="H43" s="19" t="str">
        <f ca="1">HYPERLINK("#"&amp;자재단가대비표!R2&amp;"!A"&amp;ROW(자재단가대비표!A44),"자재   40 →")</f>
        <v>자재   40 →</v>
      </c>
    </row>
    <row r="44" spans="1:8" ht="21.75" customHeight="1" x14ac:dyDescent="0.3">
      <c r="A44" s="8" t="s">
        <v>620</v>
      </c>
      <c r="B44" s="9" t="s">
        <v>621</v>
      </c>
      <c r="C44" s="9" t="s">
        <v>622</v>
      </c>
      <c r="D44" s="8" t="s">
        <v>445</v>
      </c>
      <c r="E44" s="35">
        <f>자재단가대비표!O45</f>
        <v>25665</v>
      </c>
      <c r="F44" s="24" t="s">
        <v>620</v>
      </c>
      <c r="G44" s="36" t="str">
        <f>"_x0007_`COD|M00956_x0005_`QTY1|1_x0005_`BQC|2024.01_x0005_`EQC|_x0005_`JDC|_x0005_`WQC|_x0005_`EDT|_x0005_`DET|"&amp;ROW(자재단가대비표!A45)&amp;"_x0005_`"</f>
        <v>_x0007_`COD|M00956_x0005_`QTY1|1_x0005_`BQC|2024.01_x0005_`EQC|_x0005_`JDC|_x0005_`WQC|_x0005_`EDT|_x0005_`DET|45_x0005_`</v>
      </c>
      <c r="H44" s="19" t="str">
        <f ca="1">HYPERLINK("#"&amp;자재단가대비표!R2&amp;"!A"&amp;ROW(자재단가대비표!A45),"자재   41 →")</f>
        <v>자재   41 →</v>
      </c>
    </row>
    <row r="45" spans="1:8" ht="21.75" customHeight="1" x14ac:dyDescent="0.3">
      <c r="A45" s="8" t="s">
        <v>625</v>
      </c>
      <c r="B45" s="9" t="s">
        <v>626</v>
      </c>
      <c r="C45" s="9" t="s">
        <v>622</v>
      </c>
      <c r="D45" s="8" t="s">
        <v>445</v>
      </c>
      <c r="E45" s="35">
        <f>자재단가대비표!O46</f>
        <v>18585</v>
      </c>
      <c r="F45" s="24" t="s">
        <v>625</v>
      </c>
      <c r="G45" s="36" t="str">
        <f>"_x0007_`COD|M00957_x0005_`QTY1|1_x0005_`BQC|2024.01_x0005_`EQC|_x0005_`JDC|_x0005_`WQC|_x0005_`EDT|_x0005_`DET|"&amp;ROW(자재단가대비표!A46)&amp;"_x0005_`"</f>
        <v>_x0007_`COD|M00957_x0005_`QTY1|1_x0005_`BQC|2024.01_x0005_`EQC|_x0005_`JDC|_x0005_`WQC|_x0005_`EDT|_x0005_`DET|46_x0005_`</v>
      </c>
      <c r="H45" s="19" t="str">
        <f ca="1">HYPERLINK("#"&amp;자재단가대비표!R2&amp;"!A"&amp;ROW(자재단가대비표!A46),"자재   42 →")</f>
        <v>자재   42 →</v>
      </c>
    </row>
    <row r="46" spans="1:8" ht="21.75" customHeight="1" x14ac:dyDescent="0.3">
      <c r="A46" s="8" t="s">
        <v>629</v>
      </c>
      <c r="B46" s="9" t="s">
        <v>536</v>
      </c>
      <c r="C46" s="9" t="s">
        <v>630</v>
      </c>
      <c r="D46" s="8" t="s">
        <v>213</v>
      </c>
      <c r="E46" s="35">
        <f>자재단가대비표!O47</f>
        <v>38940</v>
      </c>
      <c r="F46" s="24" t="s">
        <v>629</v>
      </c>
      <c r="G46" s="36" t="str">
        <f>"_x0007_`COD|M00958_x0005_`QTY1|1_x0005_`BQC|2024.01_x0005_`EQC|_x0005_`JDC|_x0005_`WQC|_x0005_`EDT|_x0005_`DET|"&amp;ROW(자재단가대비표!A47)&amp;"_x0005_`"</f>
        <v>_x0007_`COD|M00958_x0005_`QTY1|1_x0005_`BQC|2024.01_x0005_`EQC|_x0005_`JDC|_x0005_`WQC|_x0005_`EDT|_x0005_`DET|47_x0005_`</v>
      </c>
      <c r="H46" s="19" t="str">
        <f ca="1">HYPERLINK("#"&amp;자재단가대비표!R2&amp;"!A"&amp;ROW(자재단가대비표!A47),"자재   43 →")</f>
        <v>자재   43 →</v>
      </c>
    </row>
    <row r="47" spans="1:8" ht="21.75" customHeight="1" x14ac:dyDescent="0.3">
      <c r="A47" s="8" t="s">
        <v>632</v>
      </c>
      <c r="B47" s="9" t="s">
        <v>633</v>
      </c>
      <c r="C47" s="9" t="s">
        <v>634</v>
      </c>
      <c r="D47" s="8" t="s">
        <v>279</v>
      </c>
      <c r="E47" s="35">
        <f>자재단가대비표!O48</f>
        <v>4425</v>
      </c>
      <c r="F47" s="24" t="s">
        <v>632</v>
      </c>
      <c r="G47" s="36" t="str">
        <f>"_x0007_`COD|M00959_x0005_`QTY1|1_x0005_`BQC|2024.01_x0005_`EQC|_x0005_`JDC|_x0005_`WQC|_x0005_`EDT|_x0005_`DET|"&amp;ROW(자재단가대비표!A48)&amp;"_x0005_`"</f>
        <v>_x0007_`COD|M00959_x0005_`QTY1|1_x0005_`BQC|2024.01_x0005_`EQC|_x0005_`JDC|_x0005_`WQC|_x0005_`EDT|_x0005_`DET|48_x0005_`</v>
      </c>
      <c r="H47" s="19" t="str">
        <f ca="1">HYPERLINK("#"&amp;자재단가대비표!R2&amp;"!A"&amp;ROW(자재단가대비표!A48),"자재   44 →")</f>
        <v>자재   44 →</v>
      </c>
    </row>
    <row r="48" spans="1:8" ht="21.75" customHeight="1" x14ac:dyDescent="0.3">
      <c r="A48" s="8" t="s">
        <v>637</v>
      </c>
      <c r="B48" s="9" t="s">
        <v>638</v>
      </c>
      <c r="C48" s="9" t="s">
        <v>639</v>
      </c>
      <c r="D48" s="8" t="s">
        <v>26</v>
      </c>
      <c r="E48" s="35">
        <f>자재단가대비표!O49</f>
        <v>3973</v>
      </c>
      <c r="F48" s="24" t="s">
        <v>637</v>
      </c>
      <c r="G48" s="36" t="str">
        <f>"_x0007_`COD|M00960_x0005_`QTY1|1_x0005_`BQC|2024.01_x0005_`EQC|거양_x0005_`JDC|_x0005_`WQC|_x0005_`EDT|_x0005_`DET|"&amp;ROW(자재단가대비표!A49)&amp;"_x0005_`"</f>
        <v>_x0007_`COD|M00960_x0005_`QTY1|1_x0005_`BQC|2024.01_x0005_`EQC|거양_x0005_`JDC|_x0005_`WQC|_x0005_`EDT|_x0005_`DET|49_x0005_`</v>
      </c>
      <c r="H48" s="19" t="str">
        <f ca="1">HYPERLINK("#"&amp;자재단가대비표!R2&amp;"!A"&amp;ROW(자재단가대비표!A49),"자재   45 →")</f>
        <v>자재   45 →</v>
      </c>
    </row>
    <row r="49" spans="1:8" ht="21.75" customHeight="1" x14ac:dyDescent="0.3">
      <c r="A49" s="8" t="s">
        <v>642</v>
      </c>
      <c r="B49" s="9" t="s">
        <v>643</v>
      </c>
      <c r="C49" s="9" t="s">
        <v>644</v>
      </c>
      <c r="D49" s="8" t="s">
        <v>645</v>
      </c>
      <c r="E49" s="35">
        <f>자재단가대비표!O50</f>
        <v>797255</v>
      </c>
      <c r="F49" s="24" t="s">
        <v>642</v>
      </c>
      <c r="G49" s="36" t="str">
        <f>"_x0007_`COD|M00961_x0005_`QTY1|1_x0005_`BQC|_x0005_`EQC|_x0005_`JDC|_x0005_`WQC|_x0005_`EDT|_x0005_`DET|"&amp;ROW(자재단가대비표!A50)&amp;"_x0005_`"</f>
        <v>_x0007_`COD|M00961_x0005_`QTY1|1_x0005_`BQC|_x0005_`EQC|_x0005_`JDC|_x0005_`WQC|_x0005_`EDT|_x0005_`DET|50_x0005_`</v>
      </c>
      <c r="H49" s="19" t="str">
        <f ca="1">HYPERLINK("#"&amp;자재단가대비표!R2&amp;"!A"&amp;ROW(자재단가대비표!A50),"자재   46 →")</f>
        <v>자재   46 →</v>
      </c>
    </row>
  </sheetData>
  <mergeCells count="1">
    <mergeCell ref="A1:F1"/>
  </mergeCells>
  <phoneticPr fontId="23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30" t="s">
        <v>648</v>
      </c>
      <c r="B1" s="131"/>
      <c r="C1" s="131"/>
      <c r="D1" s="131"/>
      <c r="E1" s="131"/>
      <c r="F1" s="131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노무비목록표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431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432</v>
      </c>
      <c r="B4" s="9" t="s">
        <v>649</v>
      </c>
      <c r="C4" s="9"/>
      <c r="D4" s="8" t="s">
        <v>650</v>
      </c>
      <c r="E4" s="22">
        <v>268058</v>
      </c>
      <c r="F4" s="24" t="s">
        <v>432</v>
      </c>
      <c r="G4" s="16" t="s">
        <v>652</v>
      </c>
      <c r="H4" s="20" t="s">
        <v>651</v>
      </c>
    </row>
    <row r="5" spans="1:8" ht="21.75" customHeight="1" x14ac:dyDescent="0.3">
      <c r="A5" s="8" t="s">
        <v>437</v>
      </c>
      <c r="B5" s="9" t="s">
        <v>653</v>
      </c>
      <c r="C5" s="9"/>
      <c r="D5" s="8" t="s">
        <v>650</v>
      </c>
      <c r="E5" s="22">
        <v>274978</v>
      </c>
      <c r="F5" s="24" t="s">
        <v>437</v>
      </c>
      <c r="G5" s="16" t="s">
        <v>655</v>
      </c>
      <c r="H5" s="20" t="s">
        <v>654</v>
      </c>
    </row>
    <row r="6" spans="1:8" ht="21.75" customHeight="1" x14ac:dyDescent="0.3">
      <c r="A6" s="8" t="s">
        <v>442</v>
      </c>
      <c r="B6" s="9" t="s">
        <v>656</v>
      </c>
      <c r="C6" s="9"/>
      <c r="D6" s="8" t="s">
        <v>650</v>
      </c>
      <c r="E6" s="22">
        <v>258935</v>
      </c>
      <c r="F6" s="24" t="s">
        <v>442</v>
      </c>
      <c r="G6" s="16" t="s">
        <v>658</v>
      </c>
      <c r="H6" s="20" t="s">
        <v>657</v>
      </c>
    </row>
    <row r="7" spans="1:8" ht="21.75" customHeight="1" x14ac:dyDescent="0.3">
      <c r="A7" s="8" t="s">
        <v>448</v>
      </c>
      <c r="B7" s="9" t="s">
        <v>659</v>
      </c>
      <c r="C7" s="9"/>
      <c r="D7" s="8" t="s">
        <v>650</v>
      </c>
      <c r="E7" s="22">
        <v>261283</v>
      </c>
      <c r="F7" s="24" t="s">
        <v>448</v>
      </c>
      <c r="G7" s="16" t="s">
        <v>661</v>
      </c>
      <c r="H7" s="20" t="s">
        <v>660</v>
      </c>
    </row>
    <row r="8" spans="1:8" ht="21.75" customHeight="1" x14ac:dyDescent="0.3">
      <c r="A8" s="8" t="s">
        <v>454</v>
      </c>
      <c r="B8" s="9" t="s">
        <v>662</v>
      </c>
      <c r="C8" s="9"/>
      <c r="D8" s="8" t="s">
        <v>650</v>
      </c>
      <c r="E8" s="22">
        <v>254202</v>
      </c>
      <c r="F8" s="24" t="s">
        <v>454</v>
      </c>
      <c r="G8" s="16" t="s">
        <v>664</v>
      </c>
      <c r="H8" s="20" t="s">
        <v>663</v>
      </c>
    </row>
    <row r="9" spans="1:8" ht="21.75" customHeight="1" x14ac:dyDescent="0.3">
      <c r="A9" s="8" t="s">
        <v>458</v>
      </c>
      <c r="B9" s="9" t="s">
        <v>665</v>
      </c>
      <c r="C9" s="9"/>
      <c r="D9" s="8" t="s">
        <v>650</v>
      </c>
      <c r="E9" s="22">
        <v>165545</v>
      </c>
      <c r="F9" s="24" t="s">
        <v>458</v>
      </c>
      <c r="G9" s="16" t="s">
        <v>667</v>
      </c>
      <c r="H9" s="20" t="s">
        <v>666</v>
      </c>
    </row>
    <row r="10" spans="1:8" ht="21.75" customHeight="1" x14ac:dyDescent="0.3">
      <c r="A10" s="8" t="s">
        <v>464</v>
      </c>
      <c r="B10" s="9" t="s">
        <v>668</v>
      </c>
      <c r="C10" s="9"/>
      <c r="D10" s="8" t="s">
        <v>650</v>
      </c>
      <c r="E10" s="22">
        <v>267360</v>
      </c>
      <c r="F10" s="24" t="s">
        <v>464</v>
      </c>
      <c r="G10" s="16" t="s">
        <v>670</v>
      </c>
      <c r="H10" s="20" t="s">
        <v>669</v>
      </c>
    </row>
    <row r="11" spans="1:8" ht="21.75" customHeight="1" x14ac:dyDescent="0.3">
      <c r="A11" s="8" t="s">
        <v>469</v>
      </c>
      <c r="B11" s="9" t="s">
        <v>671</v>
      </c>
      <c r="C11" s="9"/>
      <c r="D11" s="8" t="s">
        <v>650</v>
      </c>
      <c r="E11" s="22">
        <v>226709</v>
      </c>
      <c r="F11" s="24" t="s">
        <v>469</v>
      </c>
      <c r="G11" s="16" t="s">
        <v>673</v>
      </c>
      <c r="H11" s="20" t="s">
        <v>672</v>
      </c>
    </row>
    <row r="12" spans="1:8" ht="21.75" customHeight="1" x14ac:dyDescent="0.3">
      <c r="A12" s="8" t="s">
        <v>474</v>
      </c>
      <c r="B12" s="9" t="s">
        <v>674</v>
      </c>
      <c r="C12" s="9"/>
      <c r="D12" s="8" t="s">
        <v>650</v>
      </c>
      <c r="E12" s="22">
        <v>161142</v>
      </c>
      <c r="F12" s="24" t="s">
        <v>474</v>
      </c>
      <c r="G12" s="16" t="s">
        <v>676</v>
      </c>
      <c r="H12" s="20" t="s">
        <v>675</v>
      </c>
    </row>
    <row r="13" spans="1:8" ht="21.75" customHeight="1" x14ac:dyDescent="0.3">
      <c r="A13" s="8" t="s">
        <v>480</v>
      </c>
      <c r="B13" s="9" t="s">
        <v>677</v>
      </c>
      <c r="C13" s="9"/>
      <c r="D13" s="8" t="s">
        <v>650</v>
      </c>
      <c r="E13" s="22">
        <v>243168</v>
      </c>
      <c r="F13" s="24" t="s">
        <v>480</v>
      </c>
      <c r="G13" s="16" t="s">
        <v>679</v>
      </c>
      <c r="H13" s="20" t="s">
        <v>678</v>
      </c>
    </row>
    <row r="14" spans="1:8" ht="21.75" customHeight="1" x14ac:dyDescent="0.3">
      <c r="A14" s="8" t="s">
        <v>486</v>
      </c>
      <c r="B14" s="9" t="s">
        <v>680</v>
      </c>
      <c r="C14" s="9"/>
      <c r="D14" s="8" t="s">
        <v>650</v>
      </c>
      <c r="E14" s="22">
        <v>260137</v>
      </c>
      <c r="F14" s="24" t="s">
        <v>486</v>
      </c>
      <c r="G14" s="16" t="s">
        <v>682</v>
      </c>
      <c r="H14" s="20" t="s">
        <v>681</v>
      </c>
    </row>
    <row r="15" spans="1:8" ht="21.75" customHeight="1" x14ac:dyDescent="0.3">
      <c r="A15" s="8" t="s">
        <v>491</v>
      </c>
      <c r="B15" s="9" t="s">
        <v>683</v>
      </c>
      <c r="C15" s="9"/>
      <c r="D15" s="8" t="s">
        <v>650</v>
      </c>
      <c r="E15" s="22">
        <v>258360</v>
      </c>
      <c r="F15" s="24" t="s">
        <v>491</v>
      </c>
      <c r="G15" s="16" t="s">
        <v>685</v>
      </c>
      <c r="H15" s="20" t="s">
        <v>684</v>
      </c>
    </row>
  </sheetData>
  <mergeCells count="1">
    <mergeCell ref="A1:F1"/>
  </mergeCells>
  <phoneticPr fontId="23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5" width="13.75" style="5" customWidth="1"/>
    <col min="6" max="6" width="10" style="5" customWidth="1"/>
    <col min="7" max="7" width="9.125" style="15" hidden="1" customWidth="1"/>
    <col min="8" max="8" width="9.125" style="17" customWidth="1"/>
    <col min="9" max="16384" width="9.125" style="5"/>
  </cols>
  <sheetData>
    <row r="1" spans="1:8" ht="24.95" customHeight="1" x14ac:dyDescent="0.3">
      <c r="A1" s="130" t="s">
        <v>686</v>
      </c>
      <c r="B1" s="131"/>
      <c r="C1" s="131"/>
      <c r="D1" s="131"/>
      <c r="E1" s="131"/>
      <c r="F1" s="131"/>
      <c r="G1" s="4" t="s">
        <v>166</v>
      </c>
      <c r="H1" s="18" t="s">
        <v>166</v>
      </c>
    </row>
    <row r="2" spans="1:8" ht="21.75" customHeight="1" x14ac:dyDescent="0.3">
      <c r="A2" s="1" t="s">
        <v>1</v>
      </c>
      <c r="G2" s="21" t="str">
        <f ca="1">MID(CELL("filename",$A$1),FIND("]",CELL("filename",$A$1))+1,LEN(CELL("filename",$A$1)))</f>
        <v>경비목록표</v>
      </c>
    </row>
    <row r="3" spans="1:8" ht="21.7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431</v>
      </c>
      <c r="F3" s="13" t="s">
        <v>10</v>
      </c>
      <c r="H3" s="19" t="str">
        <f>HYPERLINK("#'〓 목 차 〓'!B2","목차 →")</f>
        <v>목차 →</v>
      </c>
    </row>
    <row r="4" spans="1:8" ht="21.75" customHeight="1" x14ac:dyDescent="0.3">
      <c r="A4" s="8" t="s">
        <v>432</v>
      </c>
      <c r="B4" s="9" t="s">
        <v>687</v>
      </c>
      <c r="C4" s="9"/>
      <c r="D4" s="8" t="s">
        <v>688</v>
      </c>
      <c r="E4" s="22">
        <v>184499</v>
      </c>
      <c r="F4" s="24" t="s">
        <v>432</v>
      </c>
      <c r="G4" s="16" t="s">
        <v>690</v>
      </c>
      <c r="H4" s="20" t="s">
        <v>689</v>
      </c>
    </row>
    <row r="5" spans="1:8" ht="21.75" customHeight="1" x14ac:dyDescent="0.3">
      <c r="A5" s="8" t="s">
        <v>437</v>
      </c>
      <c r="B5" s="9" t="s">
        <v>350</v>
      </c>
      <c r="C5" s="9" t="s">
        <v>691</v>
      </c>
      <c r="D5" s="8" t="s">
        <v>688</v>
      </c>
      <c r="E5" s="22">
        <v>62550</v>
      </c>
      <c r="F5" s="24" t="s">
        <v>437</v>
      </c>
      <c r="G5" s="16" t="s">
        <v>693</v>
      </c>
      <c r="H5" s="20" t="s">
        <v>692</v>
      </c>
    </row>
    <row r="6" spans="1:8" ht="21.75" customHeight="1" x14ac:dyDescent="0.3">
      <c r="A6" s="8" t="s">
        <v>442</v>
      </c>
      <c r="B6" s="9" t="s">
        <v>353</v>
      </c>
      <c r="C6" s="9" t="s">
        <v>691</v>
      </c>
      <c r="D6" s="8" t="s">
        <v>688</v>
      </c>
      <c r="E6" s="22">
        <v>78556</v>
      </c>
      <c r="F6" s="24" t="s">
        <v>442</v>
      </c>
      <c r="G6" s="16" t="s">
        <v>695</v>
      </c>
      <c r="H6" s="20" t="s">
        <v>694</v>
      </c>
    </row>
    <row r="7" spans="1:8" ht="21.75" customHeight="1" x14ac:dyDescent="0.3">
      <c r="A7" s="8" t="s">
        <v>448</v>
      </c>
      <c r="B7" s="9" t="s">
        <v>356</v>
      </c>
      <c r="C7" s="9" t="s">
        <v>691</v>
      </c>
      <c r="D7" s="8" t="s">
        <v>688</v>
      </c>
      <c r="E7" s="22">
        <v>110926</v>
      </c>
      <c r="F7" s="24" t="s">
        <v>448</v>
      </c>
      <c r="G7" s="16" t="s">
        <v>697</v>
      </c>
      <c r="H7" s="20" t="s">
        <v>696</v>
      </c>
    </row>
    <row r="8" spans="1:8" ht="21.75" customHeight="1" x14ac:dyDescent="0.3">
      <c r="A8" s="8" t="s">
        <v>454</v>
      </c>
      <c r="B8" s="9" t="s">
        <v>359</v>
      </c>
      <c r="C8" s="9" t="s">
        <v>691</v>
      </c>
      <c r="D8" s="8" t="s">
        <v>688</v>
      </c>
      <c r="E8" s="22">
        <v>133819</v>
      </c>
      <c r="F8" s="24" t="s">
        <v>454</v>
      </c>
      <c r="G8" s="16" t="s">
        <v>699</v>
      </c>
      <c r="H8" s="20" t="s">
        <v>698</v>
      </c>
    </row>
    <row r="9" spans="1:8" ht="21.75" customHeight="1" x14ac:dyDescent="0.3">
      <c r="A9" s="8" t="s">
        <v>458</v>
      </c>
      <c r="B9" s="9" t="s">
        <v>700</v>
      </c>
      <c r="C9" s="9"/>
      <c r="D9" s="8" t="s">
        <v>688</v>
      </c>
      <c r="E9" s="22">
        <v>16315</v>
      </c>
      <c r="F9" s="24" t="s">
        <v>458</v>
      </c>
      <c r="G9" s="16" t="s">
        <v>702</v>
      </c>
      <c r="H9" s="20" t="s">
        <v>701</v>
      </c>
    </row>
    <row r="10" spans="1:8" ht="21.75" customHeight="1" x14ac:dyDescent="0.3">
      <c r="A10" s="8" t="s">
        <v>464</v>
      </c>
      <c r="B10" s="9" t="s">
        <v>703</v>
      </c>
      <c r="C10" s="9"/>
      <c r="D10" s="8" t="s">
        <v>688</v>
      </c>
      <c r="E10" s="22">
        <v>24274</v>
      </c>
      <c r="F10" s="24" t="s">
        <v>464</v>
      </c>
      <c r="G10" s="16" t="s">
        <v>705</v>
      </c>
      <c r="H10" s="20" t="s">
        <v>704</v>
      </c>
    </row>
    <row r="11" spans="1:8" ht="21.75" customHeight="1" x14ac:dyDescent="0.3">
      <c r="A11" s="8" t="s">
        <v>469</v>
      </c>
      <c r="B11" s="9" t="s">
        <v>706</v>
      </c>
      <c r="C11" s="9"/>
      <c r="D11" s="8" t="s">
        <v>688</v>
      </c>
      <c r="E11" s="22">
        <v>49355</v>
      </c>
      <c r="F11" s="24" t="s">
        <v>469</v>
      </c>
      <c r="G11" s="16" t="s">
        <v>708</v>
      </c>
      <c r="H11" s="20" t="s">
        <v>707</v>
      </c>
    </row>
    <row r="12" spans="1:8" ht="21.75" customHeight="1" x14ac:dyDescent="0.3">
      <c r="A12" s="8" t="s">
        <v>474</v>
      </c>
      <c r="B12" s="9" t="s">
        <v>709</v>
      </c>
      <c r="C12" s="9"/>
      <c r="D12" s="8" t="s">
        <v>688</v>
      </c>
      <c r="E12" s="22">
        <v>86142</v>
      </c>
      <c r="F12" s="24" t="s">
        <v>474</v>
      </c>
      <c r="G12" s="16" t="s">
        <v>711</v>
      </c>
      <c r="H12" s="20" t="s">
        <v>710</v>
      </c>
    </row>
    <row r="13" spans="1:8" ht="21.75" customHeight="1" x14ac:dyDescent="0.3">
      <c r="A13" s="8" t="s">
        <v>480</v>
      </c>
      <c r="B13" s="9" t="s">
        <v>378</v>
      </c>
      <c r="C13" s="9" t="s">
        <v>379</v>
      </c>
      <c r="D13" s="8" t="s">
        <v>688</v>
      </c>
      <c r="E13" s="22">
        <v>1546</v>
      </c>
      <c r="F13" s="24" t="s">
        <v>480</v>
      </c>
      <c r="G13" s="16" t="s">
        <v>713</v>
      </c>
      <c r="H13" s="20" t="s">
        <v>712</v>
      </c>
    </row>
    <row r="14" spans="1:8" ht="21.75" customHeight="1" x14ac:dyDescent="0.3">
      <c r="A14" s="8" t="s">
        <v>486</v>
      </c>
      <c r="B14" s="9" t="s">
        <v>714</v>
      </c>
      <c r="C14" s="9" t="s">
        <v>715</v>
      </c>
      <c r="D14" s="8" t="s">
        <v>688</v>
      </c>
      <c r="E14" s="22">
        <v>11046</v>
      </c>
      <c r="F14" s="24" t="s">
        <v>486</v>
      </c>
      <c r="G14" s="16" t="s">
        <v>717</v>
      </c>
      <c r="H14" s="20" t="s">
        <v>716</v>
      </c>
    </row>
    <row r="15" spans="1:8" ht="21.75" customHeight="1" x14ac:dyDescent="0.3">
      <c r="A15" s="8" t="s">
        <v>491</v>
      </c>
      <c r="B15" s="9" t="s">
        <v>386</v>
      </c>
      <c r="C15" s="9" t="s">
        <v>387</v>
      </c>
      <c r="D15" s="8" t="s">
        <v>688</v>
      </c>
      <c r="E15" s="22">
        <v>63483</v>
      </c>
      <c r="F15" s="24" t="s">
        <v>491</v>
      </c>
      <c r="G15" s="16" t="s">
        <v>719</v>
      </c>
      <c r="H15" s="20" t="s">
        <v>718</v>
      </c>
    </row>
    <row r="16" spans="1:8" ht="21.75" customHeight="1" x14ac:dyDescent="0.3">
      <c r="A16" s="8" t="s">
        <v>496</v>
      </c>
      <c r="B16" s="9" t="s">
        <v>390</v>
      </c>
      <c r="C16" s="9"/>
      <c r="D16" s="8" t="s">
        <v>688</v>
      </c>
      <c r="E16" s="22">
        <v>5409</v>
      </c>
      <c r="F16" s="24" t="s">
        <v>496</v>
      </c>
      <c r="G16" s="16" t="s">
        <v>721</v>
      </c>
      <c r="H16" s="20" t="s">
        <v>720</v>
      </c>
    </row>
    <row r="17" spans="1:8" ht="21.75" customHeight="1" x14ac:dyDescent="0.3">
      <c r="A17" s="8" t="s">
        <v>500</v>
      </c>
      <c r="B17" s="9" t="s">
        <v>722</v>
      </c>
      <c r="C17" s="9" t="s">
        <v>723</v>
      </c>
      <c r="D17" s="8" t="s">
        <v>688</v>
      </c>
      <c r="E17" s="22">
        <v>150666</v>
      </c>
      <c r="F17" s="24" t="s">
        <v>500</v>
      </c>
      <c r="G17" s="16" t="s">
        <v>725</v>
      </c>
      <c r="H17" s="20" t="s">
        <v>724</v>
      </c>
    </row>
    <row r="18" spans="1:8" ht="21.75" customHeight="1" x14ac:dyDescent="0.3">
      <c r="A18" s="8" t="s">
        <v>505</v>
      </c>
      <c r="B18" s="9" t="s">
        <v>382</v>
      </c>
      <c r="C18" s="9" t="s">
        <v>383</v>
      </c>
      <c r="D18" s="8" t="s">
        <v>688</v>
      </c>
      <c r="E18" s="22">
        <v>38469</v>
      </c>
      <c r="F18" s="24" t="s">
        <v>505</v>
      </c>
      <c r="G18" s="16" t="s">
        <v>727</v>
      </c>
      <c r="H18" s="20" t="s">
        <v>726</v>
      </c>
    </row>
    <row r="19" spans="1:8" ht="21.75" customHeight="1" x14ac:dyDescent="0.3">
      <c r="A19" s="8" t="s">
        <v>509</v>
      </c>
      <c r="B19" s="9" t="s">
        <v>728</v>
      </c>
      <c r="C19" s="9" t="s">
        <v>729</v>
      </c>
      <c r="D19" s="8" t="s">
        <v>730</v>
      </c>
      <c r="E19" s="22">
        <v>61500</v>
      </c>
      <c r="F19" s="24" t="s">
        <v>509</v>
      </c>
      <c r="G19" s="16" t="s">
        <v>732</v>
      </c>
      <c r="H19" s="20" t="s">
        <v>731</v>
      </c>
    </row>
    <row r="20" spans="1:8" ht="21.75" customHeight="1" x14ac:dyDescent="0.3">
      <c r="A20" s="8" t="s">
        <v>515</v>
      </c>
      <c r="B20" s="9" t="s">
        <v>733</v>
      </c>
      <c r="C20" s="9" t="s">
        <v>188</v>
      </c>
      <c r="D20" s="8" t="s">
        <v>688</v>
      </c>
      <c r="E20" s="22">
        <v>7381</v>
      </c>
      <c r="F20" s="24" t="s">
        <v>515</v>
      </c>
      <c r="G20" s="16" t="s">
        <v>735</v>
      </c>
      <c r="H20" s="20" t="s">
        <v>734</v>
      </c>
    </row>
    <row r="21" spans="1:8" ht="21.75" customHeight="1" x14ac:dyDescent="0.3">
      <c r="A21" s="8" t="s">
        <v>520</v>
      </c>
      <c r="B21" s="9" t="s">
        <v>736</v>
      </c>
      <c r="C21" s="9"/>
      <c r="D21" s="8" t="s">
        <v>688</v>
      </c>
      <c r="E21" s="22">
        <v>20793</v>
      </c>
      <c r="F21" s="24" t="s">
        <v>520</v>
      </c>
      <c r="G21" s="16" t="s">
        <v>738</v>
      </c>
      <c r="H21" s="20" t="s">
        <v>737</v>
      </c>
    </row>
    <row r="22" spans="1:8" ht="21.75" customHeight="1" x14ac:dyDescent="0.3">
      <c r="A22" s="8" t="s">
        <v>524</v>
      </c>
      <c r="B22" s="9" t="s">
        <v>739</v>
      </c>
      <c r="C22" s="9" t="s">
        <v>740</v>
      </c>
      <c r="D22" s="8" t="s">
        <v>688</v>
      </c>
      <c r="E22" s="22">
        <v>112684</v>
      </c>
      <c r="F22" s="24" t="s">
        <v>524</v>
      </c>
      <c r="G22" s="16" t="s">
        <v>742</v>
      </c>
      <c r="H22" s="20" t="s">
        <v>741</v>
      </c>
    </row>
    <row r="23" spans="1:8" ht="21.75" customHeight="1" x14ac:dyDescent="0.3">
      <c r="A23" s="8" t="s">
        <v>528</v>
      </c>
      <c r="B23" s="9" t="s">
        <v>743</v>
      </c>
      <c r="C23" s="9"/>
      <c r="D23" s="8" t="s">
        <v>688</v>
      </c>
      <c r="E23" s="22">
        <v>140899</v>
      </c>
      <c r="F23" s="24" t="s">
        <v>528</v>
      </c>
      <c r="G23" s="16" t="s">
        <v>745</v>
      </c>
      <c r="H23" s="20" t="s">
        <v>744</v>
      </c>
    </row>
    <row r="24" spans="1:8" ht="21.75" customHeight="1" x14ac:dyDescent="0.3">
      <c r="A24" s="8" t="s">
        <v>532</v>
      </c>
      <c r="B24" s="9" t="s">
        <v>378</v>
      </c>
      <c r="C24" s="9" t="s">
        <v>403</v>
      </c>
      <c r="D24" s="8" t="s">
        <v>688</v>
      </c>
      <c r="E24" s="22">
        <v>1794</v>
      </c>
      <c r="F24" s="24" t="s">
        <v>532</v>
      </c>
      <c r="G24" s="16" t="s">
        <v>747</v>
      </c>
      <c r="H24" s="20" t="s">
        <v>746</v>
      </c>
    </row>
    <row r="25" spans="1:8" ht="21.75" customHeight="1" x14ac:dyDescent="0.3">
      <c r="A25" s="8" t="s">
        <v>535</v>
      </c>
      <c r="B25" s="9" t="s">
        <v>748</v>
      </c>
      <c r="C25" s="9" t="s">
        <v>749</v>
      </c>
      <c r="D25" s="8" t="s">
        <v>688</v>
      </c>
      <c r="E25" s="22">
        <v>7381</v>
      </c>
      <c r="F25" s="24" t="s">
        <v>535</v>
      </c>
      <c r="G25" s="16" t="s">
        <v>751</v>
      </c>
      <c r="H25" s="20" t="s">
        <v>750</v>
      </c>
    </row>
    <row r="26" spans="1:8" ht="21.75" customHeight="1" x14ac:dyDescent="0.3">
      <c r="A26" s="8" t="s">
        <v>540</v>
      </c>
      <c r="B26" s="9" t="s">
        <v>426</v>
      </c>
      <c r="C26" s="9" t="s">
        <v>752</v>
      </c>
      <c r="D26" s="8" t="s">
        <v>688</v>
      </c>
      <c r="E26" s="22">
        <v>112684</v>
      </c>
      <c r="F26" s="24" t="s">
        <v>540</v>
      </c>
      <c r="G26" s="16" t="s">
        <v>754</v>
      </c>
      <c r="H26" s="20" t="s">
        <v>753</v>
      </c>
    </row>
  </sheetData>
  <mergeCells count="1">
    <mergeCell ref="A1:F1"/>
  </mergeCells>
  <phoneticPr fontId="23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17" width="10" style="5" customWidth="1"/>
    <col min="18" max="18" width="9.125" style="15" hidden="1" customWidth="1"/>
    <col min="19" max="19" width="9.125" style="17" customWidth="1"/>
    <col min="20" max="20" width="10" style="5" customWidth="1"/>
    <col min="21" max="21" width="2.5" style="5" customWidth="1"/>
    <col min="22" max="22" width="10" style="5" customWidth="1"/>
    <col min="23" max="23" width="8.5" style="5" customWidth="1"/>
    <col min="24" max="16384" width="9.125" style="5"/>
  </cols>
  <sheetData>
    <row r="1" spans="1:25" ht="24.95" customHeight="1" x14ac:dyDescent="0.3">
      <c r="A1" s="130" t="s">
        <v>773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4" t="s">
        <v>166</v>
      </c>
      <c r="S1" s="18" t="s">
        <v>166</v>
      </c>
    </row>
    <row r="2" spans="1:25" ht="34.700000000000003" customHeight="1" x14ac:dyDescent="0.3">
      <c r="A2" s="1" t="s">
        <v>1</v>
      </c>
      <c r="R2" s="21" t="str">
        <f ca="1">MID(CELL("filename",$A$1),FIND("]",CELL("filename",$A$1))+1,LEN(CELL("filename",$A$1)))</f>
        <v>자재단가대비표</v>
      </c>
    </row>
    <row r="3" spans="1:25" ht="34.700000000000003" customHeight="1" x14ac:dyDescent="0.3">
      <c r="A3" s="146" t="s">
        <v>2</v>
      </c>
      <c r="B3" s="146" t="s">
        <v>3</v>
      </c>
      <c r="C3" s="146" t="s">
        <v>4</v>
      </c>
      <c r="D3" s="146" t="s">
        <v>5</v>
      </c>
      <c r="E3" s="134" t="s">
        <v>774</v>
      </c>
      <c r="F3" s="140"/>
      <c r="G3" s="134" t="s">
        <v>776</v>
      </c>
      <c r="H3" s="140"/>
      <c r="I3" s="134" t="s">
        <v>777</v>
      </c>
      <c r="J3" s="140"/>
      <c r="K3" s="134" t="s">
        <v>778</v>
      </c>
      <c r="L3" s="140"/>
      <c r="M3" s="134" t="s">
        <v>779</v>
      </c>
      <c r="N3" s="140"/>
      <c r="O3" s="134" t="s">
        <v>780</v>
      </c>
      <c r="P3" s="140"/>
      <c r="Q3" s="134" t="s">
        <v>10</v>
      </c>
      <c r="U3" s="154" t="s">
        <v>782</v>
      </c>
      <c r="V3" s="131"/>
      <c r="W3" s="131"/>
    </row>
    <row r="4" spans="1:25" ht="34.700000000000003" customHeight="1" x14ac:dyDescent="0.3">
      <c r="A4" s="140"/>
      <c r="B4" s="140"/>
      <c r="C4" s="140"/>
      <c r="D4" s="140"/>
      <c r="E4" s="8" t="s">
        <v>431</v>
      </c>
      <c r="F4" s="8" t="s">
        <v>775</v>
      </c>
      <c r="G4" s="8" t="s">
        <v>431</v>
      </c>
      <c r="H4" s="8" t="s">
        <v>775</v>
      </c>
      <c r="I4" s="8" t="s">
        <v>431</v>
      </c>
      <c r="J4" s="8" t="s">
        <v>775</v>
      </c>
      <c r="K4" s="8" t="s">
        <v>431</v>
      </c>
      <c r="L4" s="8" t="s">
        <v>775</v>
      </c>
      <c r="M4" s="8" t="s">
        <v>431</v>
      </c>
      <c r="N4" s="8" t="s">
        <v>775</v>
      </c>
      <c r="O4" s="8" t="s">
        <v>431</v>
      </c>
      <c r="P4" s="8" t="s">
        <v>775</v>
      </c>
      <c r="Q4" s="135"/>
      <c r="S4" s="19" t="str">
        <f>HYPERLINK("#'〓 목 차 〓'!B2","목차 →")</f>
        <v>목차 →</v>
      </c>
      <c r="T4" s="20" t="s">
        <v>781</v>
      </c>
      <c r="U4" s="20" t="s">
        <v>783</v>
      </c>
      <c r="V4" s="20" t="s">
        <v>431</v>
      </c>
      <c r="W4" s="20" t="s">
        <v>775</v>
      </c>
      <c r="X4" s="20" t="s">
        <v>784</v>
      </c>
      <c r="Y4" s="20" t="s">
        <v>785</v>
      </c>
    </row>
    <row r="5" spans="1:25" ht="34.700000000000003" customHeight="1" x14ac:dyDescent="0.3">
      <c r="A5" s="8" t="s">
        <v>432</v>
      </c>
      <c r="B5" s="9" t="s">
        <v>433</v>
      </c>
      <c r="C5" s="9" t="s">
        <v>204</v>
      </c>
      <c r="D5" s="8" t="s">
        <v>434</v>
      </c>
      <c r="E5" s="23">
        <v>1369</v>
      </c>
      <c r="F5" s="8"/>
      <c r="G5" s="23">
        <v>0</v>
      </c>
      <c r="H5" s="8"/>
      <c r="I5" s="23">
        <v>0</v>
      </c>
      <c r="J5" s="8"/>
      <c r="K5" s="23">
        <v>0</v>
      </c>
      <c r="L5" s="8"/>
      <c r="M5" s="23">
        <v>0</v>
      </c>
      <c r="N5" s="8"/>
      <c r="O5" s="23">
        <v>1369</v>
      </c>
      <c r="P5" s="24" t="s">
        <v>786</v>
      </c>
      <c r="Q5" s="14" t="s">
        <v>432</v>
      </c>
      <c r="R5" s="16" t="s">
        <v>436</v>
      </c>
      <c r="S5" s="19" t="str">
        <f ca="1">HYPERLINK("#"&amp;재료비목록표!G2&amp;"!A"&amp;ROW(재료비목록표!A4),"자재    1 →")</f>
        <v>자재    1 →</v>
      </c>
      <c r="T5" s="37">
        <v>1369</v>
      </c>
      <c r="U5" s="38">
        <f t="shared" ref="U5:U50" si="0">IF(OR(V5=0,ISERROR(MATCH(V5,E5:M5,0))),"",CHOOSE(TRUNC((MATCH(V5,E5:M5,0)/2+1)),1,2,3,4,5))</f>
        <v>1</v>
      </c>
      <c r="V5" s="39">
        <f t="shared" ref="V5:V50" si="1">IF(AND(E5=0,G5=0,I5=0,K5=0,M5=0),T5,MIN(IF(E5=0,MAX(E5:M5),E5),IF(G5=0,MAX(E5:M5),G5),IF(I5=0,MAX(E5:M5),I5),IF(K5=0,MAX(E5:M5),K5),IF(M5=0,MAX(E5:M5),M5)))</f>
        <v>1369</v>
      </c>
      <c r="W5" s="40" t="str">
        <f t="shared" ref="W5:W50" si="2">IF(OR(O5=0,U5=""),"",CHOOSE(U5,Y$5,Y$6,Y$7,Y$8,Y$9))</f>
        <v>조달</v>
      </c>
      <c r="X5" s="20" t="s">
        <v>774</v>
      </c>
      <c r="Y5" s="20" t="s">
        <v>786</v>
      </c>
    </row>
    <row r="6" spans="1:25" ht="34.700000000000003" customHeight="1" x14ac:dyDescent="0.3">
      <c r="A6" s="8" t="s">
        <v>437</v>
      </c>
      <c r="B6" s="9" t="s">
        <v>438</v>
      </c>
      <c r="C6" s="9" t="s">
        <v>439</v>
      </c>
      <c r="D6" s="8" t="s">
        <v>434</v>
      </c>
      <c r="E6" s="23">
        <v>1272</v>
      </c>
      <c r="F6" s="8"/>
      <c r="G6" s="23">
        <v>0</v>
      </c>
      <c r="H6" s="8"/>
      <c r="I6" s="23">
        <v>0</v>
      </c>
      <c r="J6" s="8"/>
      <c r="K6" s="23">
        <v>0</v>
      </c>
      <c r="L6" s="8"/>
      <c r="M6" s="23">
        <v>0</v>
      </c>
      <c r="N6" s="8"/>
      <c r="O6" s="23">
        <v>1272</v>
      </c>
      <c r="P6" s="24" t="s">
        <v>786</v>
      </c>
      <c r="Q6" s="14" t="s">
        <v>437</v>
      </c>
      <c r="R6" s="16" t="s">
        <v>441</v>
      </c>
      <c r="S6" s="19" t="str">
        <f ca="1">HYPERLINK("#"&amp;재료비목록표!G2&amp;"!A"&amp;ROW(재료비목록표!A5),"자재    2 →")</f>
        <v>자재    2 →</v>
      </c>
      <c r="T6" s="37">
        <v>1272</v>
      </c>
      <c r="U6" s="38">
        <f t="shared" si="0"/>
        <v>1</v>
      </c>
      <c r="V6" s="39">
        <f t="shared" si="1"/>
        <v>1272</v>
      </c>
      <c r="W6" s="40" t="str">
        <f t="shared" si="2"/>
        <v>조달</v>
      </c>
      <c r="X6" s="20" t="s">
        <v>776</v>
      </c>
      <c r="Y6" s="20" t="s">
        <v>787</v>
      </c>
    </row>
    <row r="7" spans="1:25" ht="34.700000000000003" customHeight="1" x14ac:dyDescent="0.3">
      <c r="A7" s="8" t="s">
        <v>442</v>
      </c>
      <c r="B7" s="9" t="s">
        <v>443</v>
      </c>
      <c r="C7" s="9" t="s">
        <v>444</v>
      </c>
      <c r="D7" s="8" t="s">
        <v>445</v>
      </c>
      <c r="E7" s="23">
        <v>500661</v>
      </c>
      <c r="F7" s="8"/>
      <c r="G7" s="23">
        <v>829341</v>
      </c>
      <c r="H7" s="8" t="s">
        <v>791</v>
      </c>
      <c r="I7" s="23">
        <v>748503</v>
      </c>
      <c r="J7" s="8" t="s">
        <v>792</v>
      </c>
      <c r="K7" s="23">
        <v>0</v>
      </c>
      <c r="L7" s="8"/>
      <c r="M7" s="23">
        <v>0</v>
      </c>
      <c r="N7" s="8"/>
      <c r="O7" s="23">
        <v>500661</v>
      </c>
      <c r="P7" s="24" t="s">
        <v>786</v>
      </c>
      <c r="Q7" s="14" t="s">
        <v>442</v>
      </c>
      <c r="R7" s="16" t="s">
        <v>447</v>
      </c>
      <c r="S7" s="19" t="str">
        <f ca="1">HYPERLINK("#"&amp;재료비목록표!G2&amp;"!A"&amp;ROW(재료비목록표!A6),"자재    3 →")</f>
        <v>자재    3 →</v>
      </c>
      <c r="T7" s="37">
        <v>500661</v>
      </c>
      <c r="U7" s="38">
        <f t="shared" si="0"/>
        <v>1</v>
      </c>
      <c r="V7" s="39">
        <f t="shared" si="1"/>
        <v>500661</v>
      </c>
      <c r="W7" s="40" t="str">
        <f t="shared" si="2"/>
        <v>조달</v>
      </c>
      <c r="X7" s="20" t="s">
        <v>777</v>
      </c>
      <c r="Y7" s="20" t="s">
        <v>788</v>
      </c>
    </row>
    <row r="8" spans="1:25" ht="34.700000000000003" customHeight="1" x14ac:dyDescent="0.3">
      <c r="A8" s="8" t="s">
        <v>448</v>
      </c>
      <c r="B8" s="9" t="s">
        <v>449</v>
      </c>
      <c r="C8" s="9" t="s">
        <v>450</v>
      </c>
      <c r="D8" s="8" t="s">
        <v>451</v>
      </c>
      <c r="E8" s="23">
        <v>1503</v>
      </c>
      <c r="F8" s="8"/>
      <c r="G8" s="23">
        <v>1935</v>
      </c>
      <c r="H8" s="8" t="s">
        <v>446</v>
      </c>
      <c r="I8" s="23">
        <v>1665</v>
      </c>
      <c r="J8" s="8" t="s">
        <v>793</v>
      </c>
      <c r="K8" s="23">
        <v>0</v>
      </c>
      <c r="L8" s="8"/>
      <c r="M8" s="23">
        <v>0</v>
      </c>
      <c r="N8" s="8"/>
      <c r="O8" s="23">
        <v>1503</v>
      </c>
      <c r="P8" s="24" t="s">
        <v>786</v>
      </c>
      <c r="Q8" s="14" t="s">
        <v>448</v>
      </c>
      <c r="R8" s="16" t="s">
        <v>453</v>
      </c>
      <c r="S8" s="19" t="str">
        <f ca="1">HYPERLINK("#"&amp;재료비목록표!G2&amp;"!A"&amp;ROW(재료비목록표!A7),"자재    4 →")</f>
        <v>자재    4 →</v>
      </c>
      <c r="T8" s="37">
        <v>1503</v>
      </c>
      <c r="U8" s="38">
        <f t="shared" si="0"/>
        <v>1</v>
      </c>
      <c r="V8" s="39">
        <f t="shared" si="1"/>
        <v>1503</v>
      </c>
      <c r="W8" s="40" t="str">
        <f t="shared" si="2"/>
        <v>조달</v>
      </c>
      <c r="X8" s="20" t="s">
        <v>778</v>
      </c>
      <c r="Y8" s="20" t="s">
        <v>789</v>
      </c>
    </row>
    <row r="9" spans="1:25" ht="34.700000000000003" customHeight="1" x14ac:dyDescent="0.3">
      <c r="A9" s="8" t="s">
        <v>454</v>
      </c>
      <c r="B9" s="9" t="s">
        <v>455</v>
      </c>
      <c r="C9" s="9" t="s">
        <v>444</v>
      </c>
      <c r="D9" s="8" t="s">
        <v>445</v>
      </c>
      <c r="E9" s="23">
        <v>572185</v>
      </c>
      <c r="F9" s="8"/>
      <c r="G9" s="23">
        <v>0</v>
      </c>
      <c r="H9" s="8"/>
      <c r="I9" s="23">
        <v>895061</v>
      </c>
      <c r="J9" s="8" t="s">
        <v>452</v>
      </c>
      <c r="K9" s="23">
        <v>0</v>
      </c>
      <c r="L9" s="8"/>
      <c r="M9" s="23">
        <v>0</v>
      </c>
      <c r="N9" s="8"/>
      <c r="O9" s="23">
        <v>572185</v>
      </c>
      <c r="P9" s="24" t="s">
        <v>786</v>
      </c>
      <c r="Q9" s="14" t="s">
        <v>454</v>
      </c>
      <c r="R9" s="16" t="s">
        <v>457</v>
      </c>
      <c r="S9" s="19" t="str">
        <f ca="1">HYPERLINK("#"&amp;재료비목록표!G2&amp;"!A"&amp;ROW(재료비목록표!A8),"자재    5 →")</f>
        <v>자재    5 →</v>
      </c>
      <c r="T9" s="37">
        <v>572185</v>
      </c>
      <c r="U9" s="38">
        <f t="shared" si="0"/>
        <v>1</v>
      </c>
      <c r="V9" s="39">
        <f t="shared" si="1"/>
        <v>572185</v>
      </c>
      <c r="W9" s="40" t="str">
        <f t="shared" si="2"/>
        <v>조달</v>
      </c>
      <c r="X9" s="20" t="s">
        <v>779</v>
      </c>
      <c r="Y9" s="20" t="s">
        <v>790</v>
      </c>
    </row>
    <row r="10" spans="1:25" ht="34.700000000000003" customHeight="1" x14ac:dyDescent="0.3">
      <c r="A10" s="8" t="s">
        <v>458</v>
      </c>
      <c r="B10" s="9" t="s">
        <v>459</v>
      </c>
      <c r="C10" s="9" t="s">
        <v>460</v>
      </c>
      <c r="D10" s="8" t="s">
        <v>461</v>
      </c>
      <c r="E10" s="23">
        <v>0</v>
      </c>
      <c r="F10" s="8"/>
      <c r="G10" s="23">
        <v>0</v>
      </c>
      <c r="H10" s="8"/>
      <c r="I10" s="23">
        <v>0</v>
      </c>
      <c r="J10" s="8"/>
      <c r="K10" s="23">
        <v>0</v>
      </c>
      <c r="L10" s="8"/>
      <c r="M10" s="23">
        <v>3920</v>
      </c>
      <c r="N10" s="8"/>
      <c r="O10" s="23">
        <v>3920</v>
      </c>
      <c r="P10" s="24" t="s">
        <v>790</v>
      </c>
      <c r="Q10" s="14" t="s">
        <v>458</v>
      </c>
      <c r="R10" s="16" t="s">
        <v>463</v>
      </c>
      <c r="S10" s="19" t="str">
        <f ca="1">HYPERLINK("#"&amp;재료비목록표!G2&amp;"!A"&amp;ROW(재료비목록표!A9),"자재    6 →")</f>
        <v>자재    6 →</v>
      </c>
      <c r="T10" s="37">
        <v>3920</v>
      </c>
      <c r="U10" s="38">
        <f t="shared" si="0"/>
        <v>5</v>
      </c>
      <c r="V10" s="39">
        <f t="shared" si="1"/>
        <v>3920</v>
      </c>
      <c r="W10" s="40" t="str">
        <f t="shared" si="2"/>
        <v>견적</v>
      </c>
      <c r="X10" s="20" t="s">
        <v>780</v>
      </c>
      <c r="Y10" s="20"/>
    </row>
    <row r="11" spans="1:25" ht="34.700000000000003" customHeight="1" x14ac:dyDescent="0.3">
      <c r="A11" s="8" t="s">
        <v>464</v>
      </c>
      <c r="B11" s="9" t="s">
        <v>465</v>
      </c>
      <c r="C11" s="9" t="s">
        <v>466</v>
      </c>
      <c r="D11" s="8" t="s">
        <v>451</v>
      </c>
      <c r="E11" s="23">
        <v>0</v>
      </c>
      <c r="F11" s="8"/>
      <c r="G11" s="23">
        <v>0</v>
      </c>
      <c r="H11" s="8"/>
      <c r="I11" s="23">
        <v>0</v>
      </c>
      <c r="J11" s="8"/>
      <c r="K11" s="23">
        <v>0</v>
      </c>
      <c r="L11" s="8"/>
      <c r="M11" s="23">
        <v>12712</v>
      </c>
      <c r="N11" s="8"/>
      <c r="O11" s="23">
        <v>12712</v>
      </c>
      <c r="P11" s="24" t="s">
        <v>790</v>
      </c>
      <c r="Q11" s="14" t="s">
        <v>464</v>
      </c>
      <c r="R11" s="16" t="s">
        <v>468</v>
      </c>
      <c r="S11" s="19" t="str">
        <f ca="1">HYPERLINK("#"&amp;재료비목록표!G2&amp;"!A"&amp;ROW(재료비목록표!A10),"자재    7 →")</f>
        <v>자재    7 →</v>
      </c>
      <c r="T11" s="37">
        <v>12712</v>
      </c>
      <c r="U11" s="38">
        <f t="shared" si="0"/>
        <v>5</v>
      </c>
      <c r="V11" s="39">
        <f t="shared" si="1"/>
        <v>12712</v>
      </c>
      <c r="W11" s="40" t="str">
        <f t="shared" si="2"/>
        <v>견적</v>
      </c>
    </row>
    <row r="12" spans="1:25" ht="34.700000000000003" customHeight="1" x14ac:dyDescent="0.3">
      <c r="A12" s="8" t="s">
        <v>469</v>
      </c>
      <c r="B12" s="9" t="s">
        <v>470</v>
      </c>
      <c r="C12" s="9" t="s">
        <v>471</v>
      </c>
      <c r="D12" s="8" t="s">
        <v>445</v>
      </c>
      <c r="E12" s="23">
        <v>0</v>
      </c>
      <c r="F12" s="8"/>
      <c r="G12" s="23">
        <v>288000</v>
      </c>
      <c r="H12" s="8" t="s">
        <v>467</v>
      </c>
      <c r="I12" s="23">
        <v>288000</v>
      </c>
      <c r="J12" s="8" t="s">
        <v>462</v>
      </c>
      <c r="K12" s="23">
        <v>0</v>
      </c>
      <c r="L12" s="8"/>
      <c r="M12" s="23">
        <v>0</v>
      </c>
      <c r="N12" s="8"/>
      <c r="O12" s="23">
        <v>288000</v>
      </c>
      <c r="P12" s="24" t="s">
        <v>787</v>
      </c>
      <c r="Q12" s="14" t="s">
        <v>469</v>
      </c>
      <c r="R12" s="16" t="s">
        <v>473</v>
      </c>
      <c r="S12" s="19" t="str">
        <f ca="1">HYPERLINK("#"&amp;재료비목록표!G2&amp;"!A"&amp;ROW(재료비목록표!A11),"자재    8 →")</f>
        <v>자재    8 →</v>
      </c>
      <c r="T12" s="37">
        <v>288000</v>
      </c>
      <c r="U12" s="38">
        <f t="shared" si="0"/>
        <v>2</v>
      </c>
      <c r="V12" s="39">
        <f t="shared" si="1"/>
        <v>288000</v>
      </c>
      <c r="W12" s="40" t="str">
        <f t="shared" si="2"/>
        <v>물정</v>
      </c>
    </row>
    <row r="13" spans="1:25" ht="34.700000000000003" customHeight="1" x14ac:dyDescent="0.3">
      <c r="A13" s="8" t="s">
        <v>474</v>
      </c>
      <c r="B13" s="9" t="s">
        <v>475</v>
      </c>
      <c r="C13" s="9" t="s">
        <v>476</v>
      </c>
      <c r="D13" s="8" t="s">
        <v>477</v>
      </c>
      <c r="E13" s="23">
        <v>0</v>
      </c>
      <c r="F13" s="8"/>
      <c r="G13" s="23">
        <v>2075</v>
      </c>
      <c r="H13" s="8" t="s">
        <v>472</v>
      </c>
      <c r="I13" s="23">
        <v>1912</v>
      </c>
      <c r="J13" s="8" t="s">
        <v>456</v>
      </c>
      <c r="K13" s="23">
        <v>0</v>
      </c>
      <c r="L13" s="8"/>
      <c r="M13" s="23">
        <v>0</v>
      </c>
      <c r="N13" s="8"/>
      <c r="O13" s="23">
        <v>1912</v>
      </c>
      <c r="P13" s="24" t="s">
        <v>788</v>
      </c>
      <c r="Q13" s="14" t="s">
        <v>474</v>
      </c>
      <c r="R13" s="16" t="s">
        <v>479</v>
      </c>
      <c r="S13" s="19" t="str">
        <f ca="1">HYPERLINK("#"&amp;재료비목록표!G2&amp;"!A"&amp;ROW(재료비목록표!A12),"자재    9 →")</f>
        <v>자재    9 →</v>
      </c>
      <c r="T13" s="37">
        <v>1912</v>
      </c>
      <c r="U13" s="38">
        <f t="shared" si="0"/>
        <v>3</v>
      </c>
      <c r="V13" s="39">
        <f t="shared" si="1"/>
        <v>1912</v>
      </c>
      <c r="W13" s="40" t="str">
        <f t="shared" si="2"/>
        <v>물자</v>
      </c>
    </row>
    <row r="14" spans="1:25" ht="34.700000000000003" customHeight="1" x14ac:dyDescent="0.3">
      <c r="A14" s="8" t="s">
        <v>480</v>
      </c>
      <c r="B14" s="9" t="s">
        <v>481</v>
      </c>
      <c r="C14" s="9" t="s">
        <v>482</v>
      </c>
      <c r="D14" s="8" t="s">
        <v>483</v>
      </c>
      <c r="E14" s="23">
        <v>0</v>
      </c>
      <c r="F14" s="8"/>
      <c r="G14" s="23">
        <v>0</v>
      </c>
      <c r="H14" s="8"/>
      <c r="I14" s="23">
        <v>0</v>
      </c>
      <c r="J14" s="8"/>
      <c r="K14" s="23">
        <v>0</v>
      </c>
      <c r="L14" s="8"/>
      <c r="M14" s="23">
        <v>0</v>
      </c>
      <c r="N14" s="8"/>
      <c r="O14" s="23">
        <v>0</v>
      </c>
      <c r="P14" s="24"/>
      <c r="Q14" s="14" t="s">
        <v>480</v>
      </c>
      <c r="R14" s="16" t="s">
        <v>485</v>
      </c>
      <c r="S14" s="19" t="str">
        <f ca="1">HYPERLINK("#"&amp;재료비목록표!G2&amp;"!A"&amp;ROW(재료비목록표!A13),"자재   10 →")</f>
        <v>자재   10 →</v>
      </c>
      <c r="T14" s="37">
        <v>0</v>
      </c>
      <c r="U14" s="38" t="str">
        <f t="shared" si="0"/>
        <v/>
      </c>
      <c r="V14" s="39">
        <f t="shared" si="1"/>
        <v>0</v>
      </c>
      <c r="W14" s="40" t="str">
        <f t="shared" si="2"/>
        <v/>
      </c>
    </row>
    <row r="15" spans="1:25" ht="34.700000000000003" customHeight="1" x14ac:dyDescent="0.3">
      <c r="A15" s="8" t="s">
        <v>486</v>
      </c>
      <c r="B15" s="9" t="s">
        <v>487</v>
      </c>
      <c r="C15" s="9" t="s">
        <v>488</v>
      </c>
      <c r="D15" s="8" t="s">
        <v>483</v>
      </c>
      <c r="E15" s="23">
        <v>0</v>
      </c>
      <c r="F15" s="8"/>
      <c r="G15" s="23">
        <v>0</v>
      </c>
      <c r="H15" s="8"/>
      <c r="I15" s="23">
        <v>0</v>
      </c>
      <c r="J15" s="8"/>
      <c r="K15" s="23">
        <v>0</v>
      </c>
      <c r="L15" s="8"/>
      <c r="M15" s="23">
        <v>0</v>
      </c>
      <c r="N15" s="8"/>
      <c r="O15" s="23">
        <v>0</v>
      </c>
      <c r="P15" s="24"/>
      <c r="Q15" s="14" t="s">
        <v>486</v>
      </c>
      <c r="R15" s="16" t="s">
        <v>490</v>
      </c>
      <c r="S15" s="19" t="str">
        <f ca="1">HYPERLINK("#"&amp;재료비목록표!G2&amp;"!A"&amp;ROW(재료비목록표!A14),"자재   11 →")</f>
        <v>자재   11 →</v>
      </c>
      <c r="T15" s="37">
        <v>0</v>
      </c>
      <c r="U15" s="38" t="str">
        <f t="shared" si="0"/>
        <v/>
      </c>
      <c r="V15" s="39">
        <f t="shared" si="1"/>
        <v>0</v>
      </c>
      <c r="W15" s="40" t="str">
        <f t="shared" si="2"/>
        <v/>
      </c>
    </row>
    <row r="16" spans="1:25" ht="34.700000000000003" customHeight="1" x14ac:dyDescent="0.3">
      <c r="A16" s="8" t="s">
        <v>491</v>
      </c>
      <c r="B16" s="9" t="s">
        <v>492</v>
      </c>
      <c r="C16" s="9" t="s">
        <v>493</v>
      </c>
      <c r="D16" s="8" t="s">
        <v>483</v>
      </c>
      <c r="E16" s="23">
        <v>0</v>
      </c>
      <c r="F16" s="8"/>
      <c r="G16" s="23">
        <v>0</v>
      </c>
      <c r="H16" s="8"/>
      <c r="I16" s="23">
        <v>0</v>
      </c>
      <c r="J16" s="8"/>
      <c r="K16" s="23">
        <v>0</v>
      </c>
      <c r="L16" s="8"/>
      <c r="M16" s="23">
        <v>0</v>
      </c>
      <c r="N16" s="8"/>
      <c r="O16" s="23">
        <v>0</v>
      </c>
      <c r="P16" s="24"/>
      <c r="Q16" s="14" t="s">
        <v>491</v>
      </c>
      <c r="R16" s="16" t="s">
        <v>495</v>
      </c>
      <c r="S16" s="19" t="str">
        <f ca="1">HYPERLINK("#"&amp;재료비목록표!G2&amp;"!A"&amp;ROW(재료비목록표!A15),"자재   12 →")</f>
        <v>자재   12 →</v>
      </c>
      <c r="T16" s="37">
        <v>0</v>
      </c>
      <c r="U16" s="38" t="str">
        <f t="shared" si="0"/>
        <v/>
      </c>
      <c r="V16" s="39">
        <f t="shared" si="1"/>
        <v>0</v>
      </c>
      <c r="W16" s="40" t="str">
        <f t="shared" si="2"/>
        <v/>
      </c>
    </row>
    <row r="17" spans="1:23" ht="34.700000000000003" customHeight="1" x14ac:dyDescent="0.3">
      <c r="A17" s="8" t="s">
        <v>496</v>
      </c>
      <c r="B17" s="9" t="s">
        <v>497</v>
      </c>
      <c r="C17" s="9" t="s">
        <v>488</v>
      </c>
      <c r="D17" s="8" t="s">
        <v>483</v>
      </c>
      <c r="E17" s="23">
        <v>0</v>
      </c>
      <c r="F17" s="8"/>
      <c r="G17" s="23">
        <v>0</v>
      </c>
      <c r="H17" s="8"/>
      <c r="I17" s="23">
        <v>0</v>
      </c>
      <c r="J17" s="8"/>
      <c r="K17" s="23">
        <v>0</v>
      </c>
      <c r="L17" s="8"/>
      <c r="M17" s="23">
        <v>0</v>
      </c>
      <c r="N17" s="8"/>
      <c r="O17" s="23">
        <v>0</v>
      </c>
      <c r="P17" s="24"/>
      <c r="Q17" s="14" t="s">
        <v>496</v>
      </c>
      <c r="R17" s="16" t="s">
        <v>499</v>
      </c>
      <c r="S17" s="19" t="str">
        <f ca="1">HYPERLINK("#"&amp;재료비목록표!G2&amp;"!A"&amp;ROW(재료비목록표!A16),"자재   13 →")</f>
        <v>자재   13 →</v>
      </c>
      <c r="T17" s="37">
        <v>0</v>
      </c>
      <c r="U17" s="38" t="str">
        <f t="shared" si="0"/>
        <v/>
      </c>
      <c r="V17" s="39">
        <f t="shared" si="1"/>
        <v>0</v>
      </c>
      <c r="W17" s="40" t="str">
        <f t="shared" si="2"/>
        <v/>
      </c>
    </row>
    <row r="18" spans="1:23" ht="34.700000000000003" customHeight="1" x14ac:dyDescent="0.3">
      <c r="A18" s="8" t="s">
        <v>500</v>
      </c>
      <c r="B18" s="9" t="s">
        <v>501</v>
      </c>
      <c r="C18" s="9" t="s">
        <v>502</v>
      </c>
      <c r="D18" s="8" t="s">
        <v>451</v>
      </c>
      <c r="E18" s="23">
        <v>0</v>
      </c>
      <c r="F18" s="8"/>
      <c r="G18" s="23">
        <v>0</v>
      </c>
      <c r="H18" s="8"/>
      <c r="I18" s="23">
        <v>0</v>
      </c>
      <c r="J18" s="8"/>
      <c r="K18" s="23">
        <v>0</v>
      </c>
      <c r="L18" s="8"/>
      <c r="M18" s="23">
        <v>0</v>
      </c>
      <c r="N18" s="8"/>
      <c r="O18" s="23">
        <v>0</v>
      </c>
      <c r="P18" s="24"/>
      <c r="Q18" s="14" t="s">
        <v>500</v>
      </c>
      <c r="R18" s="16" t="s">
        <v>504</v>
      </c>
      <c r="S18" s="19" t="str">
        <f ca="1">HYPERLINK("#"&amp;재료비목록표!G2&amp;"!A"&amp;ROW(재료비목록표!A17),"자재   14 →")</f>
        <v>자재   14 →</v>
      </c>
      <c r="T18" s="37">
        <v>0</v>
      </c>
      <c r="U18" s="38" t="str">
        <f t="shared" si="0"/>
        <v/>
      </c>
      <c r="V18" s="39">
        <f t="shared" si="1"/>
        <v>0</v>
      </c>
      <c r="W18" s="40" t="str">
        <f t="shared" si="2"/>
        <v/>
      </c>
    </row>
    <row r="19" spans="1:23" ht="34.700000000000003" customHeight="1" x14ac:dyDescent="0.3">
      <c r="A19" s="8" t="s">
        <v>505</v>
      </c>
      <c r="B19" s="9" t="s">
        <v>506</v>
      </c>
      <c r="C19" s="9" t="s">
        <v>502</v>
      </c>
      <c r="D19" s="8" t="s">
        <v>445</v>
      </c>
      <c r="E19" s="23">
        <v>0</v>
      </c>
      <c r="F19" s="8"/>
      <c r="G19" s="23">
        <v>0</v>
      </c>
      <c r="H19" s="8"/>
      <c r="I19" s="23">
        <v>0</v>
      </c>
      <c r="J19" s="8"/>
      <c r="K19" s="23">
        <v>0</v>
      </c>
      <c r="L19" s="8"/>
      <c r="M19" s="23">
        <v>0</v>
      </c>
      <c r="N19" s="8"/>
      <c r="O19" s="23">
        <v>0</v>
      </c>
      <c r="P19" s="24"/>
      <c r="Q19" s="14" t="s">
        <v>505</v>
      </c>
      <c r="R19" s="16" t="s">
        <v>508</v>
      </c>
      <c r="S19" s="19" t="str">
        <f ca="1">HYPERLINK("#"&amp;재료비목록표!G2&amp;"!A"&amp;ROW(재료비목록표!A18),"자재   15 →")</f>
        <v>자재   15 →</v>
      </c>
      <c r="T19" s="37">
        <v>0</v>
      </c>
      <c r="U19" s="38" t="str">
        <f t="shared" si="0"/>
        <v/>
      </c>
      <c r="V19" s="39">
        <f t="shared" si="1"/>
        <v>0</v>
      </c>
      <c r="W19" s="40" t="str">
        <f t="shared" si="2"/>
        <v/>
      </c>
    </row>
    <row r="20" spans="1:23" ht="34.700000000000003" customHeight="1" x14ac:dyDescent="0.3">
      <c r="A20" s="8" t="s">
        <v>509</v>
      </c>
      <c r="B20" s="9" t="s">
        <v>510</v>
      </c>
      <c r="C20" s="9" t="s">
        <v>511</v>
      </c>
      <c r="D20" s="8" t="s">
        <v>512</v>
      </c>
      <c r="E20" s="23">
        <v>0</v>
      </c>
      <c r="F20" s="8"/>
      <c r="G20" s="23">
        <v>37800</v>
      </c>
      <c r="H20" s="8" t="s">
        <v>507</v>
      </c>
      <c r="I20" s="23">
        <v>31500</v>
      </c>
      <c r="J20" s="8" t="s">
        <v>503</v>
      </c>
      <c r="K20" s="23">
        <v>0</v>
      </c>
      <c r="L20" s="8"/>
      <c r="M20" s="23">
        <v>0</v>
      </c>
      <c r="N20" s="8"/>
      <c r="O20" s="23">
        <v>31500</v>
      </c>
      <c r="P20" s="24" t="s">
        <v>788</v>
      </c>
      <c r="Q20" s="14" t="s">
        <v>509</v>
      </c>
      <c r="R20" s="16" t="s">
        <v>514</v>
      </c>
      <c r="S20" s="19" t="str">
        <f ca="1">HYPERLINK("#"&amp;재료비목록표!G2&amp;"!A"&amp;ROW(재료비목록표!A19),"자재   16 →")</f>
        <v>자재   16 →</v>
      </c>
      <c r="T20" s="37">
        <v>31500</v>
      </c>
      <c r="U20" s="38">
        <f t="shared" si="0"/>
        <v>3</v>
      </c>
      <c r="V20" s="39">
        <f t="shared" si="1"/>
        <v>31500</v>
      </c>
      <c r="W20" s="40" t="str">
        <f t="shared" si="2"/>
        <v>물자</v>
      </c>
    </row>
    <row r="21" spans="1:23" ht="34.700000000000003" customHeight="1" x14ac:dyDescent="0.3">
      <c r="A21" s="8" t="s">
        <v>515</v>
      </c>
      <c r="B21" s="9" t="s">
        <v>516</v>
      </c>
      <c r="C21" s="9" t="s">
        <v>517</v>
      </c>
      <c r="D21" s="8" t="s">
        <v>512</v>
      </c>
      <c r="E21" s="23">
        <v>0</v>
      </c>
      <c r="F21" s="8"/>
      <c r="G21" s="23">
        <v>24000</v>
      </c>
      <c r="H21" s="8" t="s">
        <v>507</v>
      </c>
      <c r="I21" s="23">
        <v>21000</v>
      </c>
      <c r="J21" s="8" t="s">
        <v>503</v>
      </c>
      <c r="K21" s="23">
        <v>0</v>
      </c>
      <c r="L21" s="8"/>
      <c r="M21" s="23">
        <v>0</v>
      </c>
      <c r="N21" s="8"/>
      <c r="O21" s="23">
        <v>21000</v>
      </c>
      <c r="P21" s="24" t="s">
        <v>788</v>
      </c>
      <c r="Q21" s="14" t="s">
        <v>515</v>
      </c>
      <c r="R21" s="16" t="s">
        <v>519</v>
      </c>
      <c r="S21" s="19" t="str">
        <f ca="1">HYPERLINK("#"&amp;재료비목록표!G2&amp;"!A"&amp;ROW(재료비목록표!A20),"자재   17 →")</f>
        <v>자재   17 →</v>
      </c>
      <c r="T21" s="37">
        <v>21000</v>
      </c>
      <c r="U21" s="38">
        <f t="shared" si="0"/>
        <v>3</v>
      </c>
      <c r="V21" s="39">
        <f t="shared" si="1"/>
        <v>21000</v>
      </c>
      <c r="W21" s="40" t="str">
        <f t="shared" si="2"/>
        <v>물자</v>
      </c>
    </row>
    <row r="22" spans="1:23" ht="34.700000000000003" customHeight="1" x14ac:dyDescent="0.3">
      <c r="A22" s="8" t="s">
        <v>520</v>
      </c>
      <c r="B22" s="9" t="s">
        <v>521</v>
      </c>
      <c r="C22" s="9" t="s">
        <v>502</v>
      </c>
      <c r="D22" s="8" t="s">
        <v>477</v>
      </c>
      <c r="E22" s="23">
        <v>0</v>
      </c>
      <c r="F22" s="8"/>
      <c r="G22" s="23">
        <v>0</v>
      </c>
      <c r="H22" s="8"/>
      <c r="I22" s="23">
        <v>0</v>
      </c>
      <c r="J22" s="8"/>
      <c r="K22" s="23">
        <v>0</v>
      </c>
      <c r="L22" s="8"/>
      <c r="M22" s="23">
        <v>0</v>
      </c>
      <c r="N22" s="8"/>
      <c r="O22" s="23">
        <v>0</v>
      </c>
      <c r="P22" s="24"/>
      <c r="Q22" s="14" t="s">
        <v>520</v>
      </c>
      <c r="R22" s="16" t="s">
        <v>523</v>
      </c>
      <c r="S22" s="19" t="str">
        <f ca="1">HYPERLINK("#"&amp;재료비목록표!G2&amp;"!A"&amp;ROW(재료비목록표!A21),"자재   18 →")</f>
        <v>자재   18 →</v>
      </c>
      <c r="T22" s="37">
        <v>0</v>
      </c>
      <c r="U22" s="38" t="str">
        <f t="shared" si="0"/>
        <v/>
      </c>
      <c r="V22" s="39">
        <f t="shared" si="1"/>
        <v>0</v>
      </c>
      <c r="W22" s="40" t="str">
        <f t="shared" si="2"/>
        <v/>
      </c>
    </row>
    <row r="23" spans="1:23" ht="34.700000000000003" customHeight="1" x14ac:dyDescent="0.3">
      <c r="A23" s="8" t="s">
        <v>524</v>
      </c>
      <c r="B23" s="9" t="s">
        <v>525</v>
      </c>
      <c r="C23" s="9" t="s">
        <v>502</v>
      </c>
      <c r="D23" s="8" t="s">
        <v>477</v>
      </c>
      <c r="E23" s="23">
        <v>0</v>
      </c>
      <c r="F23" s="8"/>
      <c r="G23" s="23">
        <v>0</v>
      </c>
      <c r="H23" s="8"/>
      <c r="I23" s="23">
        <v>0</v>
      </c>
      <c r="J23" s="8"/>
      <c r="K23" s="23">
        <v>0</v>
      </c>
      <c r="L23" s="8"/>
      <c r="M23" s="23">
        <v>0</v>
      </c>
      <c r="N23" s="8"/>
      <c r="O23" s="23">
        <v>0</v>
      </c>
      <c r="P23" s="24"/>
      <c r="Q23" s="14" t="s">
        <v>524</v>
      </c>
      <c r="R23" s="16" t="s">
        <v>527</v>
      </c>
      <c r="S23" s="19" t="str">
        <f ca="1">HYPERLINK("#"&amp;재료비목록표!G2&amp;"!A"&amp;ROW(재료비목록표!A22),"자재   19 →")</f>
        <v>자재   19 →</v>
      </c>
      <c r="T23" s="37">
        <v>0</v>
      </c>
      <c r="U23" s="38" t="str">
        <f t="shared" si="0"/>
        <v/>
      </c>
      <c r="V23" s="39">
        <f t="shared" si="1"/>
        <v>0</v>
      </c>
      <c r="W23" s="40" t="str">
        <f t="shared" si="2"/>
        <v/>
      </c>
    </row>
    <row r="24" spans="1:23" ht="34.700000000000003" customHeight="1" x14ac:dyDescent="0.3">
      <c r="A24" s="8" t="s">
        <v>528</v>
      </c>
      <c r="B24" s="9" t="s">
        <v>529</v>
      </c>
      <c r="C24" s="9" t="s">
        <v>416</v>
      </c>
      <c r="D24" s="8" t="s">
        <v>461</v>
      </c>
      <c r="E24" s="23">
        <v>0</v>
      </c>
      <c r="F24" s="8"/>
      <c r="G24" s="23">
        <v>223000</v>
      </c>
      <c r="H24" s="8" t="s">
        <v>526</v>
      </c>
      <c r="I24" s="23">
        <v>0</v>
      </c>
      <c r="J24" s="8"/>
      <c r="K24" s="23">
        <v>0</v>
      </c>
      <c r="L24" s="8"/>
      <c r="M24" s="23">
        <v>0</v>
      </c>
      <c r="N24" s="8"/>
      <c r="O24" s="23">
        <v>223000</v>
      </c>
      <c r="P24" s="24" t="s">
        <v>787</v>
      </c>
      <c r="Q24" s="14" t="s">
        <v>528</v>
      </c>
      <c r="R24" s="16" t="s">
        <v>531</v>
      </c>
      <c r="S24" s="19" t="str">
        <f ca="1">HYPERLINK("#"&amp;재료비목록표!G2&amp;"!A"&amp;ROW(재료비목록표!A23),"자재   20 →")</f>
        <v>자재   20 →</v>
      </c>
      <c r="T24" s="37">
        <v>223000</v>
      </c>
      <c r="U24" s="38">
        <f t="shared" si="0"/>
        <v>2</v>
      </c>
      <c r="V24" s="39">
        <f t="shared" si="1"/>
        <v>223000</v>
      </c>
      <c r="W24" s="40" t="str">
        <f t="shared" si="2"/>
        <v>물정</v>
      </c>
    </row>
    <row r="25" spans="1:23" ht="34.700000000000003" customHeight="1" x14ac:dyDescent="0.3">
      <c r="A25" s="8" t="s">
        <v>532</v>
      </c>
      <c r="B25" s="9" t="s">
        <v>481</v>
      </c>
      <c r="C25" s="9" t="s">
        <v>482</v>
      </c>
      <c r="D25" s="8" t="s">
        <v>483</v>
      </c>
      <c r="E25" s="23">
        <v>0</v>
      </c>
      <c r="F25" s="8"/>
      <c r="G25" s="23">
        <v>0</v>
      </c>
      <c r="H25" s="8"/>
      <c r="I25" s="23">
        <v>0</v>
      </c>
      <c r="J25" s="8"/>
      <c r="K25" s="23">
        <v>0</v>
      </c>
      <c r="L25" s="8"/>
      <c r="M25" s="23">
        <v>0</v>
      </c>
      <c r="N25" s="8"/>
      <c r="O25" s="23">
        <v>0</v>
      </c>
      <c r="P25" s="24"/>
      <c r="Q25" s="14" t="s">
        <v>532</v>
      </c>
      <c r="R25" s="16" t="s">
        <v>534</v>
      </c>
      <c r="S25" s="19" t="str">
        <f ca="1">HYPERLINK("#"&amp;재료비목록표!G2&amp;"!A"&amp;ROW(재료비목록표!A24),"자재   21 →")</f>
        <v>자재   21 →</v>
      </c>
      <c r="T25" s="37">
        <v>0</v>
      </c>
      <c r="U25" s="38" t="str">
        <f t="shared" si="0"/>
        <v/>
      </c>
      <c r="V25" s="39">
        <f t="shared" si="1"/>
        <v>0</v>
      </c>
      <c r="W25" s="40" t="str">
        <f t="shared" si="2"/>
        <v/>
      </c>
    </row>
    <row r="26" spans="1:23" ht="34.700000000000003" customHeight="1" x14ac:dyDescent="0.3">
      <c r="A26" s="8" t="s">
        <v>535</v>
      </c>
      <c r="B26" s="9" t="s">
        <v>536</v>
      </c>
      <c r="C26" s="9" t="s">
        <v>502</v>
      </c>
      <c r="D26" s="8" t="s">
        <v>537</v>
      </c>
      <c r="E26" s="23">
        <v>0</v>
      </c>
      <c r="F26" s="8"/>
      <c r="G26" s="23">
        <v>0</v>
      </c>
      <c r="H26" s="8"/>
      <c r="I26" s="23">
        <v>0</v>
      </c>
      <c r="J26" s="8"/>
      <c r="K26" s="23">
        <v>0</v>
      </c>
      <c r="L26" s="8"/>
      <c r="M26" s="23">
        <v>0</v>
      </c>
      <c r="N26" s="8"/>
      <c r="O26" s="23">
        <v>0</v>
      </c>
      <c r="P26" s="24"/>
      <c r="Q26" s="14" t="s">
        <v>535</v>
      </c>
      <c r="R26" s="16" t="s">
        <v>539</v>
      </c>
      <c r="S26" s="19" t="str">
        <f ca="1">HYPERLINK("#"&amp;재료비목록표!G2&amp;"!A"&amp;ROW(재료비목록표!A25),"자재   22 →")</f>
        <v>자재   22 →</v>
      </c>
      <c r="T26" s="37">
        <v>0</v>
      </c>
      <c r="U26" s="38" t="str">
        <f t="shared" si="0"/>
        <v/>
      </c>
      <c r="V26" s="39">
        <f t="shared" si="1"/>
        <v>0</v>
      </c>
      <c r="W26" s="40" t="str">
        <f t="shared" si="2"/>
        <v/>
      </c>
    </row>
    <row r="27" spans="1:23" ht="34.700000000000003" customHeight="1" x14ac:dyDescent="0.3">
      <c r="A27" s="8" t="s">
        <v>540</v>
      </c>
      <c r="B27" s="9" t="s">
        <v>541</v>
      </c>
      <c r="C27" s="9" t="s">
        <v>542</v>
      </c>
      <c r="D27" s="8" t="s">
        <v>477</v>
      </c>
      <c r="E27" s="23">
        <v>157000</v>
      </c>
      <c r="F27" s="8"/>
      <c r="G27" s="23">
        <v>0</v>
      </c>
      <c r="H27" s="8"/>
      <c r="I27" s="23">
        <v>0</v>
      </c>
      <c r="J27" s="8"/>
      <c r="K27" s="23">
        <v>0</v>
      </c>
      <c r="L27" s="8"/>
      <c r="M27" s="23">
        <v>0</v>
      </c>
      <c r="N27" s="8"/>
      <c r="O27" s="23">
        <v>157000</v>
      </c>
      <c r="P27" s="24" t="s">
        <v>786</v>
      </c>
      <c r="Q27" s="14" t="s">
        <v>540</v>
      </c>
      <c r="R27" s="16" t="s">
        <v>544</v>
      </c>
      <c r="S27" s="19" t="str">
        <f ca="1">HYPERLINK("#"&amp;재료비목록표!G2&amp;"!A"&amp;ROW(재료비목록표!A26),"자재   23 →")</f>
        <v>자재   23 →</v>
      </c>
      <c r="T27" s="37">
        <v>157000</v>
      </c>
      <c r="U27" s="38">
        <f t="shared" si="0"/>
        <v>1</v>
      </c>
      <c r="V27" s="39">
        <f t="shared" si="1"/>
        <v>157000</v>
      </c>
      <c r="W27" s="40" t="str">
        <f t="shared" si="2"/>
        <v>조달</v>
      </c>
    </row>
    <row r="28" spans="1:23" ht="34.700000000000003" customHeight="1" x14ac:dyDescent="0.3">
      <c r="A28" s="8" t="s">
        <v>545</v>
      </c>
      <c r="B28" s="9" t="s">
        <v>546</v>
      </c>
      <c r="C28" s="9" t="s">
        <v>547</v>
      </c>
      <c r="D28" s="8" t="s">
        <v>483</v>
      </c>
      <c r="E28" s="23">
        <v>0</v>
      </c>
      <c r="F28" s="8"/>
      <c r="G28" s="23">
        <v>0</v>
      </c>
      <c r="H28" s="8"/>
      <c r="I28" s="23">
        <v>0</v>
      </c>
      <c r="J28" s="8"/>
      <c r="K28" s="23">
        <v>0</v>
      </c>
      <c r="L28" s="8"/>
      <c r="M28" s="23">
        <v>0</v>
      </c>
      <c r="N28" s="8"/>
      <c r="O28" s="23">
        <v>0</v>
      </c>
      <c r="P28" s="24"/>
      <c r="Q28" s="14" t="s">
        <v>545</v>
      </c>
      <c r="R28" s="16" t="s">
        <v>549</v>
      </c>
      <c r="S28" s="19" t="str">
        <f ca="1">HYPERLINK("#"&amp;재료비목록표!G2&amp;"!A"&amp;ROW(재료비목록표!A27),"자재   24 →")</f>
        <v>자재   24 →</v>
      </c>
      <c r="T28" s="37">
        <v>0</v>
      </c>
      <c r="U28" s="38" t="str">
        <f t="shared" si="0"/>
        <v/>
      </c>
      <c r="V28" s="39">
        <f t="shared" si="1"/>
        <v>0</v>
      </c>
      <c r="W28" s="40" t="str">
        <f t="shared" si="2"/>
        <v/>
      </c>
    </row>
    <row r="29" spans="1:23" ht="34.700000000000003" customHeight="1" x14ac:dyDescent="0.3">
      <c r="A29" s="8" t="s">
        <v>550</v>
      </c>
      <c r="B29" s="9" t="s">
        <v>541</v>
      </c>
      <c r="C29" s="9" t="s">
        <v>551</v>
      </c>
      <c r="D29" s="8" t="s">
        <v>477</v>
      </c>
      <c r="E29" s="23">
        <v>196270</v>
      </c>
      <c r="F29" s="8"/>
      <c r="G29" s="23">
        <v>0</v>
      </c>
      <c r="H29" s="8"/>
      <c r="I29" s="23">
        <v>0</v>
      </c>
      <c r="J29" s="8"/>
      <c r="K29" s="23">
        <v>0</v>
      </c>
      <c r="L29" s="8"/>
      <c r="M29" s="23">
        <v>0</v>
      </c>
      <c r="N29" s="8"/>
      <c r="O29" s="23">
        <v>196270</v>
      </c>
      <c r="P29" s="24" t="s">
        <v>786</v>
      </c>
      <c r="Q29" s="14" t="s">
        <v>550</v>
      </c>
      <c r="R29" s="16" t="s">
        <v>553</v>
      </c>
      <c r="S29" s="19" t="str">
        <f ca="1">HYPERLINK("#"&amp;재료비목록표!G2&amp;"!A"&amp;ROW(재료비목록표!A28),"자재   25 →")</f>
        <v>자재   25 →</v>
      </c>
      <c r="T29" s="37">
        <v>196270</v>
      </c>
      <c r="U29" s="38">
        <f t="shared" si="0"/>
        <v>1</v>
      </c>
      <c r="V29" s="39">
        <f t="shared" si="1"/>
        <v>196270</v>
      </c>
      <c r="W29" s="40" t="str">
        <f t="shared" si="2"/>
        <v>조달</v>
      </c>
    </row>
    <row r="30" spans="1:23" ht="34.700000000000003" customHeight="1" x14ac:dyDescent="0.3">
      <c r="A30" s="8" t="s">
        <v>554</v>
      </c>
      <c r="B30" s="9" t="s">
        <v>555</v>
      </c>
      <c r="C30" s="9" t="s">
        <v>556</v>
      </c>
      <c r="D30" s="8" t="s">
        <v>477</v>
      </c>
      <c r="E30" s="23">
        <v>0</v>
      </c>
      <c r="F30" s="8"/>
      <c r="G30" s="23">
        <v>0</v>
      </c>
      <c r="H30" s="8"/>
      <c r="I30" s="23">
        <v>0</v>
      </c>
      <c r="J30" s="8"/>
      <c r="K30" s="23">
        <v>0</v>
      </c>
      <c r="L30" s="8"/>
      <c r="M30" s="23">
        <v>142</v>
      </c>
      <c r="N30" s="8" t="s">
        <v>552</v>
      </c>
      <c r="O30" s="23">
        <v>142</v>
      </c>
      <c r="P30" s="24" t="s">
        <v>790</v>
      </c>
      <c r="Q30" s="14" t="s">
        <v>554</v>
      </c>
      <c r="R30" s="16" t="s">
        <v>558</v>
      </c>
      <c r="S30" s="19" t="str">
        <f ca="1">HYPERLINK("#"&amp;재료비목록표!G2&amp;"!A"&amp;ROW(재료비목록표!A29),"자재   26 →")</f>
        <v>자재   26 →</v>
      </c>
      <c r="T30" s="37">
        <v>142</v>
      </c>
      <c r="U30" s="38">
        <f t="shared" si="0"/>
        <v>5</v>
      </c>
      <c r="V30" s="39">
        <f t="shared" si="1"/>
        <v>142</v>
      </c>
      <c r="W30" s="40" t="str">
        <f t="shared" si="2"/>
        <v>견적</v>
      </c>
    </row>
    <row r="31" spans="1:23" ht="34.700000000000003" customHeight="1" x14ac:dyDescent="0.3">
      <c r="A31" s="8" t="s">
        <v>559</v>
      </c>
      <c r="B31" s="9" t="s">
        <v>516</v>
      </c>
      <c r="C31" s="9" t="s">
        <v>560</v>
      </c>
      <c r="D31" s="8" t="s">
        <v>512</v>
      </c>
      <c r="E31" s="23">
        <v>0</v>
      </c>
      <c r="F31" s="8"/>
      <c r="G31" s="23">
        <v>24000</v>
      </c>
      <c r="H31" s="8" t="s">
        <v>507</v>
      </c>
      <c r="I31" s="23">
        <v>21000</v>
      </c>
      <c r="J31" s="8" t="s">
        <v>503</v>
      </c>
      <c r="K31" s="23">
        <v>0</v>
      </c>
      <c r="L31" s="8"/>
      <c r="M31" s="23">
        <v>0</v>
      </c>
      <c r="N31" s="8"/>
      <c r="O31" s="23">
        <v>21000</v>
      </c>
      <c r="P31" s="24" t="s">
        <v>788</v>
      </c>
      <c r="Q31" s="14" t="s">
        <v>559</v>
      </c>
      <c r="R31" s="16" t="s">
        <v>562</v>
      </c>
      <c r="S31" s="19" t="str">
        <f ca="1">HYPERLINK("#"&amp;재료비목록표!G2&amp;"!A"&amp;ROW(재료비목록표!A30),"자재   27 →")</f>
        <v>자재   27 →</v>
      </c>
      <c r="T31" s="37">
        <v>21000</v>
      </c>
      <c r="U31" s="38">
        <f t="shared" si="0"/>
        <v>3</v>
      </c>
      <c r="V31" s="39">
        <f t="shared" si="1"/>
        <v>21000</v>
      </c>
      <c r="W31" s="40" t="str">
        <f t="shared" si="2"/>
        <v>물자</v>
      </c>
    </row>
    <row r="32" spans="1:23" ht="34.700000000000003" customHeight="1" x14ac:dyDescent="0.3">
      <c r="A32" s="8" t="s">
        <v>563</v>
      </c>
      <c r="B32" s="9" t="s">
        <v>564</v>
      </c>
      <c r="C32" s="9" t="s">
        <v>502</v>
      </c>
      <c r="D32" s="8" t="s">
        <v>445</v>
      </c>
      <c r="E32" s="23">
        <v>0</v>
      </c>
      <c r="F32" s="8"/>
      <c r="G32" s="23">
        <v>0</v>
      </c>
      <c r="H32" s="8"/>
      <c r="I32" s="23">
        <v>0</v>
      </c>
      <c r="J32" s="8"/>
      <c r="K32" s="23">
        <v>0</v>
      </c>
      <c r="L32" s="8"/>
      <c r="M32" s="23">
        <v>0</v>
      </c>
      <c r="N32" s="8"/>
      <c r="O32" s="23">
        <v>0</v>
      </c>
      <c r="P32" s="24"/>
      <c r="Q32" s="14" t="s">
        <v>563</v>
      </c>
      <c r="R32" s="16" t="s">
        <v>566</v>
      </c>
      <c r="S32" s="19" t="str">
        <f ca="1">HYPERLINK("#"&amp;재료비목록표!G2&amp;"!A"&amp;ROW(재료비목록표!A31),"자재   28 →")</f>
        <v>자재   28 →</v>
      </c>
      <c r="T32" s="37">
        <v>0</v>
      </c>
      <c r="U32" s="38" t="str">
        <f t="shared" si="0"/>
        <v/>
      </c>
      <c r="V32" s="39">
        <f t="shared" si="1"/>
        <v>0</v>
      </c>
      <c r="W32" s="40" t="str">
        <f t="shared" si="2"/>
        <v/>
      </c>
    </row>
    <row r="33" spans="1:23" ht="34.700000000000003" customHeight="1" x14ac:dyDescent="0.3">
      <c r="A33" s="8" t="s">
        <v>567</v>
      </c>
      <c r="B33" s="9" t="s">
        <v>568</v>
      </c>
      <c r="C33" s="9" t="s">
        <v>569</v>
      </c>
      <c r="D33" s="8" t="s">
        <v>451</v>
      </c>
      <c r="E33" s="23">
        <v>0</v>
      </c>
      <c r="F33" s="8"/>
      <c r="G33" s="23">
        <v>2380</v>
      </c>
      <c r="H33" s="8" t="s">
        <v>446</v>
      </c>
      <c r="I33" s="23">
        <v>1710</v>
      </c>
      <c r="J33" s="8" t="s">
        <v>565</v>
      </c>
      <c r="K33" s="23">
        <v>0</v>
      </c>
      <c r="L33" s="8"/>
      <c r="M33" s="23">
        <v>0</v>
      </c>
      <c r="N33" s="8"/>
      <c r="O33" s="23">
        <v>1710</v>
      </c>
      <c r="P33" s="24" t="s">
        <v>788</v>
      </c>
      <c r="Q33" s="14" t="s">
        <v>567</v>
      </c>
      <c r="R33" s="16" t="s">
        <v>571</v>
      </c>
      <c r="S33" s="19" t="str">
        <f ca="1">HYPERLINK("#"&amp;재료비목록표!G2&amp;"!A"&amp;ROW(재료비목록표!A32),"자재   29 →")</f>
        <v>자재   29 →</v>
      </c>
      <c r="T33" s="37">
        <v>1710</v>
      </c>
      <c r="U33" s="38">
        <f t="shared" si="0"/>
        <v>3</v>
      </c>
      <c r="V33" s="39">
        <f t="shared" si="1"/>
        <v>1710</v>
      </c>
      <c r="W33" s="40" t="str">
        <f t="shared" si="2"/>
        <v>물자</v>
      </c>
    </row>
    <row r="34" spans="1:23" ht="34.700000000000003" customHeight="1" x14ac:dyDescent="0.3">
      <c r="A34" s="8" t="s">
        <v>572</v>
      </c>
      <c r="B34" s="9" t="s">
        <v>573</v>
      </c>
      <c r="C34" s="9" t="s">
        <v>574</v>
      </c>
      <c r="D34" s="8" t="s">
        <v>461</v>
      </c>
      <c r="E34" s="23">
        <v>21200</v>
      </c>
      <c r="F34" s="8"/>
      <c r="G34" s="23">
        <v>0</v>
      </c>
      <c r="H34" s="8"/>
      <c r="I34" s="23">
        <v>0</v>
      </c>
      <c r="J34" s="8"/>
      <c r="K34" s="23">
        <v>0</v>
      </c>
      <c r="L34" s="8"/>
      <c r="M34" s="23">
        <v>0</v>
      </c>
      <c r="N34" s="8"/>
      <c r="O34" s="23">
        <v>21200</v>
      </c>
      <c r="P34" s="24" t="s">
        <v>786</v>
      </c>
      <c r="Q34" s="14" t="s">
        <v>572</v>
      </c>
      <c r="R34" s="16" t="s">
        <v>576</v>
      </c>
      <c r="S34" s="19" t="str">
        <f ca="1">HYPERLINK("#"&amp;재료비목록표!G2&amp;"!A"&amp;ROW(재료비목록표!A33),"자재   30 →")</f>
        <v>자재   30 →</v>
      </c>
      <c r="T34" s="37">
        <v>21200</v>
      </c>
      <c r="U34" s="38">
        <f t="shared" si="0"/>
        <v>1</v>
      </c>
      <c r="V34" s="39">
        <f t="shared" si="1"/>
        <v>21200</v>
      </c>
      <c r="W34" s="40" t="str">
        <f t="shared" si="2"/>
        <v>조달</v>
      </c>
    </row>
    <row r="35" spans="1:23" ht="34.700000000000003" customHeight="1" x14ac:dyDescent="0.3">
      <c r="A35" s="8" t="s">
        <v>577</v>
      </c>
      <c r="B35" s="9" t="s">
        <v>573</v>
      </c>
      <c r="C35" s="9" t="s">
        <v>578</v>
      </c>
      <c r="D35" s="8" t="s">
        <v>461</v>
      </c>
      <c r="E35" s="23">
        <v>32200</v>
      </c>
      <c r="F35" s="8"/>
      <c r="G35" s="23">
        <v>0</v>
      </c>
      <c r="H35" s="8"/>
      <c r="I35" s="23">
        <v>0</v>
      </c>
      <c r="J35" s="8"/>
      <c r="K35" s="23">
        <v>0</v>
      </c>
      <c r="L35" s="8"/>
      <c r="M35" s="23">
        <v>0</v>
      </c>
      <c r="N35" s="8"/>
      <c r="O35" s="23">
        <v>32200</v>
      </c>
      <c r="P35" s="24" t="s">
        <v>786</v>
      </c>
      <c r="Q35" s="14" t="s">
        <v>577</v>
      </c>
      <c r="R35" s="16" t="s">
        <v>580</v>
      </c>
      <c r="S35" s="19" t="str">
        <f ca="1">HYPERLINK("#"&amp;재료비목록표!G2&amp;"!A"&amp;ROW(재료비목록표!A34),"자재   31 →")</f>
        <v>자재   31 →</v>
      </c>
      <c r="T35" s="37">
        <v>32200</v>
      </c>
      <c r="U35" s="38">
        <f t="shared" si="0"/>
        <v>1</v>
      </c>
      <c r="V35" s="39">
        <f t="shared" si="1"/>
        <v>32200</v>
      </c>
      <c r="W35" s="40" t="str">
        <f t="shared" si="2"/>
        <v>조달</v>
      </c>
    </row>
    <row r="36" spans="1:23" ht="34.700000000000003" customHeight="1" x14ac:dyDescent="0.3">
      <c r="A36" s="8" t="s">
        <v>581</v>
      </c>
      <c r="B36" s="9" t="s">
        <v>438</v>
      </c>
      <c r="C36" s="9" t="s">
        <v>582</v>
      </c>
      <c r="D36" s="8" t="s">
        <v>434</v>
      </c>
      <c r="E36" s="23">
        <v>0</v>
      </c>
      <c r="F36" s="8"/>
      <c r="G36" s="23">
        <v>0</v>
      </c>
      <c r="H36" s="8"/>
      <c r="I36" s="23">
        <v>0</v>
      </c>
      <c r="J36" s="8"/>
      <c r="K36" s="23">
        <v>0</v>
      </c>
      <c r="L36" s="8"/>
      <c r="M36" s="23">
        <v>0</v>
      </c>
      <c r="N36" s="8"/>
      <c r="O36" s="23">
        <v>1273</v>
      </c>
      <c r="P36" s="24"/>
      <c r="Q36" s="14" t="s">
        <v>581</v>
      </c>
      <c r="R36" s="16" t="s">
        <v>584</v>
      </c>
      <c r="S36" s="19" t="str">
        <f ca="1">HYPERLINK("#"&amp;재료비목록표!G2&amp;"!A"&amp;ROW(재료비목록표!A35),"자재   32 →")</f>
        <v>자재   32 →</v>
      </c>
      <c r="T36" s="37">
        <v>1273</v>
      </c>
      <c r="U36" s="38" t="str">
        <f t="shared" si="0"/>
        <v/>
      </c>
      <c r="V36" s="39">
        <f t="shared" si="1"/>
        <v>1273</v>
      </c>
      <c r="W36" s="40" t="str">
        <f t="shared" si="2"/>
        <v/>
      </c>
    </row>
    <row r="37" spans="1:23" ht="34.700000000000003" customHeight="1" x14ac:dyDescent="0.3">
      <c r="A37" s="8" t="s">
        <v>585</v>
      </c>
      <c r="B37" s="9" t="s">
        <v>586</v>
      </c>
      <c r="C37" s="9" t="s">
        <v>502</v>
      </c>
      <c r="D37" s="8" t="s">
        <v>26</v>
      </c>
      <c r="E37" s="23">
        <v>0</v>
      </c>
      <c r="F37" s="8"/>
      <c r="G37" s="23">
        <v>0</v>
      </c>
      <c r="H37" s="8"/>
      <c r="I37" s="23">
        <v>0</v>
      </c>
      <c r="J37" s="8"/>
      <c r="K37" s="23">
        <v>0</v>
      </c>
      <c r="L37" s="8"/>
      <c r="M37" s="23">
        <v>0</v>
      </c>
      <c r="N37" s="8"/>
      <c r="O37" s="23">
        <v>0</v>
      </c>
      <c r="P37" s="24"/>
      <c r="Q37" s="14" t="s">
        <v>585</v>
      </c>
      <c r="R37" s="16" t="s">
        <v>588</v>
      </c>
      <c r="S37" s="19" t="str">
        <f ca="1">HYPERLINK("#"&amp;재료비목록표!G2&amp;"!A"&amp;ROW(재료비목록표!A36),"자재   33 →")</f>
        <v>자재   33 →</v>
      </c>
      <c r="T37" s="37">
        <v>0</v>
      </c>
      <c r="U37" s="38" t="str">
        <f t="shared" si="0"/>
        <v/>
      </c>
      <c r="V37" s="39">
        <f t="shared" si="1"/>
        <v>0</v>
      </c>
      <c r="W37" s="40" t="str">
        <f t="shared" si="2"/>
        <v/>
      </c>
    </row>
    <row r="38" spans="1:23" ht="34.700000000000003" customHeight="1" x14ac:dyDescent="0.3">
      <c r="A38" s="8" t="s">
        <v>589</v>
      </c>
      <c r="B38" s="9" t="s">
        <v>590</v>
      </c>
      <c r="C38" s="9" t="s">
        <v>502</v>
      </c>
      <c r="D38" s="8" t="s">
        <v>477</v>
      </c>
      <c r="E38" s="23">
        <v>0</v>
      </c>
      <c r="F38" s="8"/>
      <c r="G38" s="23">
        <v>0</v>
      </c>
      <c r="H38" s="8"/>
      <c r="I38" s="23">
        <v>0</v>
      </c>
      <c r="J38" s="8"/>
      <c r="K38" s="23">
        <v>0</v>
      </c>
      <c r="L38" s="8"/>
      <c r="M38" s="23">
        <v>0</v>
      </c>
      <c r="N38" s="8"/>
      <c r="O38" s="23">
        <v>0</v>
      </c>
      <c r="P38" s="24"/>
      <c r="Q38" s="14" t="s">
        <v>589</v>
      </c>
      <c r="R38" s="16" t="s">
        <v>592</v>
      </c>
      <c r="S38" s="19" t="str">
        <f ca="1">HYPERLINK("#"&amp;재료비목록표!G2&amp;"!A"&amp;ROW(재료비목록표!A37),"자재   34 →")</f>
        <v>자재   34 →</v>
      </c>
      <c r="T38" s="37">
        <v>0</v>
      </c>
      <c r="U38" s="38" t="str">
        <f t="shared" si="0"/>
        <v/>
      </c>
      <c r="V38" s="39">
        <f t="shared" si="1"/>
        <v>0</v>
      </c>
      <c r="W38" s="40" t="str">
        <f t="shared" si="2"/>
        <v/>
      </c>
    </row>
    <row r="39" spans="1:23" ht="34.700000000000003" customHeight="1" x14ac:dyDescent="0.3">
      <c r="A39" s="8" t="s">
        <v>593</v>
      </c>
      <c r="B39" s="9" t="s">
        <v>594</v>
      </c>
      <c r="C39" s="9" t="s">
        <v>595</v>
      </c>
      <c r="D39" s="8" t="s">
        <v>483</v>
      </c>
      <c r="E39" s="23">
        <v>0</v>
      </c>
      <c r="F39" s="8"/>
      <c r="G39" s="23">
        <v>0</v>
      </c>
      <c r="H39" s="8"/>
      <c r="I39" s="23">
        <v>0</v>
      </c>
      <c r="J39" s="8"/>
      <c r="K39" s="23">
        <v>0</v>
      </c>
      <c r="L39" s="8"/>
      <c r="M39" s="23">
        <v>0</v>
      </c>
      <c r="N39" s="8"/>
      <c r="O39" s="23">
        <v>0</v>
      </c>
      <c r="P39" s="24"/>
      <c r="Q39" s="14" t="s">
        <v>593</v>
      </c>
      <c r="R39" s="16" t="s">
        <v>597</v>
      </c>
      <c r="S39" s="19" t="str">
        <f ca="1">HYPERLINK("#"&amp;재료비목록표!G2&amp;"!A"&amp;ROW(재료비목록표!A38),"자재   35 →")</f>
        <v>자재   35 →</v>
      </c>
      <c r="T39" s="37">
        <v>0</v>
      </c>
      <c r="U39" s="38" t="str">
        <f t="shared" si="0"/>
        <v/>
      </c>
      <c r="V39" s="39">
        <f t="shared" si="1"/>
        <v>0</v>
      </c>
      <c r="W39" s="40" t="str">
        <f t="shared" si="2"/>
        <v/>
      </c>
    </row>
    <row r="40" spans="1:23" ht="34.700000000000003" customHeight="1" x14ac:dyDescent="0.3">
      <c r="A40" s="8" t="s">
        <v>598</v>
      </c>
      <c r="B40" s="9" t="s">
        <v>599</v>
      </c>
      <c r="C40" s="9" t="s">
        <v>502</v>
      </c>
      <c r="D40" s="8" t="s">
        <v>26</v>
      </c>
      <c r="E40" s="23">
        <v>0</v>
      </c>
      <c r="F40" s="8"/>
      <c r="G40" s="23">
        <v>0</v>
      </c>
      <c r="H40" s="8"/>
      <c r="I40" s="23">
        <v>0</v>
      </c>
      <c r="J40" s="8"/>
      <c r="K40" s="23">
        <v>0</v>
      </c>
      <c r="L40" s="8"/>
      <c r="M40" s="23">
        <v>0</v>
      </c>
      <c r="N40" s="8"/>
      <c r="O40" s="23">
        <v>0</v>
      </c>
      <c r="P40" s="24"/>
      <c r="Q40" s="14" t="s">
        <v>598</v>
      </c>
      <c r="R40" s="16" t="s">
        <v>601</v>
      </c>
      <c r="S40" s="19" t="str">
        <f ca="1">HYPERLINK("#"&amp;재료비목록표!G2&amp;"!A"&amp;ROW(재료비목록표!A39),"자재   36 →")</f>
        <v>자재   36 →</v>
      </c>
      <c r="T40" s="37">
        <v>0</v>
      </c>
      <c r="U40" s="38" t="str">
        <f t="shared" si="0"/>
        <v/>
      </c>
      <c r="V40" s="39">
        <f t="shared" si="1"/>
        <v>0</v>
      </c>
      <c r="W40" s="40" t="str">
        <f t="shared" si="2"/>
        <v/>
      </c>
    </row>
    <row r="41" spans="1:23" ht="34.700000000000003" customHeight="1" x14ac:dyDescent="0.3">
      <c r="A41" s="8" t="s">
        <v>602</v>
      </c>
      <c r="B41" s="9" t="s">
        <v>603</v>
      </c>
      <c r="C41" s="9" t="s">
        <v>604</v>
      </c>
      <c r="D41" s="8" t="s">
        <v>445</v>
      </c>
      <c r="E41" s="23">
        <v>102970</v>
      </c>
      <c r="F41" s="8"/>
      <c r="G41" s="23">
        <v>0</v>
      </c>
      <c r="H41" s="8"/>
      <c r="I41" s="23">
        <v>0</v>
      </c>
      <c r="J41" s="8"/>
      <c r="K41" s="23">
        <v>0</v>
      </c>
      <c r="L41" s="8"/>
      <c r="M41" s="23">
        <v>0</v>
      </c>
      <c r="N41" s="8"/>
      <c r="O41" s="23">
        <v>102970</v>
      </c>
      <c r="P41" s="24" t="s">
        <v>786</v>
      </c>
      <c r="Q41" s="14" t="s">
        <v>602</v>
      </c>
      <c r="R41" s="16" t="s">
        <v>606</v>
      </c>
      <c r="S41" s="19" t="str">
        <f ca="1">HYPERLINK("#"&amp;재료비목록표!G2&amp;"!A"&amp;ROW(재료비목록표!A40),"자재   37 →")</f>
        <v>자재   37 →</v>
      </c>
      <c r="T41" s="37">
        <v>102970</v>
      </c>
      <c r="U41" s="38">
        <f t="shared" si="0"/>
        <v>1</v>
      </c>
      <c r="V41" s="39">
        <f t="shared" si="1"/>
        <v>102970</v>
      </c>
      <c r="W41" s="40" t="str">
        <f t="shared" si="2"/>
        <v>조달</v>
      </c>
    </row>
    <row r="42" spans="1:23" ht="34.700000000000003" customHeight="1" x14ac:dyDescent="0.3">
      <c r="A42" s="8" t="s">
        <v>607</v>
      </c>
      <c r="B42" s="9" t="s">
        <v>541</v>
      </c>
      <c r="C42" s="9" t="s">
        <v>608</v>
      </c>
      <c r="D42" s="8" t="s">
        <v>477</v>
      </c>
      <c r="E42" s="23">
        <v>273370</v>
      </c>
      <c r="F42" s="8" t="s">
        <v>605</v>
      </c>
      <c r="G42" s="23">
        <v>0</v>
      </c>
      <c r="H42" s="8"/>
      <c r="I42" s="23">
        <v>0</v>
      </c>
      <c r="J42" s="8"/>
      <c r="K42" s="23">
        <v>0</v>
      </c>
      <c r="L42" s="8"/>
      <c r="M42" s="23">
        <v>0</v>
      </c>
      <c r="N42" s="8"/>
      <c r="O42" s="23">
        <v>273370</v>
      </c>
      <c r="P42" s="24" t="s">
        <v>786</v>
      </c>
      <c r="Q42" s="14" t="s">
        <v>607</v>
      </c>
      <c r="R42" s="16" t="s">
        <v>610</v>
      </c>
      <c r="S42" s="19" t="str">
        <f ca="1">HYPERLINK("#"&amp;재료비목록표!G2&amp;"!A"&amp;ROW(재료비목록표!A41),"자재   38 →")</f>
        <v>자재   38 →</v>
      </c>
      <c r="T42" s="37">
        <v>273370</v>
      </c>
      <c r="U42" s="38">
        <f t="shared" si="0"/>
        <v>1</v>
      </c>
      <c r="V42" s="39">
        <f t="shared" si="1"/>
        <v>273370</v>
      </c>
      <c r="W42" s="40" t="str">
        <f t="shared" si="2"/>
        <v>조달</v>
      </c>
    </row>
    <row r="43" spans="1:23" ht="34.700000000000003" customHeight="1" x14ac:dyDescent="0.3">
      <c r="A43" s="8" t="s">
        <v>611</v>
      </c>
      <c r="B43" s="9" t="s">
        <v>573</v>
      </c>
      <c r="C43" s="9" t="s">
        <v>612</v>
      </c>
      <c r="D43" s="8" t="s">
        <v>461</v>
      </c>
      <c r="E43" s="23">
        <v>40200</v>
      </c>
      <c r="F43" s="8"/>
      <c r="G43" s="23">
        <v>0</v>
      </c>
      <c r="H43" s="8"/>
      <c r="I43" s="23">
        <v>0</v>
      </c>
      <c r="J43" s="8"/>
      <c r="K43" s="23">
        <v>0</v>
      </c>
      <c r="L43" s="8"/>
      <c r="M43" s="23">
        <v>0</v>
      </c>
      <c r="N43" s="8"/>
      <c r="O43" s="23">
        <v>40200</v>
      </c>
      <c r="P43" s="24" t="s">
        <v>786</v>
      </c>
      <c r="Q43" s="14" t="s">
        <v>611</v>
      </c>
      <c r="R43" s="16" t="s">
        <v>614</v>
      </c>
      <c r="S43" s="19" t="str">
        <f ca="1">HYPERLINK("#"&amp;재료비목록표!G2&amp;"!A"&amp;ROW(재료비목록표!A42),"자재   39 →")</f>
        <v>자재   39 →</v>
      </c>
      <c r="T43" s="37">
        <v>40200</v>
      </c>
      <c r="U43" s="38">
        <f t="shared" si="0"/>
        <v>1</v>
      </c>
      <c r="V43" s="39">
        <f t="shared" si="1"/>
        <v>40200</v>
      </c>
      <c r="W43" s="40" t="str">
        <f t="shared" si="2"/>
        <v>조달</v>
      </c>
    </row>
    <row r="44" spans="1:23" ht="34.700000000000003" customHeight="1" x14ac:dyDescent="0.3">
      <c r="A44" s="8" t="s">
        <v>615</v>
      </c>
      <c r="B44" s="9" t="s">
        <v>616</v>
      </c>
      <c r="C44" s="9" t="s">
        <v>617</v>
      </c>
      <c r="D44" s="8" t="s">
        <v>53</v>
      </c>
      <c r="E44" s="23">
        <v>0</v>
      </c>
      <c r="F44" s="8"/>
      <c r="G44" s="23">
        <v>0</v>
      </c>
      <c r="H44" s="8"/>
      <c r="I44" s="23">
        <v>0</v>
      </c>
      <c r="J44" s="8"/>
      <c r="K44" s="23">
        <v>0</v>
      </c>
      <c r="L44" s="8"/>
      <c r="M44" s="23">
        <v>0</v>
      </c>
      <c r="N44" s="8"/>
      <c r="O44" s="23">
        <v>460200</v>
      </c>
      <c r="P44" s="24"/>
      <c r="Q44" s="14" t="s">
        <v>615</v>
      </c>
      <c r="R44" s="16" t="s">
        <v>619</v>
      </c>
      <c r="S44" s="19" t="str">
        <f ca="1">HYPERLINK("#"&amp;재료비목록표!G2&amp;"!A"&amp;ROW(재료비목록표!A43),"자재   40 →")</f>
        <v>자재   40 →</v>
      </c>
      <c r="T44" s="37">
        <v>460200</v>
      </c>
      <c r="U44" s="38" t="str">
        <f t="shared" si="0"/>
        <v/>
      </c>
      <c r="V44" s="39">
        <f t="shared" si="1"/>
        <v>460200</v>
      </c>
      <c r="W44" s="40" t="str">
        <f t="shared" si="2"/>
        <v/>
      </c>
    </row>
    <row r="45" spans="1:23" ht="34.700000000000003" customHeight="1" x14ac:dyDescent="0.3">
      <c r="A45" s="8" t="s">
        <v>620</v>
      </c>
      <c r="B45" s="9" t="s">
        <v>621</v>
      </c>
      <c r="C45" s="9" t="s">
        <v>622</v>
      </c>
      <c r="D45" s="8" t="s">
        <v>445</v>
      </c>
      <c r="E45" s="23">
        <v>0</v>
      </c>
      <c r="F45" s="8"/>
      <c r="G45" s="23">
        <v>0</v>
      </c>
      <c r="H45" s="8"/>
      <c r="I45" s="23">
        <v>0</v>
      </c>
      <c r="J45" s="8"/>
      <c r="K45" s="23">
        <v>0</v>
      </c>
      <c r="L45" s="8"/>
      <c r="M45" s="23">
        <v>0</v>
      </c>
      <c r="N45" s="8"/>
      <c r="O45" s="23">
        <v>25665</v>
      </c>
      <c r="P45" s="24"/>
      <c r="Q45" s="14" t="s">
        <v>620</v>
      </c>
      <c r="R45" s="16" t="s">
        <v>624</v>
      </c>
      <c r="S45" s="19" t="str">
        <f ca="1">HYPERLINK("#"&amp;재료비목록표!G2&amp;"!A"&amp;ROW(재료비목록표!A44),"자재   41 →")</f>
        <v>자재   41 →</v>
      </c>
      <c r="T45" s="37">
        <v>25665</v>
      </c>
      <c r="U45" s="38" t="str">
        <f t="shared" si="0"/>
        <v/>
      </c>
      <c r="V45" s="39">
        <f t="shared" si="1"/>
        <v>25665</v>
      </c>
      <c r="W45" s="40" t="str">
        <f t="shared" si="2"/>
        <v/>
      </c>
    </row>
    <row r="46" spans="1:23" ht="34.700000000000003" customHeight="1" x14ac:dyDescent="0.3">
      <c r="A46" s="8" t="s">
        <v>625</v>
      </c>
      <c r="B46" s="9" t="s">
        <v>626</v>
      </c>
      <c r="C46" s="9" t="s">
        <v>622</v>
      </c>
      <c r="D46" s="8" t="s">
        <v>445</v>
      </c>
      <c r="E46" s="23">
        <v>0</v>
      </c>
      <c r="F46" s="8"/>
      <c r="G46" s="23">
        <v>0</v>
      </c>
      <c r="H46" s="8"/>
      <c r="I46" s="23">
        <v>0</v>
      </c>
      <c r="J46" s="8"/>
      <c r="K46" s="23">
        <v>0</v>
      </c>
      <c r="L46" s="8"/>
      <c r="M46" s="23">
        <v>0</v>
      </c>
      <c r="N46" s="8"/>
      <c r="O46" s="23">
        <v>18585</v>
      </c>
      <c r="P46" s="24"/>
      <c r="Q46" s="14" t="s">
        <v>625</v>
      </c>
      <c r="R46" s="16" t="s">
        <v>628</v>
      </c>
      <c r="S46" s="19" t="str">
        <f ca="1">HYPERLINK("#"&amp;재료비목록표!G2&amp;"!A"&amp;ROW(재료비목록표!A45),"자재   42 →")</f>
        <v>자재   42 →</v>
      </c>
      <c r="T46" s="37">
        <v>18585</v>
      </c>
      <c r="U46" s="38" t="str">
        <f t="shared" si="0"/>
        <v/>
      </c>
      <c r="V46" s="39">
        <f t="shared" si="1"/>
        <v>18585</v>
      </c>
      <c r="W46" s="40" t="str">
        <f t="shared" si="2"/>
        <v/>
      </c>
    </row>
    <row r="47" spans="1:23" ht="34.700000000000003" customHeight="1" x14ac:dyDescent="0.3">
      <c r="A47" s="8" t="s">
        <v>629</v>
      </c>
      <c r="B47" s="9" t="s">
        <v>536</v>
      </c>
      <c r="C47" s="9" t="s">
        <v>630</v>
      </c>
      <c r="D47" s="8" t="s">
        <v>213</v>
      </c>
      <c r="E47" s="23">
        <v>0</v>
      </c>
      <c r="F47" s="8"/>
      <c r="G47" s="23">
        <v>0</v>
      </c>
      <c r="H47" s="8"/>
      <c r="I47" s="23">
        <v>0</v>
      </c>
      <c r="J47" s="8"/>
      <c r="K47" s="23">
        <v>0</v>
      </c>
      <c r="L47" s="8"/>
      <c r="M47" s="23">
        <v>0</v>
      </c>
      <c r="N47" s="8"/>
      <c r="O47" s="23">
        <v>38940</v>
      </c>
      <c r="P47" s="24"/>
      <c r="Q47" s="14" t="s">
        <v>629</v>
      </c>
      <c r="R47" s="16" t="s">
        <v>631</v>
      </c>
      <c r="S47" s="19" t="str">
        <f ca="1">HYPERLINK("#"&amp;재료비목록표!G2&amp;"!A"&amp;ROW(재료비목록표!A46),"자재   43 →")</f>
        <v>자재   43 →</v>
      </c>
      <c r="T47" s="37">
        <v>38940</v>
      </c>
      <c r="U47" s="38" t="str">
        <f t="shared" si="0"/>
        <v/>
      </c>
      <c r="V47" s="39">
        <f t="shared" si="1"/>
        <v>38940</v>
      </c>
      <c r="W47" s="40" t="str">
        <f t="shared" si="2"/>
        <v/>
      </c>
    </row>
    <row r="48" spans="1:23" ht="34.700000000000003" customHeight="1" x14ac:dyDescent="0.3">
      <c r="A48" s="8" t="s">
        <v>632</v>
      </c>
      <c r="B48" s="9" t="s">
        <v>633</v>
      </c>
      <c r="C48" s="9" t="s">
        <v>634</v>
      </c>
      <c r="D48" s="8" t="s">
        <v>279</v>
      </c>
      <c r="E48" s="23">
        <v>0</v>
      </c>
      <c r="F48" s="8"/>
      <c r="G48" s="23">
        <v>0</v>
      </c>
      <c r="H48" s="8"/>
      <c r="I48" s="23">
        <v>0</v>
      </c>
      <c r="J48" s="8"/>
      <c r="K48" s="23">
        <v>0</v>
      </c>
      <c r="L48" s="8"/>
      <c r="M48" s="23">
        <v>0</v>
      </c>
      <c r="N48" s="8"/>
      <c r="O48" s="23">
        <v>4425</v>
      </c>
      <c r="P48" s="24"/>
      <c r="Q48" s="14" t="s">
        <v>632</v>
      </c>
      <c r="R48" s="16" t="s">
        <v>636</v>
      </c>
      <c r="S48" s="19" t="str">
        <f ca="1">HYPERLINK("#"&amp;재료비목록표!G2&amp;"!A"&amp;ROW(재료비목록표!A47),"자재   44 →")</f>
        <v>자재   44 →</v>
      </c>
      <c r="T48" s="37">
        <v>4425</v>
      </c>
      <c r="U48" s="38" t="str">
        <f t="shared" si="0"/>
        <v/>
      </c>
      <c r="V48" s="39">
        <f t="shared" si="1"/>
        <v>4425</v>
      </c>
      <c r="W48" s="40" t="str">
        <f t="shared" si="2"/>
        <v/>
      </c>
    </row>
    <row r="49" spans="1:23" ht="34.700000000000003" customHeight="1" x14ac:dyDescent="0.3">
      <c r="A49" s="8" t="s">
        <v>637</v>
      </c>
      <c r="B49" s="9" t="s">
        <v>638</v>
      </c>
      <c r="C49" s="9" t="s">
        <v>639</v>
      </c>
      <c r="D49" s="8" t="s">
        <v>26</v>
      </c>
      <c r="E49" s="23">
        <v>0</v>
      </c>
      <c r="F49" s="8"/>
      <c r="G49" s="23">
        <v>0</v>
      </c>
      <c r="H49" s="8"/>
      <c r="I49" s="23">
        <v>0</v>
      </c>
      <c r="J49" s="8"/>
      <c r="K49" s="23">
        <v>0</v>
      </c>
      <c r="L49" s="8"/>
      <c r="M49" s="23">
        <v>0</v>
      </c>
      <c r="N49" s="8"/>
      <c r="O49" s="23">
        <v>3973</v>
      </c>
      <c r="P49" s="24"/>
      <c r="Q49" s="14" t="s">
        <v>637</v>
      </c>
      <c r="R49" s="16" t="s">
        <v>641</v>
      </c>
      <c r="S49" s="19" t="str">
        <f ca="1">HYPERLINK("#"&amp;재료비목록표!G2&amp;"!A"&amp;ROW(재료비목록표!A48),"자재   45 →")</f>
        <v>자재   45 →</v>
      </c>
      <c r="T49" s="37">
        <v>3973</v>
      </c>
      <c r="U49" s="38" t="str">
        <f t="shared" si="0"/>
        <v/>
      </c>
      <c r="V49" s="39">
        <f t="shared" si="1"/>
        <v>3973</v>
      </c>
      <c r="W49" s="40" t="str">
        <f t="shared" si="2"/>
        <v/>
      </c>
    </row>
    <row r="50" spans="1:23" ht="34.700000000000003" customHeight="1" x14ac:dyDescent="0.3">
      <c r="A50" s="8" t="s">
        <v>642</v>
      </c>
      <c r="B50" s="9" t="s">
        <v>643</v>
      </c>
      <c r="C50" s="9" t="s">
        <v>644</v>
      </c>
      <c r="D50" s="8" t="s">
        <v>645</v>
      </c>
      <c r="E50" s="23">
        <v>0</v>
      </c>
      <c r="F50" s="8"/>
      <c r="G50" s="23">
        <v>0</v>
      </c>
      <c r="H50" s="8"/>
      <c r="I50" s="23">
        <v>0</v>
      </c>
      <c r="J50" s="8"/>
      <c r="K50" s="23">
        <v>0</v>
      </c>
      <c r="L50" s="8"/>
      <c r="M50" s="23">
        <v>0</v>
      </c>
      <c r="N50" s="8"/>
      <c r="O50" s="23">
        <v>797255</v>
      </c>
      <c r="P50" s="24"/>
      <c r="Q50" s="14" t="s">
        <v>642</v>
      </c>
      <c r="R50" s="16" t="s">
        <v>647</v>
      </c>
      <c r="S50" s="19" t="str">
        <f ca="1">HYPERLINK("#"&amp;재료비목록표!G2&amp;"!A"&amp;ROW(재료비목록표!A49),"자재   46 →")</f>
        <v>자재   46 →</v>
      </c>
      <c r="T50" s="37">
        <v>797255</v>
      </c>
      <c r="U50" s="38" t="str">
        <f t="shared" si="0"/>
        <v/>
      </c>
      <c r="V50" s="39">
        <f t="shared" si="1"/>
        <v>797255</v>
      </c>
      <c r="W50" s="40" t="str">
        <f t="shared" si="2"/>
        <v/>
      </c>
    </row>
  </sheetData>
  <mergeCells count="13">
    <mergeCell ref="O3:P3"/>
    <mergeCell ref="Q3:Q4"/>
    <mergeCell ref="U3:W3"/>
    <mergeCell ref="A1:Q1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honeticPr fontId="23" type="noConversion"/>
  <conditionalFormatting sqref="V5:V50">
    <cfRule type="expression" dxfId="0" priority="1" stopIfTrue="1">
      <formula>$O5&lt;&gt;$V5</formula>
    </cfRule>
  </conditionalFormatting>
  <hyperlinks>
    <hyperlink ref="S1" r:id="rId1" tooltip="설계예산시스템(STmate w24.04)으로 작성 하였으며,_x000a_엑셀 인쇄품질 600 dpi에 최적화 되어 있습니다._x000a_경영정보(주) http://www.stma.co.kr_x000a_Tel) 070-4350-0040_x000a_Fax) 0505-300-3948"/>
    <hyperlink ref="R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61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30" t="s">
        <v>429</v>
      </c>
      <c r="B1" s="131"/>
      <c r="C1" s="131"/>
      <c r="D1" s="131"/>
      <c r="E1" s="131"/>
      <c r="F1" s="131"/>
      <c r="G1" s="131"/>
      <c r="H1" s="131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재료비수량금액집계표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431</v>
      </c>
      <c r="G3" s="7" t="s">
        <v>627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442</v>
      </c>
      <c r="B4" s="9" t="s">
        <v>443</v>
      </c>
      <c r="C4" s="9" t="s">
        <v>444</v>
      </c>
      <c r="D4" s="97">
        <v>0.56000000000000005</v>
      </c>
      <c r="E4" s="33" t="s">
        <v>445</v>
      </c>
      <c r="F4" s="35">
        <f>재료비목록표!E6</f>
        <v>500661</v>
      </c>
      <c r="G4" s="55">
        <f t="shared" ref="G4:G31" si="0">ROUND(D4*F4,0)</f>
        <v>280370</v>
      </c>
      <c r="H4" s="14" t="s">
        <v>442</v>
      </c>
      <c r="J4" s="19" t="str">
        <f ca="1">HYPERLINK("#"&amp;재료비목록표!G2&amp;"!A"&amp;ROW(재료비목록표!A6),"자재    3 →")</f>
        <v>자재    3 →</v>
      </c>
    </row>
    <row r="5" spans="1:10" ht="21.75" customHeight="1" x14ac:dyDescent="0.3">
      <c r="A5" s="8" t="s">
        <v>448</v>
      </c>
      <c r="B5" s="9" t="s">
        <v>449</v>
      </c>
      <c r="C5" s="9" t="s">
        <v>450</v>
      </c>
      <c r="D5" s="97">
        <v>3.54</v>
      </c>
      <c r="E5" s="33" t="s">
        <v>451</v>
      </c>
      <c r="F5" s="35">
        <f>재료비목록표!E7</f>
        <v>1503</v>
      </c>
      <c r="G5" s="55">
        <f t="shared" si="0"/>
        <v>5321</v>
      </c>
      <c r="H5" s="14" t="s">
        <v>448</v>
      </c>
      <c r="J5" s="19" t="str">
        <f ca="1">HYPERLINK("#"&amp;재료비목록표!G2&amp;"!A"&amp;ROW(재료비목록표!A7),"자재    4 →")</f>
        <v>자재    4 →</v>
      </c>
    </row>
    <row r="6" spans="1:10" ht="21.75" customHeight="1" x14ac:dyDescent="0.3">
      <c r="A6" s="8" t="s">
        <v>454</v>
      </c>
      <c r="B6" s="9" t="s">
        <v>455</v>
      </c>
      <c r="C6" s="9" t="s">
        <v>444</v>
      </c>
      <c r="D6" s="97">
        <v>0.7</v>
      </c>
      <c r="E6" s="33" t="s">
        <v>445</v>
      </c>
      <c r="F6" s="35">
        <f>재료비목록표!E8</f>
        <v>572185</v>
      </c>
      <c r="G6" s="55">
        <f t="shared" si="0"/>
        <v>400530</v>
      </c>
      <c r="H6" s="14" t="s">
        <v>454</v>
      </c>
      <c r="J6" s="19" t="str">
        <f ca="1">HYPERLINK("#"&amp;재료비목록표!G2&amp;"!A"&amp;ROW(재료비목록표!A8),"자재    5 →")</f>
        <v>자재    5 →</v>
      </c>
    </row>
    <row r="7" spans="1:10" ht="21.75" customHeight="1" x14ac:dyDescent="0.3">
      <c r="A7" s="8" t="s">
        <v>458</v>
      </c>
      <c r="B7" s="9" t="s">
        <v>459</v>
      </c>
      <c r="C7" s="9" t="s">
        <v>460</v>
      </c>
      <c r="D7" s="97">
        <v>519.48</v>
      </c>
      <c r="E7" s="33" t="s">
        <v>461</v>
      </c>
      <c r="F7" s="35">
        <f>재료비목록표!E9</f>
        <v>3920</v>
      </c>
      <c r="G7" s="55">
        <f t="shared" si="0"/>
        <v>2036362</v>
      </c>
      <c r="H7" s="14" t="s">
        <v>458</v>
      </c>
      <c r="J7" s="19" t="str">
        <f ca="1">HYPERLINK("#"&amp;재료비목록표!G2&amp;"!A"&amp;ROW(재료비목록표!A9),"자재    6 →")</f>
        <v>자재    6 →</v>
      </c>
    </row>
    <row r="8" spans="1:10" ht="21.75" customHeight="1" x14ac:dyDescent="0.3">
      <c r="A8" s="8" t="s">
        <v>464</v>
      </c>
      <c r="B8" s="9" t="s">
        <v>465</v>
      </c>
      <c r="C8" s="9" t="s">
        <v>466</v>
      </c>
      <c r="D8" s="97">
        <v>4025.97</v>
      </c>
      <c r="E8" s="33" t="s">
        <v>451</v>
      </c>
      <c r="F8" s="35">
        <f>재료비목록표!E10</f>
        <v>12712</v>
      </c>
      <c r="G8" s="55">
        <f t="shared" si="0"/>
        <v>51178131</v>
      </c>
      <c r="H8" s="14" t="s">
        <v>464</v>
      </c>
      <c r="J8" s="19" t="str">
        <f ca="1">HYPERLINK("#"&amp;재료비목록표!G2&amp;"!A"&amp;ROW(재료비목록표!A10),"자재    7 →")</f>
        <v>자재    7 →</v>
      </c>
    </row>
    <row r="9" spans="1:10" ht="21.75" customHeight="1" x14ac:dyDescent="0.3">
      <c r="A9" s="8" t="s">
        <v>469</v>
      </c>
      <c r="B9" s="9" t="s">
        <v>470</v>
      </c>
      <c r="C9" s="9" t="s">
        <v>471</v>
      </c>
      <c r="D9" s="97">
        <v>0.04</v>
      </c>
      <c r="E9" s="33" t="s">
        <v>445</v>
      </c>
      <c r="F9" s="35">
        <f>재료비목록표!E11</f>
        <v>288000</v>
      </c>
      <c r="G9" s="55">
        <f t="shared" si="0"/>
        <v>11520</v>
      </c>
      <c r="H9" s="14" t="s">
        <v>469</v>
      </c>
      <c r="J9" s="19" t="str">
        <f ca="1">HYPERLINK("#"&amp;재료비목록표!G2&amp;"!A"&amp;ROW(재료비목록표!A11),"자재    8 →")</f>
        <v>자재    8 →</v>
      </c>
    </row>
    <row r="10" spans="1:10" ht="21.75" customHeight="1" x14ac:dyDescent="0.3">
      <c r="A10" s="8" t="s">
        <v>474</v>
      </c>
      <c r="B10" s="9" t="s">
        <v>475</v>
      </c>
      <c r="C10" s="9" t="s">
        <v>476</v>
      </c>
      <c r="D10" s="97">
        <v>158.37</v>
      </c>
      <c r="E10" s="33" t="s">
        <v>477</v>
      </c>
      <c r="F10" s="35">
        <f>재료비목록표!E12</f>
        <v>1912</v>
      </c>
      <c r="G10" s="55">
        <f t="shared" si="0"/>
        <v>302803</v>
      </c>
      <c r="H10" s="14" t="s">
        <v>474</v>
      </c>
      <c r="J10" s="19" t="str">
        <f ca="1">HYPERLINK("#"&amp;재료비목록표!G2&amp;"!A"&amp;ROW(재료비목록표!A12),"자재    9 →")</f>
        <v>자재    9 →</v>
      </c>
    </row>
    <row r="11" spans="1:10" ht="21.75" customHeight="1" x14ac:dyDescent="0.3">
      <c r="A11" s="8" t="s">
        <v>500</v>
      </c>
      <c r="B11" s="9" t="s">
        <v>501</v>
      </c>
      <c r="C11" s="9" t="s">
        <v>502</v>
      </c>
      <c r="D11" s="97">
        <v>8354.14</v>
      </c>
      <c r="E11" s="33" t="s">
        <v>451</v>
      </c>
      <c r="F11" s="35">
        <f>재료비목록표!E17</f>
        <v>0</v>
      </c>
      <c r="G11" s="55">
        <f t="shared" si="0"/>
        <v>0</v>
      </c>
      <c r="H11" s="14" t="s">
        <v>500</v>
      </c>
      <c r="J11" s="19" t="str">
        <f ca="1">HYPERLINK("#"&amp;재료비목록표!G2&amp;"!A"&amp;ROW(재료비목록표!A17),"자재   14 →")</f>
        <v>자재   14 →</v>
      </c>
    </row>
    <row r="12" spans="1:10" ht="21.75" customHeight="1" x14ac:dyDescent="0.3">
      <c r="A12" s="8" t="s">
        <v>505</v>
      </c>
      <c r="B12" s="9" t="s">
        <v>506</v>
      </c>
      <c r="C12" s="9" t="s">
        <v>502</v>
      </c>
      <c r="D12" s="97">
        <v>14.18</v>
      </c>
      <c r="E12" s="33" t="s">
        <v>445</v>
      </c>
      <c r="F12" s="35">
        <f>재료비목록표!E18</f>
        <v>0</v>
      </c>
      <c r="G12" s="55">
        <f t="shared" si="0"/>
        <v>0</v>
      </c>
      <c r="H12" s="14" t="s">
        <v>505</v>
      </c>
      <c r="J12" s="19" t="str">
        <f ca="1">HYPERLINK("#"&amp;재료비목록표!G2&amp;"!A"&amp;ROW(재료비목록표!A18),"자재   15 →")</f>
        <v>자재   15 →</v>
      </c>
    </row>
    <row r="13" spans="1:10" ht="21.75" customHeight="1" x14ac:dyDescent="0.3">
      <c r="A13" s="8" t="s">
        <v>509</v>
      </c>
      <c r="B13" s="9" t="s">
        <v>510</v>
      </c>
      <c r="C13" s="9" t="s">
        <v>511</v>
      </c>
      <c r="D13" s="97">
        <v>8.24</v>
      </c>
      <c r="E13" s="33" t="s">
        <v>512</v>
      </c>
      <c r="F13" s="35">
        <f>재료비목록표!E19</f>
        <v>31500</v>
      </c>
      <c r="G13" s="55">
        <f t="shared" si="0"/>
        <v>259560</v>
      </c>
      <c r="H13" s="14" t="s">
        <v>509</v>
      </c>
      <c r="J13" s="19" t="str">
        <f ca="1">HYPERLINK("#"&amp;재료비목록표!G2&amp;"!A"&amp;ROW(재료비목록표!A19),"자재   16 →")</f>
        <v>자재   16 →</v>
      </c>
    </row>
    <row r="14" spans="1:10" ht="21.75" customHeight="1" x14ac:dyDescent="0.3">
      <c r="A14" s="8" t="s">
        <v>515</v>
      </c>
      <c r="B14" s="9" t="s">
        <v>516</v>
      </c>
      <c r="C14" s="9" t="s">
        <v>517</v>
      </c>
      <c r="D14" s="97">
        <v>0.27</v>
      </c>
      <c r="E14" s="33" t="s">
        <v>512</v>
      </c>
      <c r="F14" s="35">
        <f>재료비목록표!E20</f>
        <v>21000</v>
      </c>
      <c r="G14" s="55">
        <f t="shared" si="0"/>
        <v>5670</v>
      </c>
      <c r="H14" s="14" t="s">
        <v>515</v>
      </c>
      <c r="J14" s="19" t="str">
        <f ca="1">HYPERLINK("#"&amp;재료비목록표!G2&amp;"!A"&amp;ROW(재료비목록표!A20),"자재   17 →")</f>
        <v>자재   17 →</v>
      </c>
    </row>
    <row r="15" spans="1:10" ht="21.75" customHeight="1" x14ac:dyDescent="0.3">
      <c r="A15" s="8" t="s">
        <v>524</v>
      </c>
      <c r="B15" s="9" t="s">
        <v>525</v>
      </c>
      <c r="C15" s="9" t="s">
        <v>502</v>
      </c>
      <c r="D15" s="97">
        <v>212</v>
      </c>
      <c r="E15" s="33" t="s">
        <v>477</v>
      </c>
      <c r="F15" s="35">
        <f>재료비목록표!E22</f>
        <v>0</v>
      </c>
      <c r="G15" s="55">
        <f t="shared" si="0"/>
        <v>0</v>
      </c>
      <c r="H15" s="14" t="s">
        <v>524</v>
      </c>
      <c r="J15" s="19" t="str">
        <f ca="1">HYPERLINK("#"&amp;재료비목록표!G2&amp;"!A"&amp;ROW(재료비목록표!A22),"자재   19 →")</f>
        <v>자재   19 →</v>
      </c>
    </row>
    <row r="16" spans="1:10" ht="21.75" customHeight="1" x14ac:dyDescent="0.3">
      <c r="A16" s="8" t="s">
        <v>528</v>
      </c>
      <c r="B16" s="9" t="s">
        <v>529</v>
      </c>
      <c r="C16" s="9" t="s">
        <v>416</v>
      </c>
      <c r="D16" s="97">
        <v>8.6199999999999992</v>
      </c>
      <c r="E16" s="33" t="s">
        <v>461</v>
      </c>
      <c r="F16" s="35">
        <f>재료비목록표!E23</f>
        <v>223000</v>
      </c>
      <c r="G16" s="55">
        <f t="shared" si="0"/>
        <v>1922260</v>
      </c>
      <c r="H16" s="14" t="s">
        <v>528</v>
      </c>
      <c r="J16" s="19" t="str">
        <f ca="1">HYPERLINK("#"&amp;재료비목록표!G2&amp;"!A"&amp;ROW(재료비목록표!A23),"자재   20 →")</f>
        <v>자재   20 →</v>
      </c>
    </row>
    <row r="17" spans="1:10" ht="21.75" customHeight="1" x14ac:dyDescent="0.3">
      <c r="A17" s="8" t="s">
        <v>535</v>
      </c>
      <c r="B17" s="9" t="s">
        <v>536</v>
      </c>
      <c r="C17" s="9" t="s">
        <v>502</v>
      </c>
      <c r="D17" s="97">
        <v>561.86</v>
      </c>
      <c r="E17" s="33" t="s">
        <v>537</v>
      </c>
      <c r="F17" s="35">
        <f>재료비목록표!E25</f>
        <v>0</v>
      </c>
      <c r="G17" s="55">
        <f t="shared" si="0"/>
        <v>0</v>
      </c>
      <c r="H17" s="14" t="s">
        <v>535</v>
      </c>
      <c r="J17" s="19" t="str">
        <f ca="1">HYPERLINK("#"&amp;재료비목록표!G2&amp;"!A"&amp;ROW(재료비목록표!A25),"자재   22 →")</f>
        <v>자재   22 →</v>
      </c>
    </row>
    <row r="18" spans="1:10" ht="21.75" customHeight="1" x14ac:dyDescent="0.3">
      <c r="A18" s="8" t="s">
        <v>554</v>
      </c>
      <c r="B18" s="9" t="s">
        <v>555</v>
      </c>
      <c r="C18" s="9" t="s">
        <v>556</v>
      </c>
      <c r="D18" s="97">
        <v>28.3</v>
      </c>
      <c r="E18" s="33" t="s">
        <v>477</v>
      </c>
      <c r="F18" s="35">
        <f>재료비목록표!E29</f>
        <v>142</v>
      </c>
      <c r="G18" s="55">
        <f t="shared" si="0"/>
        <v>4019</v>
      </c>
      <c r="H18" s="14" t="s">
        <v>554</v>
      </c>
      <c r="J18" s="19" t="str">
        <f ca="1">HYPERLINK("#"&amp;재료비목록표!G2&amp;"!A"&amp;ROW(재료비목록표!A29),"자재   26 →")</f>
        <v>자재   26 →</v>
      </c>
    </row>
    <row r="19" spans="1:10" ht="21.75" customHeight="1" x14ac:dyDescent="0.3">
      <c r="A19" s="8" t="s">
        <v>559</v>
      </c>
      <c r="B19" s="9" t="s">
        <v>516</v>
      </c>
      <c r="C19" s="9" t="s">
        <v>560</v>
      </c>
      <c r="D19" s="97">
        <v>0.01</v>
      </c>
      <c r="E19" s="33" t="s">
        <v>512</v>
      </c>
      <c r="F19" s="35">
        <f>재료비목록표!E30</f>
        <v>21000</v>
      </c>
      <c r="G19" s="55">
        <f t="shared" si="0"/>
        <v>210</v>
      </c>
      <c r="H19" s="14" t="s">
        <v>559</v>
      </c>
      <c r="J19" s="19" t="str">
        <f ca="1">HYPERLINK("#"&amp;재료비목록표!G2&amp;"!A"&amp;ROW(재료비목록표!A30),"자재   27 →")</f>
        <v>자재   27 →</v>
      </c>
    </row>
    <row r="20" spans="1:10" ht="21.75" customHeight="1" x14ac:dyDescent="0.3">
      <c r="A20" s="8" t="s">
        <v>563</v>
      </c>
      <c r="B20" s="9" t="s">
        <v>564</v>
      </c>
      <c r="C20" s="9" t="s">
        <v>502</v>
      </c>
      <c r="D20" s="97">
        <v>11.52</v>
      </c>
      <c r="E20" s="33" t="s">
        <v>445</v>
      </c>
      <c r="F20" s="35">
        <f>재료비목록표!E31</f>
        <v>0</v>
      </c>
      <c r="G20" s="55">
        <f t="shared" si="0"/>
        <v>0</v>
      </c>
      <c r="H20" s="14" t="s">
        <v>563</v>
      </c>
      <c r="J20" s="19" t="str">
        <f ca="1">HYPERLINK("#"&amp;재료비목록표!G2&amp;"!A"&amp;ROW(재료비목록표!A31),"자재   28 →")</f>
        <v>자재   28 →</v>
      </c>
    </row>
    <row r="21" spans="1:10" ht="21.75" customHeight="1" x14ac:dyDescent="0.3">
      <c r="A21" s="8" t="s">
        <v>567</v>
      </c>
      <c r="B21" s="9" t="s">
        <v>568</v>
      </c>
      <c r="C21" s="9" t="s">
        <v>569</v>
      </c>
      <c r="D21" s="97">
        <v>0.06</v>
      </c>
      <c r="E21" s="33" t="s">
        <v>451</v>
      </c>
      <c r="F21" s="35">
        <f>재료비목록표!E32</f>
        <v>1710</v>
      </c>
      <c r="G21" s="55">
        <f t="shared" si="0"/>
        <v>103</v>
      </c>
      <c r="H21" s="14" t="s">
        <v>567</v>
      </c>
      <c r="J21" s="19" t="str">
        <f ca="1">HYPERLINK("#"&amp;재료비목록표!G2&amp;"!A"&amp;ROW(재료비목록표!A32),"자재   29 →")</f>
        <v>자재   29 →</v>
      </c>
    </row>
    <row r="22" spans="1:10" ht="21.75" customHeight="1" x14ac:dyDescent="0.3">
      <c r="A22" s="8" t="s">
        <v>585</v>
      </c>
      <c r="B22" s="9" t="s">
        <v>586</v>
      </c>
      <c r="C22" s="9" t="s">
        <v>502</v>
      </c>
      <c r="D22" s="97">
        <v>41.8</v>
      </c>
      <c r="E22" s="33" t="s">
        <v>26</v>
      </c>
      <c r="F22" s="35">
        <f>재료비목록표!E36</f>
        <v>0</v>
      </c>
      <c r="G22" s="55">
        <f t="shared" si="0"/>
        <v>0</v>
      </c>
      <c r="H22" s="14" t="s">
        <v>585</v>
      </c>
      <c r="J22" s="19" t="str">
        <f ca="1">HYPERLINK("#"&amp;재료비목록표!G2&amp;"!A"&amp;ROW(재료비목록표!A36),"자재   33 →")</f>
        <v>자재   33 →</v>
      </c>
    </row>
    <row r="23" spans="1:10" ht="21.75" customHeight="1" x14ac:dyDescent="0.3">
      <c r="A23" s="8" t="s">
        <v>589</v>
      </c>
      <c r="B23" s="9" t="s">
        <v>590</v>
      </c>
      <c r="C23" s="9" t="s">
        <v>502</v>
      </c>
      <c r="D23" s="97">
        <v>22</v>
      </c>
      <c r="E23" s="33" t="s">
        <v>477</v>
      </c>
      <c r="F23" s="35">
        <f>재료비목록표!E37</f>
        <v>0</v>
      </c>
      <c r="G23" s="55">
        <f t="shared" si="0"/>
        <v>0</v>
      </c>
      <c r="H23" s="14" t="s">
        <v>589</v>
      </c>
      <c r="J23" s="19" t="str">
        <f ca="1">HYPERLINK("#"&amp;재료비목록표!G2&amp;"!A"&amp;ROW(재료비목록표!A37),"자재   34 →")</f>
        <v>자재   34 →</v>
      </c>
    </row>
    <row r="24" spans="1:10" ht="21.75" customHeight="1" x14ac:dyDescent="0.3">
      <c r="A24" s="8" t="s">
        <v>598</v>
      </c>
      <c r="B24" s="9" t="s">
        <v>599</v>
      </c>
      <c r="C24" s="9" t="s">
        <v>502</v>
      </c>
      <c r="D24" s="97">
        <v>20</v>
      </c>
      <c r="E24" s="33" t="s">
        <v>26</v>
      </c>
      <c r="F24" s="35">
        <f>재료비목록표!E39</f>
        <v>0</v>
      </c>
      <c r="G24" s="55">
        <f t="shared" si="0"/>
        <v>0</v>
      </c>
      <c r="H24" s="14" t="s">
        <v>598</v>
      </c>
      <c r="J24" s="19" t="str">
        <f ca="1">HYPERLINK("#"&amp;재료비목록표!G2&amp;"!A"&amp;ROW(재료비목록표!A39),"자재   36 →")</f>
        <v>자재   36 →</v>
      </c>
    </row>
    <row r="25" spans="1:10" ht="21.75" customHeight="1" x14ac:dyDescent="0.3">
      <c r="A25" s="8" t="s">
        <v>615</v>
      </c>
      <c r="B25" s="9" t="s">
        <v>616</v>
      </c>
      <c r="C25" s="9" t="s">
        <v>617</v>
      </c>
      <c r="D25" s="97">
        <v>6</v>
      </c>
      <c r="E25" s="33" t="s">
        <v>53</v>
      </c>
      <c r="F25" s="35">
        <f>재료비목록표!E43</f>
        <v>460200</v>
      </c>
      <c r="G25" s="55">
        <f t="shared" si="0"/>
        <v>2761200</v>
      </c>
      <c r="H25" s="14" t="s">
        <v>615</v>
      </c>
      <c r="J25" s="19" t="str">
        <f ca="1">HYPERLINK("#"&amp;재료비목록표!G2&amp;"!A"&amp;ROW(재료비목록표!A43),"자재   40 →")</f>
        <v>자재   40 →</v>
      </c>
    </row>
    <row r="26" spans="1:10" ht="21.75" customHeight="1" x14ac:dyDescent="0.3">
      <c r="A26" s="8" t="s">
        <v>620</v>
      </c>
      <c r="B26" s="9" t="s">
        <v>621</v>
      </c>
      <c r="C26" s="9" t="s">
        <v>622</v>
      </c>
      <c r="D26" s="97">
        <v>76</v>
      </c>
      <c r="E26" s="33" t="s">
        <v>445</v>
      </c>
      <c r="F26" s="35">
        <f>재료비목록표!E44</f>
        <v>25665</v>
      </c>
      <c r="G26" s="55">
        <f t="shared" si="0"/>
        <v>1950540</v>
      </c>
      <c r="H26" s="14" t="s">
        <v>620</v>
      </c>
      <c r="J26" s="19" t="str">
        <f ca="1">HYPERLINK("#"&amp;재료비목록표!G2&amp;"!A"&amp;ROW(재료비목록표!A44),"자재   41 →")</f>
        <v>자재   41 →</v>
      </c>
    </row>
    <row r="27" spans="1:10" ht="21.75" customHeight="1" x14ac:dyDescent="0.3">
      <c r="A27" s="8" t="s">
        <v>625</v>
      </c>
      <c r="B27" s="9" t="s">
        <v>626</v>
      </c>
      <c r="C27" s="9" t="s">
        <v>622</v>
      </c>
      <c r="D27" s="97">
        <v>89</v>
      </c>
      <c r="E27" s="33" t="s">
        <v>445</v>
      </c>
      <c r="F27" s="35">
        <f>재료비목록표!E45</f>
        <v>18585</v>
      </c>
      <c r="G27" s="55">
        <f t="shared" si="0"/>
        <v>1654065</v>
      </c>
      <c r="H27" s="14" t="s">
        <v>625</v>
      </c>
      <c r="J27" s="19" t="str">
        <f ca="1">HYPERLINK("#"&amp;재료비목록표!G2&amp;"!A"&amp;ROW(재료비목록표!A45),"자재   42 →")</f>
        <v>자재   42 →</v>
      </c>
    </row>
    <row r="28" spans="1:10" ht="21.75" customHeight="1" x14ac:dyDescent="0.3">
      <c r="A28" s="8" t="s">
        <v>629</v>
      </c>
      <c r="B28" s="9" t="s">
        <v>536</v>
      </c>
      <c r="C28" s="9" t="s">
        <v>630</v>
      </c>
      <c r="D28" s="97">
        <v>878</v>
      </c>
      <c r="E28" s="33" t="s">
        <v>213</v>
      </c>
      <c r="F28" s="35">
        <f>재료비목록표!E46</f>
        <v>38940</v>
      </c>
      <c r="G28" s="55">
        <f t="shared" si="0"/>
        <v>34189320</v>
      </c>
      <c r="H28" s="14" t="s">
        <v>629</v>
      </c>
      <c r="J28" s="19" t="str">
        <f ca="1">HYPERLINK("#"&amp;재료비목록표!G2&amp;"!A"&amp;ROW(재료비목록표!A46),"자재   43 →")</f>
        <v>자재   43 →</v>
      </c>
    </row>
    <row r="29" spans="1:10" ht="21.75" customHeight="1" x14ac:dyDescent="0.3">
      <c r="A29" s="8" t="s">
        <v>632</v>
      </c>
      <c r="B29" s="9" t="s">
        <v>633</v>
      </c>
      <c r="C29" s="9" t="s">
        <v>634</v>
      </c>
      <c r="D29" s="97">
        <v>1142</v>
      </c>
      <c r="E29" s="33" t="s">
        <v>279</v>
      </c>
      <c r="F29" s="35">
        <f>재료비목록표!E47</f>
        <v>4425</v>
      </c>
      <c r="G29" s="55">
        <f t="shared" si="0"/>
        <v>5053350</v>
      </c>
      <c r="H29" s="14" t="s">
        <v>632</v>
      </c>
      <c r="J29" s="19" t="str">
        <f ca="1">HYPERLINK("#"&amp;재료비목록표!G2&amp;"!A"&amp;ROW(재료비목록표!A47),"자재   44 →")</f>
        <v>자재   44 →</v>
      </c>
    </row>
    <row r="30" spans="1:10" ht="21.75" customHeight="1" x14ac:dyDescent="0.3">
      <c r="A30" s="8" t="s">
        <v>637</v>
      </c>
      <c r="B30" s="9" t="s">
        <v>638</v>
      </c>
      <c r="C30" s="9" t="s">
        <v>639</v>
      </c>
      <c r="D30" s="97">
        <v>56</v>
      </c>
      <c r="E30" s="33" t="s">
        <v>26</v>
      </c>
      <c r="F30" s="35">
        <f>재료비목록표!E48</f>
        <v>3973</v>
      </c>
      <c r="G30" s="55">
        <f t="shared" si="0"/>
        <v>222488</v>
      </c>
      <c r="H30" s="14" t="s">
        <v>637</v>
      </c>
      <c r="J30" s="19" t="str">
        <f ca="1">HYPERLINK("#"&amp;재료비목록표!G2&amp;"!A"&amp;ROW(재료비목록표!A48),"자재   45 →")</f>
        <v>자재   45 →</v>
      </c>
    </row>
    <row r="31" spans="1:10" ht="21.75" customHeight="1" x14ac:dyDescent="0.3">
      <c r="A31" s="8" t="s">
        <v>642</v>
      </c>
      <c r="B31" s="9" t="s">
        <v>643</v>
      </c>
      <c r="C31" s="9" t="s">
        <v>644</v>
      </c>
      <c r="D31" s="97">
        <v>0.01</v>
      </c>
      <c r="E31" s="33" t="s">
        <v>645</v>
      </c>
      <c r="F31" s="35">
        <f>재료비목록표!E49</f>
        <v>797255</v>
      </c>
      <c r="G31" s="55">
        <f t="shared" si="0"/>
        <v>7973</v>
      </c>
      <c r="H31" s="14" t="s">
        <v>642</v>
      </c>
      <c r="J31" s="19" t="str">
        <f ca="1">HYPERLINK("#"&amp;재료비목록표!G2&amp;"!A"&amp;ROW(재료비목록표!A49),"자재   46 →")</f>
        <v>자재   46 →</v>
      </c>
    </row>
  </sheetData>
  <mergeCells count="1">
    <mergeCell ref="A1:H1"/>
  </mergeCells>
  <phoneticPr fontId="23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C22"/>
  <sheetViews>
    <sheetView workbookViewId="0"/>
  </sheetViews>
  <sheetFormatPr defaultRowHeight="16.5" x14ac:dyDescent="0.3"/>
  <cols>
    <col min="1" max="1" width="9.125" style="3" customWidth="1"/>
    <col min="2" max="2" width="4.75" customWidth="1"/>
  </cols>
  <sheetData>
    <row r="2" spans="1:3" x14ac:dyDescent="0.3">
      <c r="A2" s="2" t="str">
        <f>HYPERLINK("#'〓 목 차 〓'!B2","목차 →")</f>
        <v>목차 →</v>
      </c>
      <c r="B2" s="112" t="s">
        <v>2534</v>
      </c>
    </row>
    <row r="4" spans="1:3" ht="18.75" x14ac:dyDescent="0.3">
      <c r="B4" s="113" t="s">
        <v>2535</v>
      </c>
    </row>
    <row r="6" spans="1:3" x14ac:dyDescent="0.3">
      <c r="B6" s="98" t="s">
        <v>2536</v>
      </c>
    </row>
    <row r="7" spans="1:3" x14ac:dyDescent="0.3">
      <c r="B7" s="98" t="s">
        <v>2537</v>
      </c>
    </row>
    <row r="8" spans="1:3" x14ac:dyDescent="0.3">
      <c r="B8" s="114" t="s">
        <v>2538</v>
      </c>
    </row>
    <row r="9" spans="1:3" x14ac:dyDescent="0.3">
      <c r="B9" s="98" t="s">
        <v>2539</v>
      </c>
    </row>
    <row r="10" spans="1:3" x14ac:dyDescent="0.3">
      <c r="B10" s="98" t="s">
        <v>2540</v>
      </c>
    </row>
    <row r="11" spans="1:3" x14ac:dyDescent="0.3">
      <c r="B11" s="98" t="s">
        <v>2541</v>
      </c>
    </row>
    <row r="12" spans="1:3" x14ac:dyDescent="0.3">
      <c r="B12" s="98" t="s">
        <v>2542</v>
      </c>
    </row>
    <row r="14" spans="1:3" x14ac:dyDescent="0.3">
      <c r="B14" s="115" t="s">
        <v>2543</v>
      </c>
    </row>
    <row r="15" spans="1:3" x14ac:dyDescent="0.3">
      <c r="B15" s="2" t="str">
        <f ca="1">HYPERLINK("#"&amp;착공내역서!O2&amp;"!A"&amp;ROW(착공내역서!A253)," → ")</f>
        <v xml:space="preserve"> → </v>
      </c>
      <c r="C15" s="1" t="s">
        <v>2544</v>
      </c>
    </row>
    <row r="16" spans="1:3" x14ac:dyDescent="0.3">
      <c r="B16" s="2" t="str">
        <f ca="1">HYPERLINK("#"&amp;총괄설계내역서!H2&amp;"!I"&amp;ROW(총괄설계내역서!I62)," → ")</f>
        <v xml:space="preserve"> → </v>
      </c>
      <c r="C16" s="116" t="s">
        <v>2545</v>
      </c>
    </row>
    <row r="17" spans="2:3" x14ac:dyDescent="0.3">
      <c r="B17" s="2" t="str">
        <f ca="1">HYPERLINK("#"&amp;총괄설계내역서!H2&amp;"!D"&amp;ROW(총괄설계내역서!D67)," → ")</f>
        <v xml:space="preserve"> → </v>
      </c>
      <c r="C17" s="1" t="s">
        <v>2546</v>
      </c>
    </row>
    <row r="18" spans="2:3" x14ac:dyDescent="0.3">
      <c r="B18" s="2" t="str">
        <f ca="1">HYPERLINK("#"&amp;일위대가표!N2&amp;"!I"&amp;ROW(일위대가표!I146)," → ")</f>
        <v xml:space="preserve"> → </v>
      </c>
      <c r="C18" s="1" t="s">
        <v>2547</v>
      </c>
    </row>
    <row r="19" spans="2:3" x14ac:dyDescent="0.3">
      <c r="B19" s="2" t="str">
        <f ca="1">HYPERLINK("#"&amp;일위대가표!N2&amp;"!I"&amp;ROW(일위대가표!I156)," → ")</f>
        <v xml:space="preserve"> → </v>
      </c>
      <c r="C19" s="1" t="s">
        <v>2548</v>
      </c>
    </row>
    <row r="20" spans="2:3" x14ac:dyDescent="0.3">
      <c r="B20" s="2" t="str">
        <f ca="1">HYPERLINK("#"&amp;일위대가표!N2&amp;"!I"&amp;ROW(일위대가표!I261)," → ")</f>
        <v xml:space="preserve"> → </v>
      </c>
      <c r="C20" s="1" t="s">
        <v>2549</v>
      </c>
    </row>
    <row r="21" spans="2:3" x14ac:dyDescent="0.3">
      <c r="B21" s="2" t="str">
        <f ca="1">HYPERLINK("#"&amp;단가산출근거!G2&amp;"!B"&amp;ROW(단가산출근거!B929)," → ")</f>
        <v xml:space="preserve"> → </v>
      </c>
      <c r="C21" s="1" t="s">
        <v>2550</v>
      </c>
    </row>
    <row r="22" spans="2:3" x14ac:dyDescent="0.3">
      <c r="B22" s="2" t="str">
        <f ca="1">HYPERLINK("#"&amp;중기사용료!N2&amp;"!I"&amp;ROW(중기사용료!I106)," → ")</f>
        <v xml:space="preserve"> → </v>
      </c>
      <c r="C22" s="1" t="s">
        <v>2551</v>
      </c>
    </row>
  </sheetData>
  <phoneticPr fontId="23" type="noConversion"/>
  <printOptions horizontalCentered="1"/>
  <pageMargins left="0.59055118110236215" right="0.59055118110236215" top="0.78740157480314965" bottom="1" header="0" footer="0.5"/>
  <pageSetup paperSize="9" fitToWidth="0" fitToHeight="0" orientation="portrait"/>
  <headerFooter alignWithMargins="0">
    <oddFooter xml:space="preserve">&amp;R&amp;"굴림체,"&amp;9 </oddFooter>
  </headerFooter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30" t="s">
        <v>2531</v>
      </c>
      <c r="B1" s="131"/>
      <c r="C1" s="131"/>
      <c r="D1" s="131"/>
      <c r="E1" s="131"/>
      <c r="F1" s="131"/>
      <c r="G1" s="131"/>
      <c r="H1" s="131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노무비수량금액집계표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431</v>
      </c>
      <c r="G3" s="7" t="s">
        <v>627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432</v>
      </c>
      <c r="B4" s="9" t="s">
        <v>649</v>
      </c>
      <c r="C4" s="9"/>
      <c r="D4" s="97">
        <v>8.2899999999999991</v>
      </c>
      <c r="E4" s="33" t="s">
        <v>650</v>
      </c>
      <c r="F4" s="35">
        <f>노무비목록표!E4</f>
        <v>268058</v>
      </c>
      <c r="G4" s="55">
        <f t="shared" ref="G4:G12" si="0">ROUND(D4*F4,0)</f>
        <v>2222201</v>
      </c>
      <c r="H4" s="14" t="s">
        <v>432</v>
      </c>
      <c r="J4" s="19" t="str">
        <f ca="1">HYPERLINK("#"&amp;노무비목록표!G2&amp;"!A"&amp;ROW(노무비목록표!A4),"노무    1 →")</f>
        <v>노무    1 →</v>
      </c>
    </row>
    <row r="5" spans="1:10" ht="21.75" customHeight="1" x14ac:dyDescent="0.3">
      <c r="A5" s="8" t="s">
        <v>437</v>
      </c>
      <c r="B5" s="9" t="s">
        <v>653</v>
      </c>
      <c r="C5" s="9"/>
      <c r="D5" s="97">
        <v>9.3000000000000007</v>
      </c>
      <c r="E5" s="33" t="s">
        <v>650</v>
      </c>
      <c r="F5" s="35">
        <f>노무비목록표!E5</f>
        <v>274978</v>
      </c>
      <c r="G5" s="55">
        <f t="shared" si="0"/>
        <v>2557295</v>
      </c>
      <c r="H5" s="14" t="s">
        <v>437</v>
      </c>
      <c r="J5" s="19" t="str">
        <f ca="1">HYPERLINK("#"&amp;노무비목록표!G2&amp;"!A"&amp;ROW(노무비목록표!A5),"노무    2 →")</f>
        <v>노무    2 →</v>
      </c>
    </row>
    <row r="6" spans="1:10" ht="21.75" customHeight="1" x14ac:dyDescent="0.3">
      <c r="A6" s="8" t="s">
        <v>442</v>
      </c>
      <c r="B6" s="9" t="s">
        <v>656</v>
      </c>
      <c r="C6" s="9"/>
      <c r="D6" s="97">
        <v>137.01</v>
      </c>
      <c r="E6" s="33" t="s">
        <v>650</v>
      </c>
      <c r="F6" s="35">
        <f>노무비목록표!E6</f>
        <v>258935</v>
      </c>
      <c r="G6" s="55">
        <f t="shared" si="0"/>
        <v>35476684</v>
      </c>
      <c r="H6" s="14" t="s">
        <v>442</v>
      </c>
      <c r="J6" s="19" t="str">
        <f ca="1">HYPERLINK("#"&amp;노무비목록표!G2&amp;"!A"&amp;ROW(노무비목록표!A6),"노무    3 →")</f>
        <v>노무    3 →</v>
      </c>
    </row>
    <row r="7" spans="1:10" ht="21.75" customHeight="1" x14ac:dyDescent="0.3">
      <c r="A7" s="8" t="s">
        <v>448</v>
      </c>
      <c r="B7" s="9" t="s">
        <v>659</v>
      </c>
      <c r="C7" s="9"/>
      <c r="D7" s="97">
        <v>6.39</v>
      </c>
      <c r="E7" s="33" t="s">
        <v>650</v>
      </c>
      <c r="F7" s="35">
        <f>노무비목록표!E7</f>
        <v>261283</v>
      </c>
      <c r="G7" s="55">
        <f t="shared" si="0"/>
        <v>1669598</v>
      </c>
      <c r="H7" s="14" t="s">
        <v>448</v>
      </c>
      <c r="J7" s="19" t="str">
        <f ca="1">HYPERLINK("#"&amp;노무비목록표!G2&amp;"!A"&amp;ROW(노무비목록표!A7),"노무    4 →")</f>
        <v>노무    4 →</v>
      </c>
    </row>
    <row r="8" spans="1:10" ht="21.75" customHeight="1" x14ac:dyDescent="0.3">
      <c r="A8" s="8" t="s">
        <v>454</v>
      </c>
      <c r="B8" s="9" t="s">
        <v>662</v>
      </c>
      <c r="C8" s="9"/>
      <c r="D8" s="97">
        <v>51.95</v>
      </c>
      <c r="E8" s="33" t="s">
        <v>650</v>
      </c>
      <c r="F8" s="35">
        <f>노무비목록표!E8</f>
        <v>254202</v>
      </c>
      <c r="G8" s="55">
        <f t="shared" si="0"/>
        <v>13205794</v>
      </c>
      <c r="H8" s="14" t="s">
        <v>454</v>
      </c>
      <c r="J8" s="19" t="str">
        <f ca="1">HYPERLINK("#"&amp;노무비목록표!G2&amp;"!A"&amp;ROW(노무비목록표!A8),"노무    5 →")</f>
        <v>노무    5 →</v>
      </c>
    </row>
    <row r="9" spans="1:10" ht="21.75" customHeight="1" x14ac:dyDescent="0.3">
      <c r="A9" s="8" t="s">
        <v>458</v>
      </c>
      <c r="B9" s="9" t="s">
        <v>665</v>
      </c>
      <c r="C9" s="9"/>
      <c r="D9" s="97">
        <v>220.04</v>
      </c>
      <c r="E9" s="33" t="s">
        <v>650</v>
      </c>
      <c r="F9" s="35">
        <f>노무비목록표!E9</f>
        <v>165545</v>
      </c>
      <c r="G9" s="55">
        <f t="shared" si="0"/>
        <v>36426522</v>
      </c>
      <c r="H9" s="14" t="s">
        <v>458</v>
      </c>
      <c r="J9" s="19" t="str">
        <f ca="1">HYPERLINK("#"&amp;노무비목록표!G2&amp;"!A"&amp;ROW(노무비목록표!A9),"노무    6 →")</f>
        <v>노무    6 →</v>
      </c>
    </row>
    <row r="10" spans="1:10" ht="21.75" customHeight="1" x14ac:dyDescent="0.3">
      <c r="A10" s="8" t="s">
        <v>480</v>
      </c>
      <c r="B10" s="9" t="s">
        <v>677</v>
      </c>
      <c r="C10" s="9"/>
      <c r="D10" s="97">
        <v>16.91</v>
      </c>
      <c r="E10" s="33" t="s">
        <v>650</v>
      </c>
      <c r="F10" s="35">
        <f>노무비목록표!E13</f>
        <v>243168</v>
      </c>
      <c r="G10" s="55">
        <f t="shared" si="0"/>
        <v>4111971</v>
      </c>
      <c r="H10" s="14" t="s">
        <v>480</v>
      </c>
      <c r="J10" s="19" t="str">
        <f ca="1">HYPERLINK("#"&amp;노무비목록표!G2&amp;"!A"&amp;ROW(노무비목록표!A13),"노무   10 →")</f>
        <v>노무   10 →</v>
      </c>
    </row>
    <row r="11" spans="1:10" ht="21.75" customHeight="1" x14ac:dyDescent="0.3">
      <c r="A11" s="8" t="s">
        <v>486</v>
      </c>
      <c r="B11" s="9" t="s">
        <v>680</v>
      </c>
      <c r="C11" s="9"/>
      <c r="D11" s="97">
        <v>0.02</v>
      </c>
      <c r="E11" s="33" t="s">
        <v>650</v>
      </c>
      <c r="F11" s="35">
        <f>노무비목록표!E14</f>
        <v>260137</v>
      </c>
      <c r="G11" s="55">
        <f t="shared" si="0"/>
        <v>5203</v>
      </c>
      <c r="H11" s="14" t="s">
        <v>486</v>
      </c>
      <c r="J11" s="19" t="str">
        <f ca="1">HYPERLINK("#"&amp;노무비목록표!G2&amp;"!A"&amp;ROW(노무비목록표!A14),"노무   11 →")</f>
        <v>노무   11 →</v>
      </c>
    </row>
    <row r="12" spans="1:10" ht="21.75" customHeight="1" x14ac:dyDescent="0.3">
      <c r="A12" s="8" t="s">
        <v>491</v>
      </c>
      <c r="B12" s="9" t="s">
        <v>683</v>
      </c>
      <c r="C12" s="9"/>
      <c r="D12" s="97">
        <v>0.77</v>
      </c>
      <c r="E12" s="33" t="s">
        <v>650</v>
      </c>
      <c r="F12" s="35">
        <f>노무비목록표!E15</f>
        <v>258360</v>
      </c>
      <c r="G12" s="55">
        <f t="shared" si="0"/>
        <v>198937</v>
      </c>
      <c r="H12" s="14" t="s">
        <v>491</v>
      </c>
      <c r="J12" s="19" t="str">
        <f ca="1">HYPERLINK("#"&amp;노무비목록표!G2&amp;"!A"&amp;ROW(노무비목록표!A15),"노무   12 →")</f>
        <v>노무   12 →</v>
      </c>
    </row>
  </sheetData>
  <mergeCells count="1">
    <mergeCell ref="A1:H1"/>
  </mergeCells>
  <phoneticPr fontId="23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8" width="11.5" style="5" customWidth="1"/>
    <col min="9" max="9" width="9.125" style="5" hidden="1" customWidth="1"/>
    <col min="10" max="10" width="9.125" style="17" customWidth="1"/>
    <col min="11" max="16384" width="9.125" style="5"/>
  </cols>
  <sheetData>
    <row r="1" spans="1:10" ht="24.95" customHeight="1" x14ac:dyDescent="0.3">
      <c r="A1" s="130" t="s">
        <v>2532</v>
      </c>
      <c r="B1" s="131"/>
      <c r="C1" s="131"/>
      <c r="D1" s="131"/>
      <c r="E1" s="131"/>
      <c r="F1" s="131"/>
      <c r="G1" s="131"/>
      <c r="H1" s="131"/>
      <c r="I1" s="4" t="s">
        <v>166</v>
      </c>
      <c r="J1" s="18" t="s">
        <v>166</v>
      </c>
    </row>
    <row r="2" spans="1:10" ht="21.75" customHeight="1" x14ac:dyDescent="0.3">
      <c r="A2" s="1" t="s">
        <v>1</v>
      </c>
      <c r="I2" s="21" t="str">
        <f ca="1">MID(CELL("filename",$A$1),FIND("]",CELL("filename",$A$1))+1,LEN(CELL("filename",$A$1)))</f>
        <v>경비수량금액집계표</v>
      </c>
    </row>
    <row r="3" spans="1:10" ht="21.7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431</v>
      </c>
      <c r="G3" s="7" t="s">
        <v>627</v>
      </c>
      <c r="H3" s="13" t="s">
        <v>10</v>
      </c>
      <c r="J3" s="19" t="str">
        <f>HYPERLINK("#'〓 목 차 〓'!B2","목차 →")</f>
        <v>목차 →</v>
      </c>
    </row>
    <row r="4" spans="1:10" ht="21.75" customHeight="1" x14ac:dyDescent="0.3">
      <c r="A4" s="8" t="s">
        <v>509</v>
      </c>
      <c r="B4" s="9" t="s">
        <v>728</v>
      </c>
      <c r="C4" s="9" t="s">
        <v>729</v>
      </c>
      <c r="D4" s="97">
        <v>11.03</v>
      </c>
      <c r="E4" s="33" t="s">
        <v>730</v>
      </c>
      <c r="F4" s="35">
        <f>경비목록표!E19</f>
        <v>61500</v>
      </c>
      <c r="G4" s="55">
        <f>ROUND(D4*F4,0)</f>
        <v>678345</v>
      </c>
      <c r="H4" s="14" t="s">
        <v>509</v>
      </c>
      <c r="J4" s="19" t="str">
        <f ca="1">HYPERLINK("#"&amp;경비목록표!G2&amp;"!A"&amp;ROW(경비목록표!A19),"경비   16 →")</f>
        <v>경비   16 →</v>
      </c>
    </row>
    <row r="5" spans="1:10" ht="21.75" customHeight="1" x14ac:dyDescent="0.3">
      <c r="A5" s="8" t="s">
        <v>532</v>
      </c>
      <c r="B5" s="9" t="s">
        <v>378</v>
      </c>
      <c r="C5" s="9" t="s">
        <v>403</v>
      </c>
      <c r="D5" s="97">
        <v>243.89</v>
      </c>
      <c r="E5" s="33" t="s">
        <v>688</v>
      </c>
      <c r="F5" s="35">
        <f>경비목록표!E24</f>
        <v>1794</v>
      </c>
      <c r="G5" s="55">
        <f>ROUND(D5*F5,0)</f>
        <v>437539</v>
      </c>
      <c r="H5" s="14" t="s">
        <v>532</v>
      </c>
      <c r="J5" s="19" t="str">
        <f ca="1">HYPERLINK("#"&amp;경비목록표!G2&amp;"!A"&amp;ROW(경비목록표!A24),"경비   21 →")</f>
        <v>경비   21 →</v>
      </c>
    </row>
  </sheetData>
  <mergeCells count="1">
    <mergeCell ref="A1:H1"/>
  </mergeCells>
  <phoneticPr fontId="23" type="noConversion"/>
  <hyperlinks>
    <hyperlink ref="J1" r:id="rId1" tooltip="설계예산시스템(STmate w24.04)으로 작성 하였으며,_x000a_엑셀 인쇄품질 600 dpi에 최적화 되어 있습니다._x000a_경영정보(주) http://www.stma.co.kr_x000a_Tel) 070-4350-0040_x000a_Fax) 0505-300-3948"/>
    <hyperlink ref="I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9" width="13" style="5" customWidth="1"/>
    <col min="10" max="10" width="10" style="5" customWidth="1"/>
    <col min="11" max="11" width="9.125" style="5" hidden="1" customWidth="1"/>
    <col min="12" max="12" width="9.125" style="17" customWidth="1"/>
    <col min="13" max="16384" width="9.125" style="5"/>
  </cols>
  <sheetData>
    <row r="1" spans="1:12" ht="24.95" customHeight="1" x14ac:dyDescent="0.3">
      <c r="A1" s="130" t="s">
        <v>2533</v>
      </c>
      <c r="B1" s="131"/>
      <c r="C1" s="131"/>
      <c r="D1" s="131"/>
      <c r="E1" s="131"/>
      <c r="F1" s="131"/>
      <c r="G1" s="131"/>
      <c r="H1" s="131"/>
      <c r="I1" s="131"/>
      <c r="J1" s="131"/>
      <c r="K1" s="4" t="s">
        <v>166</v>
      </c>
      <c r="L1" s="18" t="s">
        <v>166</v>
      </c>
    </row>
    <row r="2" spans="1:12" ht="24.95" customHeight="1" x14ac:dyDescent="0.3">
      <c r="A2" s="1" t="s">
        <v>1</v>
      </c>
      <c r="K2" s="21" t="str">
        <f ca="1">MID(CELL("filename",$A$1),FIND("]",CELL("filename",$A$1))+1,LEN(CELL("filename",$A$1)))</f>
        <v>중기시간금액집계표</v>
      </c>
    </row>
    <row r="3" spans="1:12" ht="24.9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3" t="s">
        <v>10</v>
      </c>
      <c r="L3" s="19" t="str">
        <f>HYPERLINK("#'〓 목 차 〓'!B2","목차 →")</f>
        <v>목차 →</v>
      </c>
    </row>
    <row r="4" spans="1:12" ht="24.95" customHeight="1" x14ac:dyDescent="0.3">
      <c r="A4" s="8" t="s">
        <v>432</v>
      </c>
      <c r="B4" s="9" t="s">
        <v>345</v>
      </c>
      <c r="C4" s="9" t="s">
        <v>346</v>
      </c>
      <c r="D4" s="97">
        <v>42.95</v>
      </c>
      <c r="E4" s="33" t="s">
        <v>347</v>
      </c>
      <c r="F4" s="55">
        <f t="shared" ref="F4:F26" si="0">H4+G4+I4</f>
        <v>5411700</v>
      </c>
      <c r="G4" s="54">
        <f>ROUND(D4*중기목록표!F4,0)</f>
        <v>2392315</v>
      </c>
      <c r="H4" s="63">
        <f>ROUND(D4*중기목록표!G4,0)</f>
        <v>1584340</v>
      </c>
      <c r="I4" s="55">
        <f>ROUND(D4*중기목록표!H4,0)</f>
        <v>1435045</v>
      </c>
      <c r="J4" s="14" t="s">
        <v>432</v>
      </c>
      <c r="L4" s="19" t="str">
        <f ca="1">HYPERLINK("#"&amp;중기목록표!J2&amp;"!A"&amp;ROW(중기목록표!A4),"중기    1 →")</f>
        <v>중기    1 →</v>
      </c>
    </row>
    <row r="5" spans="1:12" ht="24.95" customHeight="1" x14ac:dyDescent="0.3">
      <c r="A5" s="8" t="s">
        <v>437</v>
      </c>
      <c r="B5" s="9" t="s">
        <v>350</v>
      </c>
      <c r="C5" s="9"/>
      <c r="D5" s="97">
        <v>89.88</v>
      </c>
      <c r="E5" s="33" t="s">
        <v>347</v>
      </c>
      <c r="F5" s="55">
        <f t="shared" si="0"/>
        <v>6870068</v>
      </c>
      <c r="G5" s="54">
        <f>ROUND(D5*중기목록표!F5,0)</f>
        <v>5006316</v>
      </c>
      <c r="H5" s="63">
        <f>ROUND(D5*중기목록표!G5,0)</f>
        <v>691627</v>
      </c>
      <c r="I5" s="55">
        <f>ROUND(D5*중기목록표!H5,0)</f>
        <v>1172125</v>
      </c>
      <c r="J5" s="14" t="s">
        <v>437</v>
      </c>
      <c r="L5" s="19" t="str">
        <f ca="1">HYPERLINK("#"&amp;중기목록표!J2&amp;"!A"&amp;ROW(중기목록표!A5),"중기    2 →")</f>
        <v>중기    2 →</v>
      </c>
    </row>
    <row r="6" spans="1:12" ht="24.95" customHeight="1" x14ac:dyDescent="0.3">
      <c r="A6" s="8" t="s">
        <v>442</v>
      </c>
      <c r="B6" s="9" t="s">
        <v>353</v>
      </c>
      <c r="C6" s="9"/>
      <c r="D6" s="97">
        <v>2.19</v>
      </c>
      <c r="E6" s="33" t="s">
        <v>347</v>
      </c>
      <c r="F6" s="55">
        <f t="shared" si="0"/>
        <v>191496</v>
      </c>
      <c r="G6" s="54">
        <f>ROUND(D6*중기목록표!F6,0)</f>
        <v>121983</v>
      </c>
      <c r="H6" s="63">
        <f>ROUND(D6*중기목록표!G6,0)</f>
        <v>33645</v>
      </c>
      <c r="I6" s="55">
        <f>ROUND(D6*중기목록표!H6,0)</f>
        <v>35868</v>
      </c>
      <c r="J6" s="14" t="s">
        <v>442</v>
      </c>
      <c r="L6" s="19" t="str">
        <f ca="1">HYPERLINK("#"&amp;중기목록표!J2&amp;"!A"&amp;ROW(중기목록표!A6),"중기    3 →")</f>
        <v>중기    3 →</v>
      </c>
    </row>
    <row r="7" spans="1:12" ht="24.95" customHeight="1" x14ac:dyDescent="0.3">
      <c r="A7" s="8" t="s">
        <v>448</v>
      </c>
      <c r="B7" s="9" t="s">
        <v>356</v>
      </c>
      <c r="C7" s="9"/>
      <c r="D7" s="97">
        <v>871.38</v>
      </c>
      <c r="E7" s="33" t="s">
        <v>347</v>
      </c>
      <c r="F7" s="55">
        <f t="shared" si="0"/>
        <v>84374854</v>
      </c>
      <c r="G7" s="54">
        <f>ROUND(D7*중기목록표!F7,0)</f>
        <v>48535866</v>
      </c>
      <c r="H7" s="63">
        <f>ROUND(D7*중기목록표!G7,0)</f>
        <v>15685711</v>
      </c>
      <c r="I7" s="55">
        <f>ROUND(D7*중기목록표!H7,0)</f>
        <v>20153277</v>
      </c>
      <c r="J7" s="14" t="s">
        <v>448</v>
      </c>
      <c r="L7" s="19" t="str">
        <f ca="1">HYPERLINK("#"&amp;중기목록표!J2&amp;"!A"&amp;ROW(중기목록표!A7),"중기    4 →")</f>
        <v>중기    4 →</v>
      </c>
    </row>
    <row r="8" spans="1:12" ht="24.95" customHeight="1" x14ac:dyDescent="0.3">
      <c r="A8" s="8" t="s">
        <v>454</v>
      </c>
      <c r="B8" s="9" t="s">
        <v>359</v>
      </c>
      <c r="C8" s="9"/>
      <c r="D8" s="97">
        <v>103.9</v>
      </c>
      <c r="E8" s="33" t="s">
        <v>347</v>
      </c>
      <c r="F8" s="55">
        <f t="shared" si="0"/>
        <v>11830158</v>
      </c>
      <c r="G8" s="54">
        <f>ROUND(D8*중기목록표!F8,0)</f>
        <v>5787230</v>
      </c>
      <c r="H8" s="63">
        <f>ROUND(D8*중기목록표!G8,0)</f>
        <v>3144014</v>
      </c>
      <c r="I8" s="55">
        <f>ROUND(D8*중기목록표!H8,0)</f>
        <v>2898914</v>
      </c>
      <c r="J8" s="14" t="s">
        <v>454</v>
      </c>
      <c r="L8" s="19" t="str">
        <f ca="1">HYPERLINK("#"&amp;중기목록표!J2&amp;"!A"&amp;ROW(중기목록표!A8),"중기    5 →")</f>
        <v>중기    5 →</v>
      </c>
    </row>
    <row r="9" spans="1:12" ht="24.95" customHeight="1" x14ac:dyDescent="0.3">
      <c r="A9" s="8" t="s">
        <v>458</v>
      </c>
      <c r="B9" s="9" t="s">
        <v>356</v>
      </c>
      <c r="C9" s="9" t="s">
        <v>362</v>
      </c>
      <c r="D9" s="97">
        <v>506.07</v>
      </c>
      <c r="E9" s="33" t="s">
        <v>347</v>
      </c>
      <c r="F9" s="55">
        <f t="shared" si="0"/>
        <v>50798294</v>
      </c>
      <c r="G9" s="54">
        <f>ROUND(D9*중기목록표!F9,0)</f>
        <v>28188099</v>
      </c>
      <c r="H9" s="63">
        <f>ROUND(D9*중기목록표!G9,0)</f>
        <v>9109766</v>
      </c>
      <c r="I9" s="55">
        <f>ROUND(D9*중기목록표!H9,0)</f>
        <v>13500429</v>
      </c>
      <c r="J9" s="14" t="s">
        <v>458</v>
      </c>
      <c r="L9" s="19" t="str">
        <f ca="1">HYPERLINK("#"&amp;중기목록표!J2&amp;"!A"&amp;ROW(중기목록표!A9),"중기    6 →")</f>
        <v>중기    6 →</v>
      </c>
    </row>
    <row r="10" spans="1:12" ht="24.95" customHeight="1" x14ac:dyDescent="0.3">
      <c r="A10" s="8" t="s">
        <v>464</v>
      </c>
      <c r="B10" s="9" t="s">
        <v>365</v>
      </c>
      <c r="C10" s="9"/>
      <c r="D10" s="97">
        <v>1436.14</v>
      </c>
      <c r="E10" s="33" t="s">
        <v>347</v>
      </c>
      <c r="F10" s="55">
        <f t="shared" si="0"/>
        <v>153254808</v>
      </c>
      <c r="G10" s="54">
        <f>ROUND(D10*중기목록표!F10,0)</f>
        <v>79992998</v>
      </c>
      <c r="H10" s="63">
        <f>ROUND(D10*중기목록표!G10,0)</f>
        <v>24580972</v>
      </c>
      <c r="I10" s="55">
        <f>ROUND(D10*중기목록표!H10,0)</f>
        <v>48680838</v>
      </c>
      <c r="J10" s="14" t="s">
        <v>464</v>
      </c>
      <c r="L10" s="19" t="str">
        <f ca="1">HYPERLINK("#"&amp;중기목록표!J2&amp;"!A"&amp;ROW(중기목록표!A10),"중기    7 →")</f>
        <v>중기    7 →</v>
      </c>
    </row>
    <row r="11" spans="1:12" ht="24.95" customHeight="1" x14ac:dyDescent="0.3">
      <c r="A11" s="8" t="s">
        <v>469</v>
      </c>
      <c r="B11" s="9" t="s">
        <v>368</v>
      </c>
      <c r="C11" s="9"/>
      <c r="D11" s="97">
        <v>178.48</v>
      </c>
      <c r="E11" s="33" t="s">
        <v>347</v>
      </c>
      <c r="F11" s="55">
        <f t="shared" si="0"/>
        <v>18426454</v>
      </c>
      <c r="G11" s="54">
        <f>ROUND(D11*중기목록표!F11,0)</f>
        <v>9941336</v>
      </c>
      <c r="H11" s="63">
        <f>ROUND(D11*중기목록표!G11,0)</f>
        <v>4981377</v>
      </c>
      <c r="I11" s="55">
        <f>ROUND(D11*중기목록표!H11,0)</f>
        <v>3503741</v>
      </c>
      <c r="J11" s="14" t="s">
        <v>469</v>
      </c>
      <c r="L11" s="19" t="str">
        <f ca="1">HYPERLINK("#"&amp;중기목록표!J2&amp;"!A"&amp;ROW(중기목록표!A11),"중기    8 →")</f>
        <v>중기    8 →</v>
      </c>
    </row>
    <row r="12" spans="1:12" ht="24.95" customHeight="1" x14ac:dyDescent="0.3">
      <c r="A12" s="8" t="s">
        <v>474</v>
      </c>
      <c r="B12" s="9" t="s">
        <v>371</v>
      </c>
      <c r="C12" s="9" t="s">
        <v>372</v>
      </c>
      <c r="D12" s="97">
        <v>169.26</v>
      </c>
      <c r="E12" s="33" t="s">
        <v>347</v>
      </c>
      <c r="F12" s="55">
        <f t="shared" si="0"/>
        <v>14421460</v>
      </c>
      <c r="G12" s="54">
        <f>ROUND(D12*중기목록표!F12,0)</f>
        <v>7994319</v>
      </c>
      <c r="H12" s="63">
        <f>ROUND(D12*중기목록표!G12,0)</f>
        <v>4189185</v>
      </c>
      <c r="I12" s="55">
        <f>ROUND(D12*중기목록표!H12,0)</f>
        <v>2237956</v>
      </c>
      <c r="J12" s="14" t="s">
        <v>474</v>
      </c>
      <c r="L12" s="19" t="str">
        <f ca="1">HYPERLINK("#"&amp;중기목록표!J2&amp;"!A"&amp;ROW(중기목록표!A12),"중기    9 →")</f>
        <v>중기    9 →</v>
      </c>
    </row>
    <row r="13" spans="1:12" ht="24.95" customHeight="1" x14ac:dyDescent="0.3">
      <c r="A13" s="8" t="s">
        <v>491</v>
      </c>
      <c r="B13" s="9" t="s">
        <v>382</v>
      </c>
      <c r="C13" s="9" t="s">
        <v>383</v>
      </c>
      <c r="D13" s="97">
        <v>16.7</v>
      </c>
      <c r="E13" s="33" t="s">
        <v>347</v>
      </c>
      <c r="F13" s="55">
        <f t="shared" si="0"/>
        <v>1085651</v>
      </c>
      <c r="G13" s="54">
        <f>ROUND(D13*중기목록표!F15,0)</f>
        <v>788758</v>
      </c>
      <c r="H13" s="63">
        <f>ROUND(D13*중기목록표!G15,0)</f>
        <v>129993</v>
      </c>
      <c r="I13" s="55">
        <f>ROUND(D13*중기목록표!H15,0)</f>
        <v>166900</v>
      </c>
      <c r="J13" s="14" t="s">
        <v>491</v>
      </c>
      <c r="L13" s="19" t="str">
        <f ca="1">HYPERLINK("#"&amp;중기목록표!J2&amp;"!A"&amp;ROW(중기목록표!A15),"중기   12 →")</f>
        <v>중기   12 →</v>
      </c>
    </row>
    <row r="14" spans="1:12" ht="24.95" customHeight="1" x14ac:dyDescent="0.3">
      <c r="A14" s="8" t="s">
        <v>496</v>
      </c>
      <c r="B14" s="9" t="s">
        <v>386</v>
      </c>
      <c r="C14" s="9" t="s">
        <v>387</v>
      </c>
      <c r="D14" s="97">
        <v>17.14</v>
      </c>
      <c r="E14" s="33" t="s">
        <v>347</v>
      </c>
      <c r="F14" s="55">
        <f t="shared" si="0"/>
        <v>1735013</v>
      </c>
      <c r="G14" s="54">
        <f>ROUND(D14*중기목록표!F16,0)</f>
        <v>954698</v>
      </c>
      <c r="H14" s="63">
        <f>ROUND(D14*중기목록표!G16,0)</f>
        <v>500025</v>
      </c>
      <c r="I14" s="55">
        <f>ROUND(D14*중기목록표!H16,0)</f>
        <v>280290</v>
      </c>
      <c r="J14" s="14" t="s">
        <v>496</v>
      </c>
      <c r="L14" s="19" t="str">
        <f ca="1">HYPERLINK("#"&amp;중기목록표!J2&amp;"!A"&amp;ROW(중기목록표!A16),"중기   13 →")</f>
        <v>중기   13 →</v>
      </c>
    </row>
    <row r="15" spans="1:12" ht="24.95" customHeight="1" x14ac:dyDescent="0.3">
      <c r="A15" s="8" t="s">
        <v>500</v>
      </c>
      <c r="B15" s="9" t="s">
        <v>390</v>
      </c>
      <c r="C15" s="9"/>
      <c r="D15" s="97">
        <v>24.13</v>
      </c>
      <c r="E15" s="33" t="s">
        <v>347</v>
      </c>
      <c r="F15" s="55">
        <f t="shared" si="0"/>
        <v>981102</v>
      </c>
      <c r="G15" s="54">
        <f>ROUND(D15*중기목록표!F17,0)</f>
        <v>810068</v>
      </c>
      <c r="H15" s="63">
        <f>ROUND(D15*중기목록표!G17,0)</f>
        <v>131388</v>
      </c>
      <c r="I15" s="55">
        <f>ROUND(D15*중기목록표!H17,0)</f>
        <v>39646</v>
      </c>
      <c r="J15" s="14" t="s">
        <v>500</v>
      </c>
      <c r="L15" s="19" t="str">
        <f ca="1">HYPERLINK("#"&amp;중기목록표!J2&amp;"!A"&amp;ROW(중기목록표!A17),"중기   14 →")</f>
        <v>중기   14 →</v>
      </c>
    </row>
    <row r="16" spans="1:12" ht="24.95" customHeight="1" x14ac:dyDescent="0.3">
      <c r="A16" s="8" t="s">
        <v>505</v>
      </c>
      <c r="B16" s="9" t="s">
        <v>393</v>
      </c>
      <c r="C16" s="9" t="s">
        <v>394</v>
      </c>
      <c r="D16" s="97">
        <v>181.82</v>
      </c>
      <c r="E16" s="33" t="s">
        <v>347</v>
      </c>
      <c r="F16" s="55">
        <f t="shared" si="0"/>
        <v>19658924</v>
      </c>
      <c r="G16" s="54">
        <f>ROUND(D16*중기목록표!F18,0)</f>
        <v>10127374</v>
      </c>
      <c r="H16" s="63">
        <f>ROUND(D16*중기목록표!G18,0)</f>
        <v>5290962</v>
      </c>
      <c r="I16" s="55">
        <f>ROUND(D16*중기목록표!H18,0)</f>
        <v>4240588</v>
      </c>
      <c r="J16" s="14" t="s">
        <v>505</v>
      </c>
      <c r="L16" s="19" t="str">
        <f ca="1">HYPERLINK("#"&amp;중기목록표!J2&amp;"!A"&amp;ROW(중기목록표!A18),"중기   15 →")</f>
        <v>중기   15 →</v>
      </c>
    </row>
    <row r="17" spans="1:12" ht="24.95" customHeight="1" x14ac:dyDescent="0.3">
      <c r="A17" s="8" t="s">
        <v>509</v>
      </c>
      <c r="B17" s="9" t="s">
        <v>397</v>
      </c>
      <c r="C17" s="9"/>
      <c r="D17" s="97">
        <v>17.899999999999999</v>
      </c>
      <c r="E17" s="33" t="s">
        <v>347</v>
      </c>
      <c r="F17" s="55">
        <f t="shared" si="0"/>
        <v>1046971</v>
      </c>
      <c r="G17" s="54">
        <f>ROUND(D17*중기목록표!F19,0)</f>
        <v>845435</v>
      </c>
      <c r="H17" s="63">
        <f>ROUND(D17*중기목록표!G19,0)</f>
        <v>91111</v>
      </c>
      <c r="I17" s="55">
        <f>ROUND(D17*중기목록표!H19,0)</f>
        <v>110425</v>
      </c>
      <c r="J17" s="14" t="s">
        <v>509</v>
      </c>
      <c r="L17" s="19" t="str">
        <f ca="1">HYPERLINK("#"&amp;중기목록표!J2&amp;"!A"&amp;ROW(중기목록표!A19),"중기   16 →")</f>
        <v>중기   16 →</v>
      </c>
    </row>
    <row r="18" spans="1:12" ht="24.95" customHeight="1" x14ac:dyDescent="0.3">
      <c r="A18" s="8" t="s">
        <v>515</v>
      </c>
      <c r="B18" s="9" t="s">
        <v>345</v>
      </c>
      <c r="C18" s="9" t="s">
        <v>400</v>
      </c>
      <c r="D18" s="97">
        <v>58.42</v>
      </c>
      <c r="E18" s="33" t="s">
        <v>347</v>
      </c>
      <c r="F18" s="55">
        <f t="shared" si="0"/>
        <v>7647645</v>
      </c>
      <c r="G18" s="54">
        <f>ROUND(D18*중기목록표!F20,0)</f>
        <v>3253994</v>
      </c>
      <c r="H18" s="63">
        <f>ROUND(D18*중기목록표!G20,0)</f>
        <v>2154997</v>
      </c>
      <c r="I18" s="55">
        <f>ROUND(D18*중기목록표!H20,0)</f>
        <v>2238654</v>
      </c>
      <c r="J18" s="14" t="s">
        <v>515</v>
      </c>
      <c r="L18" s="19" t="str">
        <f ca="1">HYPERLINK("#"&amp;중기목록표!J2&amp;"!A"&amp;ROW(중기목록표!A20),"중기   17 →")</f>
        <v>중기   17 →</v>
      </c>
    </row>
    <row r="19" spans="1:12" ht="24.95" customHeight="1" x14ac:dyDescent="0.3">
      <c r="A19" s="8" t="s">
        <v>520</v>
      </c>
      <c r="B19" s="9" t="s">
        <v>378</v>
      </c>
      <c r="C19" s="9" t="s">
        <v>403</v>
      </c>
      <c r="D19" s="97">
        <v>24.89</v>
      </c>
      <c r="E19" s="33" t="s">
        <v>347</v>
      </c>
      <c r="F19" s="55">
        <f t="shared" si="0"/>
        <v>11972</v>
      </c>
      <c r="G19" s="54">
        <f>ROUND(D19*중기목록표!F21,0)</f>
        <v>0</v>
      </c>
      <c r="H19" s="63">
        <f>ROUND(D19*중기목록표!G21,0)</f>
        <v>0</v>
      </c>
      <c r="I19" s="55">
        <f>ROUND(D19*중기목록표!H21,0)</f>
        <v>11972</v>
      </c>
      <c r="J19" s="14" t="s">
        <v>520</v>
      </c>
      <c r="L19" s="19" t="str">
        <f ca="1">HYPERLINK("#"&amp;중기목록표!J2&amp;"!A"&amp;ROW(중기목록표!A21),"중기   18 →")</f>
        <v>중기   18 →</v>
      </c>
    </row>
    <row r="20" spans="1:12" ht="24.95" customHeight="1" x14ac:dyDescent="0.3">
      <c r="A20" s="8" t="s">
        <v>524</v>
      </c>
      <c r="B20" s="9" t="s">
        <v>406</v>
      </c>
      <c r="C20" s="9"/>
      <c r="D20" s="97">
        <v>268.77999999999997</v>
      </c>
      <c r="E20" s="33" t="s">
        <v>347</v>
      </c>
      <c r="F20" s="55">
        <f t="shared" si="0"/>
        <v>34263806</v>
      </c>
      <c r="G20" s="54">
        <f>ROUND(D20*중기목록표!F22,0)</f>
        <v>14971046</v>
      </c>
      <c r="H20" s="63">
        <f>ROUND(D20*중기목록표!G22,0)</f>
        <v>10851455</v>
      </c>
      <c r="I20" s="55">
        <f>ROUND(D20*중기목록표!H22,0)</f>
        <v>8441305</v>
      </c>
      <c r="J20" s="14" t="s">
        <v>524</v>
      </c>
      <c r="L20" s="19" t="str">
        <f ca="1">HYPERLINK("#"&amp;중기목록표!J2&amp;"!A"&amp;ROW(중기목록표!A22),"중기   19 →")</f>
        <v>중기   19 →</v>
      </c>
    </row>
    <row r="21" spans="1:12" ht="24.95" customHeight="1" x14ac:dyDescent="0.3">
      <c r="A21" s="8" t="s">
        <v>528</v>
      </c>
      <c r="B21" s="9" t="s">
        <v>409</v>
      </c>
      <c r="C21" s="9"/>
      <c r="D21" s="97">
        <v>389.46</v>
      </c>
      <c r="E21" s="33" t="s">
        <v>347</v>
      </c>
      <c r="F21" s="55">
        <f t="shared" si="0"/>
        <v>40957171</v>
      </c>
      <c r="G21" s="54">
        <f>ROUND(D21*중기목록표!F23,0)</f>
        <v>21692922</v>
      </c>
      <c r="H21" s="63">
        <f>ROUND(D21*중기목록표!G23,0)</f>
        <v>7125560</v>
      </c>
      <c r="I21" s="55">
        <f>ROUND(D21*중기목록표!H23,0)</f>
        <v>12138689</v>
      </c>
      <c r="J21" s="14" t="s">
        <v>528</v>
      </c>
      <c r="L21" s="19" t="str">
        <f ca="1">HYPERLINK("#"&amp;중기목록표!J2&amp;"!A"&amp;ROW(중기목록표!A23),"중기   20 →")</f>
        <v>중기   20 →</v>
      </c>
    </row>
    <row r="22" spans="1:12" ht="24.95" customHeight="1" x14ac:dyDescent="0.3">
      <c r="A22" s="8" t="s">
        <v>532</v>
      </c>
      <c r="B22" s="9" t="s">
        <v>412</v>
      </c>
      <c r="C22" s="9"/>
      <c r="D22" s="97">
        <v>100.42</v>
      </c>
      <c r="E22" s="33" t="s">
        <v>347</v>
      </c>
      <c r="F22" s="55">
        <f t="shared" si="0"/>
        <v>6485425</v>
      </c>
      <c r="G22" s="54">
        <f>ROUND(D22*중기목록표!F24,0)</f>
        <v>4742937</v>
      </c>
      <c r="H22" s="63">
        <f>ROUND(D22*중기목록표!G24,0)</f>
        <v>881286</v>
      </c>
      <c r="I22" s="55">
        <f>ROUND(D22*중기목록표!H24,0)</f>
        <v>861202</v>
      </c>
      <c r="J22" s="14" t="s">
        <v>532</v>
      </c>
      <c r="L22" s="19" t="str">
        <f ca="1">HYPERLINK("#"&amp;중기목록표!J2&amp;"!A"&amp;ROW(중기목록표!A24),"중기   21 →")</f>
        <v>중기   21 →</v>
      </c>
    </row>
    <row r="23" spans="1:12" ht="24.95" customHeight="1" x14ac:dyDescent="0.3">
      <c r="A23" s="8" t="s">
        <v>535</v>
      </c>
      <c r="B23" s="9" t="s">
        <v>415</v>
      </c>
      <c r="C23" s="9" t="s">
        <v>416</v>
      </c>
      <c r="D23" s="97">
        <v>135.63999999999999</v>
      </c>
      <c r="E23" s="33" t="s">
        <v>347</v>
      </c>
      <c r="F23" s="55">
        <f t="shared" si="0"/>
        <v>13612153</v>
      </c>
      <c r="G23" s="54">
        <f>ROUND(D23*중기목록표!F25,0)</f>
        <v>7555148</v>
      </c>
      <c r="H23" s="63">
        <f>ROUND(D23*중기목록표!G25,0)</f>
        <v>2441656</v>
      </c>
      <c r="I23" s="55">
        <f>ROUND(D23*중기목록표!H25,0)</f>
        <v>3615349</v>
      </c>
      <c r="J23" s="14" t="s">
        <v>535</v>
      </c>
      <c r="L23" s="19" t="str">
        <f ca="1">HYPERLINK("#"&amp;중기목록표!J2&amp;"!A"&amp;ROW(중기목록표!A25),"중기   22 →")</f>
        <v>중기   22 →</v>
      </c>
    </row>
    <row r="24" spans="1:12" ht="24.95" customHeight="1" x14ac:dyDescent="0.3">
      <c r="A24" s="8" t="s">
        <v>540</v>
      </c>
      <c r="B24" s="9" t="s">
        <v>359</v>
      </c>
      <c r="C24" s="9" t="s">
        <v>419</v>
      </c>
      <c r="D24" s="97">
        <v>235.1</v>
      </c>
      <c r="E24" s="33" t="s">
        <v>347</v>
      </c>
      <c r="F24" s="55">
        <f t="shared" si="0"/>
        <v>27775419</v>
      </c>
      <c r="G24" s="54">
        <f>ROUND(D24*중기목록표!F26,0)</f>
        <v>13095070</v>
      </c>
      <c r="H24" s="63">
        <f>ROUND(D24*중기목록표!G26,0)</f>
        <v>7114126</v>
      </c>
      <c r="I24" s="55">
        <f>ROUND(D24*중기목록표!H26,0)</f>
        <v>7566223</v>
      </c>
      <c r="J24" s="14" t="s">
        <v>540</v>
      </c>
      <c r="L24" s="19" t="str">
        <f ca="1">HYPERLINK("#"&amp;중기목록표!J2&amp;"!A"&amp;ROW(중기목록표!A26),"중기   23 →")</f>
        <v>중기   23 →</v>
      </c>
    </row>
    <row r="25" spans="1:12" ht="24.95" customHeight="1" x14ac:dyDescent="0.3">
      <c r="A25" s="8" t="s">
        <v>545</v>
      </c>
      <c r="B25" s="9" t="s">
        <v>422</v>
      </c>
      <c r="C25" s="9" t="s">
        <v>423</v>
      </c>
      <c r="D25" s="97">
        <v>20.29</v>
      </c>
      <c r="E25" s="33" t="s">
        <v>347</v>
      </c>
      <c r="F25" s="55">
        <f t="shared" si="0"/>
        <v>1689122</v>
      </c>
      <c r="G25" s="54">
        <f>ROUND(D25*중기목록표!F27,0)</f>
        <v>958317</v>
      </c>
      <c r="H25" s="63">
        <f>ROUND(D25*중기목록표!G27,0)</f>
        <v>502583</v>
      </c>
      <c r="I25" s="55">
        <f>ROUND(D25*중기목록표!H27,0)</f>
        <v>228222</v>
      </c>
      <c r="J25" s="14" t="s">
        <v>545</v>
      </c>
      <c r="L25" s="19" t="str">
        <f ca="1">HYPERLINK("#"&amp;중기목록표!J2&amp;"!A"&amp;ROW(중기목록표!A27),"중기   24 →")</f>
        <v>중기   24 →</v>
      </c>
    </row>
    <row r="26" spans="1:12" ht="24.95" customHeight="1" x14ac:dyDescent="0.3">
      <c r="A26" s="8" t="s">
        <v>550</v>
      </c>
      <c r="B26" s="9" t="s">
        <v>426</v>
      </c>
      <c r="C26" s="9" t="s">
        <v>427</v>
      </c>
      <c r="D26" s="97">
        <v>26.9</v>
      </c>
      <c r="E26" s="33" t="s">
        <v>347</v>
      </c>
      <c r="F26" s="55">
        <f t="shared" si="0"/>
        <v>2829288</v>
      </c>
      <c r="G26" s="54">
        <f>ROUND(D26*중기목록표!F28,0)</f>
        <v>1498330</v>
      </c>
      <c r="H26" s="63">
        <f>ROUND(D26*중기목록표!G28,0)</f>
        <v>492539</v>
      </c>
      <c r="I26" s="55">
        <f>ROUND(D26*중기목록표!H28,0)</f>
        <v>838419</v>
      </c>
      <c r="J26" s="14" t="s">
        <v>550</v>
      </c>
      <c r="L26" s="19" t="str">
        <f ca="1">HYPERLINK("#"&amp;중기목록표!J2&amp;"!A"&amp;ROW(중기목록표!A28),"중기   25 →")</f>
        <v>중기   25 →</v>
      </c>
    </row>
  </sheetData>
  <mergeCells count="1">
    <mergeCell ref="A1:J1"/>
  </mergeCells>
  <phoneticPr fontId="23" type="noConversion"/>
  <hyperlinks>
    <hyperlink ref="L1" r:id="rId1" tooltip="설계예산시스템(STmate w24.04)으로 작성 하였으며,_x000a_엑셀 인쇄품질 600 dpi에 최적화 되어 있습니다._x000a_경영정보(주) http://www.stma.co.kr_x000a_Tel) 070-4350-0040_x000a_Fax) 0505-300-3948"/>
    <hyperlink ref="K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119" customWidth="1"/>
    <col min="2" max="2" width="16.75" style="119" customWidth="1"/>
    <col min="3" max="3" width="15.25" style="119" customWidth="1"/>
    <col min="4" max="24" width="2.5" style="119" customWidth="1"/>
    <col min="25" max="16384" width="9.125" style="119"/>
  </cols>
  <sheetData>
    <row r="2" spans="2:24" ht="19.5" x14ac:dyDescent="0.3">
      <c r="B2" s="155" t="s">
        <v>2576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4" spans="2:24" hidden="1" x14ac:dyDescent="0.3">
      <c r="B4" s="120" t="s">
        <v>2577</v>
      </c>
      <c r="C4" s="123" t="b">
        <f ca="1">ISERROR(SUM(C6:X15,C18:X23))</f>
        <v>0</v>
      </c>
      <c r="D4" s="126">
        <f>ROW(C24)</f>
        <v>24</v>
      </c>
    </row>
    <row r="5" spans="2:24" hidden="1" x14ac:dyDescent="0.3">
      <c r="B5" s="121" t="s">
        <v>2578</v>
      </c>
      <c r="C5" s="121" t="s">
        <v>2579</v>
      </c>
      <c r="D5" s="121" t="s">
        <v>2580</v>
      </c>
      <c r="E5" s="121" t="s">
        <v>2581</v>
      </c>
      <c r="F5" s="121" t="s">
        <v>2582</v>
      </c>
      <c r="G5" s="121" t="s">
        <v>2583</v>
      </c>
      <c r="H5" s="121" t="s">
        <v>1319</v>
      </c>
      <c r="I5" s="121" t="s">
        <v>2584</v>
      </c>
      <c r="J5" s="121" t="s">
        <v>2585</v>
      </c>
      <c r="K5" s="121" t="s">
        <v>2586</v>
      </c>
      <c r="L5" s="121" t="s">
        <v>2587</v>
      </c>
      <c r="M5" s="121" t="s">
        <v>2588</v>
      </c>
      <c r="N5" s="121" t="s">
        <v>2589</v>
      </c>
      <c r="O5" s="121" t="s">
        <v>2590</v>
      </c>
      <c r="P5" s="121" t="s">
        <v>2591</v>
      </c>
      <c r="Q5" s="121" t="s">
        <v>2592</v>
      </c>
      <c r="R5" s="121" t="s">
        <v>2593</v>
      </c>
      <c r="S5" s="121" t="s">
        <v>2594</v>
      </c>
      <c r="T5" s="121" t="s">
        <v>2595</v>
      </c>
      <c r="U5" s="121" t="s">
        <v>2596</v>
      </c>
      <c r="V5" s="121" t="s">
        <v>2597</v>
      </c>
      <c r="W5" s="121" t="s">
        <v>2598</v>
      </c>
      <c r="X5" s="121" t="s">
        <v>2599</v>
      </c>
    </row>
    <row r="6" spans="2:24" hidden="1" x14ac:dyDescent="0.3">
      <c r="B6" s="122" t="s">
        <v>2600</v>
      </c>
      <c r="C6" s="124" t="str">
        <f ca="1">IF(D6="","재료비목록표",MID(D6,FIND("]",D6)+1,LEN(D6)))</f>
        <v>재료비목록표</v>
      </c>
      <c r="D6" s="124" t="str">
        <f ca="1">CELL("filename",재료비목록표!A1)</f>
        <v>C:\Users\user\AppData\Roaming\Microsoft\Templates\[Xls-2024_0422_160557_198.Tmp]재료비목록표</v>
      </c>
      <c r="E6" s="127"/>
      <c r="F6" s="128">
        <f ca="1">HYPERLINK("#"&amp;C6&amp;"!"&amp;CHAR(COLUMN(재료비목록표!B1)+64)&amp;3,COLUMN(재료비목록표!B1))</f>
        <v>2</v>
      </c>
      <c r="G6" s="128">
        <f ca="1">HYPERLINK("#"&amp;C6&amp;"!"&amp;CHAR(COLUMN(재료비목록표!C1)+64)&amp;3,COLUMN(재료비목록표!C1))</f>
        <v>3</v>
      </c>
      <c r="H6" s="127"/>
      <c r="I6" s="128">
        <f ca="1">HYPERLINK("#"&amp;C6&amp;"!"&amp;CHAR(COLUMN(재료비목록표!D1)+64)&amp;3,COLUMN(재료비목록표!D1))</f>
        <v>4</v>
      </c>
      <c r="J6" s="128">
        <f ca="1">HYPERLINK("#"&amp;C6&amp;"!A"&amp;ROW(재료비목록표!A4),ROW(재료비목록표!A4))</f>
        <v>4</v>
      </c>
      <c r="K6" s="128">
        <f ca="1">HYPERLINK("#"&amp;C6&amp;"!A"&amp;ROW(재료비목록표!A49),ROW(재료비목록표!A49))</f>
        <v>49</v>
      </c>
      <c r="L6" s="128">
        <f ca="1">HYPERLINK("#"&amp;C6&amp;"!"&amp;CHAR(COLUMN(재료비목록표!E1)+64)&amp;3,COLUMN(재료비목록표!E1))</f>
        <v>5</v>
      </c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>
        <f ca="1">HYPERLINK("#"&amp;C6&amp;"!"&amp;CHAR(COLUMN(재료비목록표!G1)+64)&amp;3,COLUMN(재료비목록표!G1))</f>
        <v>7</v>
      </c>
    </row>
    <row r="7" spans="2:24" hidden="1" x14ac:dyDescent="0.3">
      <c r="B7" s="122" t="s">
        <v>2601</v>
      </c>
      <c r="C7" s="124" t="str">
        <f ca="1">IF(D7="","노무비목록표",MID(D7,FIND("]",D7)+1,LEN(D7)))</f>
        <v>노무비목록표</v>
      </c>
      <c r="D7" s="124" t="str">
        <f ca="1">CELL("filename",노무비목록표!A1)</f>
        <v>C:\Users\user\AppData\Roaming\Microsoft\Templates\[Xls-2024_0422_160557_198.Tmp]노무비목록표</v>
      </c>
      <c r="E7" s="127"/>
      <c r="F7" s="128">
        <f ca="1">HYPERLINK("#"&amp;C7&amp;"!"&amp;CHAR(COLUMN(노무비목록표!B1)+64)&amp;3,COLUMN(노무비목록표!B1))</f>
        <v>2</v>
      </c>
      <c r="G7" s="128">
        <f ca="1">HYPERLINK("#"&amp;C7&amp;"!"&amp;CHAR(COLUMN(노무비목록표!C1)+64)&amp;3,COLUMN(노무비목록표!C1))</f>
        <v>3</v>
      </c>
      <c r="H7" s="127"/>
      <c r="I7" s="128">
        <f ca="1">HYPERLINK("#"&amp;C7&amp;"!"&amp;CHAR(COLUMN(노무비목록표!D1)+64)&amp;3,COLUMN(노무비목록표!D1))</f>
        <v>4</v>
      </c>
      <c r="J7" s="128">
        <f ca="1">HYPERLINK("#"&amp;C7&amp;"!A"&amp;ROW(노무비목록표!A4),ROW(노무비목록표!A4))</f>
        <v>4</v>
      </c>
      <c r="K7" s="128">
        <f ca="1">HYPERLINK("#"&amp;C7&amp;"!A"&amp;ROW(노무비목록표!A15),ROW(노무비목록표!A15))</f>
        <v>15</v>
      </c>
      <c r="L7" s="128">
        <f ca="1">HYPERLINK("#"&amp;C7&amp;"!"&amp;CHAR(COLUMN(노무비목록표!E1)+64)&amp;3,COLUMN(노무비목록표!E1))</f>
        <v>5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8">
        <f ca="1">HYPERLINK("#"&amp;C7&amp;"!"&amp;CHAR(COLUMN(노무비목록표!G1)+64)&amp;3,COLUMN(노무비목록표!G1))</f>
        <v>7</v>
      </c>
    </row>
    <row r="8" spans="2:24" hidden="1" x14ac:dyDescent="0.3">
      <c r="B8" s="122" t="s">
        <v>2602</v>
      </c>
      <c r="C8" s="124" t="str">
        <f ca="1">IF(D8="","경비목록표",MID(D8,FIND("]",D8)+1,LEN(D8)))</f>
        <v>경비목록표</v>
      </c>
      <c r="D8" s="124" t="str">
        <f ca="1">CELL("filename",경비목록표!A1)</f>
        <v>C:\Users\user\AppData\Roaming\Microsoft\Templates\[Xls-2024_0422_160557_198.Tmp]경비목록표</v>
      </c>
      <c r="E8" s="127"/>
      <c r="F8" s="128">
        <f ca="1">HYPERLINK("#"&amp;C8&amp;"!"&amp;CHAR(COLUMN(경비목록표!B1)+64)&amp;3,COLUMN(경비목록표!B1))</f>
        <v>2</v>
      </c>
      <c r="G8" s="128">
        <f ca="1">HYPERLINK("#"&amp;C8&amp;"!"&amp;CHAR(COLUMN(경비목록표!C1)+64)&amp;3,COLUMN(경비목록표!C1))</f>
        <v>3</v>
      </c>
      <c r="H8" s="127"/>
      <c r="I8" s="128">
        <f ca="1">HYPERLINK("#"&amp;C8&amp;"!"&amp;CHAR(COLUMN(경비목록표!D1)+64)&amp;3,COLUMN(경비목록표!D1))</f>
        <v>4</v>
      </c>
      <c r="J8" s="128">
        <f ca="1">HYPERLINK("#"&amp;C8&amp;"!A"&amp;ROW(경비목록표!A4),ROW(경비목록표!A4))</f>
        <v>4</v>
      </c>
      <c r="K8" s="128">
        <f ca="1">HYPERLINK("#"&amp;C8&amp;"!A"&amp;ROW(경비목록표!A26),ROW(경비목록표!A26))</f>
        <v>26</v>
      </c>
      <c r="L8" s="128">
        <f ca="1">HYPERLINK("#"&amp;C8&amp;"!"&amp;CHAR(COLUMN(경비목록표!E1)+64)&amp;3,COLUMN(경비목록표!E1))</f>
        <v>5</v>
      </c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>
        <f ca="1">HYPERLINK("#"&amp;C8&amp;"!"&amp;CHAR(COLUMN(경비목록표!G1)+64)&amp;3,COLUMN(경비목록표!G1))</f>
        <v>7</v>
      </c>
    </row>
    <row r="9" spans="2:24" hidden="1" x14ac:dyDescent="0.3">
      <c r="B9" s="122" t="s">
        <v>2603</v>
      </c>
      <c r="C9" s="122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2:24" hidden="1" x14ac:dyDescent="0.3">
      <c r="B10" s="122" t="s">
        <v>2604</v>
      </c>
      <c r="C10" s="124" t="str">
        <f ca="1">IF(D10="","환율및기초자료",MID(D10,FIND("]",D10)+1,LEN(D10)))</f>
        <v>환율및기초자료</v>
      </c>
      <c r="D10" s="124" t="str">
        <f ca="1">CELL("filename",환율및기초자료!A1)</f>
        <v>C:\Users\user\AppData\Roaming\Microsoft\Templates\[Xls-2024_0422_160557_198.Tmp]환율및기초자료</v>
      </c>
      <c r="E10" s="128">
        <f ca="1">HYPERLINK("#"&amp;C10&amp;"!"&amp;CHAR(COLUMN(환율및기초자료!B1)+64)&amp;5,COLUMN(환율및기초자료!B1))</f>
        <v>2</v>
      </c>
      <c r="F10" s="128">
        <f ca="1">HYPERLINK("#"&amp;C10&amp;"!"&amp;CHAR(COLUMN(환율및기초자료!C1)+64)&amp;5,COLUMN(환율및기초자료!C1))</f>
        <v>3</v>
      </c>
      <c r="G10" s="128">
        <f ca="1">HYPERLINK("#"&amp;C10&amp;"!"&amp;CHAR(COLUMN(환율및기초자료!D1)+64)&amp;5,COLUMN(환율및기초자료!D1))</f>
        <v>4</v>
      </c>
      <c r="H10" s="127"/>
      <c r="I10" s="128">
        <f ca="1">HYPERLINK("#"&amp;C10&amp;"!"&amp;CHAR(COLUMN(환율및기초자료!E1)+64)&amp;5,COLUMN(환율및기초자료!E1))</f>
        <v>5</v>
      </c>
      <c r="J10" s="128">
        <f ca="1">HYPERLINK("#"&amp;C10&amp;"!A"&amp;ROW(환율및기초자료!A6),ROW(환율및기초자료!A6))</f>
        <v>6</v>
      </c>
      <c r="K10" s="128">
        <f ca="1">HYPERLINK("#"&amp;C10&amp;"!A"&amp;ROW(환율및기초자료!A17),ROW(환율및기초자료!A17))</f>
        <v>17</v>
      </c>
      <c r="L10" s="128">
        <f ca="1">HYPERLINK("#"&amp;C10&amp;"!"&amp;CHAR(COLUMN(환율및기초자료!F1)+64)&amp;5,COLUMN(환율및기초자료!F1))</f>
        <v>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8">
        <f ca="1">HYPERLINK("#"&amp;C10&amp;"!"&amp;CHAR(COLUMN(환율및기초자료!I1)+64)&amp;5,COLUMN(환율및기초자료!I1))</f>
        <v>9</v>
      </c>
    </row>
    <row r="11" spans="2:24" hidden="1" x14ac:dyDescent="0.3">
      <c r="B11" s="122" t="s">
        <v>2605</v>
      </c>
      <c r="C11" s="124" t="str">
        <f ca="1">IF(D11="","중기목록표",MID(D11,FIND("]",D11)+1,LEN(D11)))</f>
        <v>중기목록표</v>
      </c>
      <c r="D11" s="124" t="str">
        <f ca="1">CELL("filename",중기목록표!A1)</f>
        <v>C:\Users\user\AppData\Roaming\Microsoft\Templates\[Xls-2024_0422_160557_198.Tmp]중기목록표</v>
      </c>
      <c r="E11" s="127"/>
      <c r="F11" s="128">
        <f ca="1">HYPERLINK("#"&amp;C11&amp;"!"&amp;CHAR(COLUMN(중기목록표!B1)+64)&amp;3,COLUMN(중기목록표!B1))</f>
        <v>2</v>
      </c>
      <c r="G11" s="128">
        <f ca="1">HYPERLINK("#"&amp;C11&amp;"!"&amp;CHAR(COLUMN(중기목록표!C1)+64)&amp;3,COLUMN(중기목록표!C1))</f>
        <v>3</v>
      </c>
      <c r="H11" s="127"/>
      <c r="I11" s="128">
        <f ca="1">HYPERLINK("#"&amp;C11&amp;"!"&amp;CHAR(COLUMN(중기목록표!D1)+64)&amp;3,COLUMN(중기목록표!D1))</f>
        <v>4</v>
      </c>
      <c r="J11" s="128">
        <f ca="1">HYPERLINK("#"&amp;C11&amp;"!A"&amp;ROW(중기목록표!A4),ROW(중기목록표!A4))</f>
        <v>4</v>
      </c>
      <c r="K11" s="128">
        <f ca="1">HYPERLINK("#"&amp;C11&amp;"!A"&amp;ROW(중기목록표!A28),ROW(중기목록표!A28))</f>
        <v>28</v>
      </c>
      <c r="L11" s="128">
        <f ca="1">HYPERLINK("#"&amp;C11&amp;"!"&amp;CHAR(COLUMN(중기목록표!E1)+64)&amp;3,COLUMN(중기목록표!E1))</f>
        <v>5</v>
      </c>
      <c r="M11" s="127"/>
      <c r="N11" s="128">
        <f ca="1">HYPERLINK("#"&amp;C11&amp;"!"&amp;CHAR(COLUMN(중기목록표!G1)+64)&amp;3,COLUMN(중기목록표!G1))</f>
        <v>7</v>
      </c>
      <c r="O11" s="127"/>
      <c r="P11" s="128">
        <f ca="1">HYPERLINK("#"&amp;C11&amp;"!"&amp;CHAR(COLUMN(중기목록표!F1)+64)&amp;3,COLUMN(중기목록표!F1))</f>
        <v>6</v>
      </c>
      <c r="Q11" s="127"/>
      <c r="R11" s="128">
        <f ca="1">HYPERLINK("#"&amp;C11&amp;"!"&amp;CHAR(COLUMN(중기목록표!H1)+64)&amp;3,COLUMN(중기목록표!H1))</f>
        <v>8</v>
      </c>
      <c r="S11" s="127"/>
      <c r="T11" s="127"/>
      <c r="U11" s="127"/>
      <c r="V11" s="127"/>
      <c r="W11" s="127"/>
      <c r="X11" s="128">
        <f ca="1">HYPERLINK("#"&amp;C11&amp;"!"&amp;CHAR(COLUMN(중기목록표!J1)+64)&amp;3,COLUMN(중기목록표!J1))</f>
        <v>10</v>
      </c>
    </row>
    <row r="12" spans="2:24" hidden="1" x14ac:dyDescent="0.3">
      <c r="B12" s="122" t="s">
        <v>2606</v>
      </c>
      <c r="C12" s="122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spans="2:24" hidden="1" x14ac:dyDescent="0.3">
      <c r="B13" s="122" t="s">
        <v>2607</v>
      </c>
      <c r="C13" s="124" t="str">
        <f ca="1">IF(D13="","일위대가목록표",MID(D13,FIND("]",D13)+1,LEN(D13)))</f>
        <v>일위대가목록표</v>
      </c>
      <c r="D13" s="124" t="str">
        <f ca="1">CELL("filename",일위대가목록표!A1)</f>
        <v>C:\Users\user\AppData\Roaming\Microsoft\Templates\[Xls-2024_0422_160557_198.Tmp]일위대가목록표</v>
      </c>
      <c r="E13" s="127"/>
      <c r="F13" s="128">
        <f ca="1">HYPERLINK("#"&amp;C13&amp;"!"&amp;CHAR(COLUMN(일위대가목록표!B1)+64)&amp;3,COLUMN(일위대가목록표!B1))</f>
        <v>2</v>
      </c>
      <c r="G13" s="128">
        <f ca="1">HYPERLINK("#"&amp;C13&amp;"!"&amp;CHAR(COLUMN(일위대가목록표!C1)+64)&amp;3,COLUMN(일위대가목록표!C1))</f>
        <v>3</v>
      </c>
      <c r="H13" s="127"/>
      <c r="I13" s="128">
        <f ca="1">HYPERLINK("#"&amp;C13&amp;"!"&amp;CHAR(COLUMN(일위대가목록표!D1)+64)&amp;3,COLUMN(일위대가목록표!D1))</f>
        <v>4</v>
      </c>
      <c r="J13" s="128">
        <f ca="1">HYPERLINK("#"&amp;C13&amp;"!A"&amp;ROW(일위대가목록표!A4),ROW(일위대가목록표!A4))</f>
        <v>4</v>
      </c>
      <c r="K13" s="128">
        <f ca="1">HYPERLINK("#"&amp;C13&amp;"!A"&amp;ROW(일위대가목록표!A37),ROW(일위대가목록표!A37))</f>
        <v>37</v>
      </c>
      <c r="L13" s="128">
        <f ca="1">HYPERLINK("#"&amp;C13&amp;"!"&amp;CHAR(COLUMN(일위대가목록표!E1)+64)&amp;3,COLUMN(일위대가목록표!E1))</f>
        <v>5</v>
      </c>
      <c r="M13" s="127"/>
      <c r="N13" s="128">
        <f ca="1">HYPERLINK("#"&amp;C13&amp;"!"&amp;CHAR(COLUMN(일위대가목록표!G1)+64)&amp;3,COLUMN(일위대가목록표!G1))</f>
        <v>7</v>
      </c>
      <c r="O13" s="127"/>
      <c r="P13" s="128">
        <f ca="1">HYPERLINK("#"&amp;C13&amp;"!"&amp;CHAR(COLUMN(일위대가목록표!F1)+64)&amp;3,COLUMN(일위대가목록표!F1))</f>
        <v>6</v>
      </c>
      <c r="Q13" s="127"/>
      <c r="R13" s="128">
        <f ca="1">HYPERLINK("#"&amp;C13&amp;"!"&amp;CHAR(COLUMN(일위대가목록표!H1)+64)&amp;3,COLUMN(일위대가목록표!H1))</f>
        <v>8</v>
      </c>
      <c r="S13" s="127"/>
      <c r="T13" s="127"/>
      <c r="U13" s="127"/>
      <c r="V13" s="127"/>
      <c r="W13" s="127"/>
      <c r="X13" s="128">
        <f ca="1">HYPERLINK("#"&amp;C13&amp;"!"&amp;CHAR(COLUMN(일위대가목록표!J1)+64)&amp;3,COLUMN(일위대가목록표!J1))</f>
        <v>10</v>
      </c>
    </row>
    <row r="14" spans="2:24" hidden="1" x14ac:dyDescent="0.3">
      <c r="B14" s="122" t="s">
        <v>2608</v>
      </c>
      <c r="C14" s="124" t="str">
        <f ca="1">IF(D14="","단가산출근거목록표",MID(D14,FIND("]",D14)+1,LEN(D14)))</f>
        <v>단가산출근거목록표</v>
      </c>
      <c r="D14" s="124" t="str">
        <f ca="1">CELL("filename",단가산출근거목록표!A1)</f>
        <v>C:\Users\user\AppData\Roaming\Microsoft\Templates\[Xls-2024_0422_160557_198.Tmp]단가산출근거목록표</v>
      </c>
      <c r="E14" s="127"/>
      <c r="F14" s="128">
        <f ca="1">HYPERLINK("#"&amp;C14&amp;"!"&amp;CHAR(COLUMN(단가산출근거목록표!B1)+64)&amp;3,COLUMN(단가산출근거목록표!B1))</f>
        <v>2</v>
      </c>
      <c r="G14" s="128">
        <f ca="1">HYPERLINK("#"&amp;C14&amp;"!"&amp;CHAR(COLUMN(단가산출근거목록표!C1)+64)&amp;3,COLUMN(단가산출근거목록표!C1))</f>
        <v>3</v>
      </c>
      <c r="H14" s="127"/>
      <c r="I14" s="128">
        <f ca="1">HYPERLINK("#"&amp;C14&amp;"!"&amp;CHAR(COLUMN(단가산출근거목록표!D1)+64)&amp;3,COLUMN(단가산출근거목록표!D1))</f>
        <v>4</v>
      </c>
      <c r="J14" s="128">
        <f ca="1">HYPERLINK("#"&amp;C14&amp;"!A"&amp;ROW(단가산출근거목록표!A4),ROW(단가산출근거목록표!A4))</f>
        <v>4</v>
      </c>
      <c r="K14" s="128">
        <f ca="1">HYPERLINK("#"&amp;C14&amp;"!A"&amp;ROW(단가산출근거목록표!A50),ROW(단가산출근거목록표!A50))</f>
        <v>50</v>
      </c>
      <c r="L14" s="128">
        <f ca="1">HYPERLINK("#"&amp;C14&amp;"!"&amp;CHAR(COLUMN(단가산출근거목록표!E1)+64)&amp;3,COLUMN(단가산출근거목록표!E1))</f>
        <v>5</v>
      </c>
      <c r="M14" s="127"/>
      <c r="N14" s="128">
        <f ca="1">HYPERLINK("#"&amp;C14&amp;"!"&amp;CHAR(COLUMN(단가산출근거목록표!G1)+64)&amp;3,COLUMN(단가산출근거목록표!G1))</f>
        <v>7</v>
      </c>
      <c r="O14" s="127"/>
      <c r="P14" s="128">
        <f ca="1">HYPERLINK("#"&amp;C14&amp;"!"&amp;CHAR(COLUMN(단가산출근거목록표!F1)+64)&amp;3,COLUMN(단가산출근거목록표!F1))</f>
        <v>6</v>
      </c>
      <c r="Q14" s="127"/>
      <c r="R14" s="128">
        <f ca="1">HYPERLINK("#"&amp;C14&amp;"!"&amp;CHAR(COLUMN(단가산출근거목록표!H1)+64)&amp;3,COLUMN(단가산출근거목록표!H1))</f>
        <v>8</v>
      </c>
      <c r="S14" s="127"/>
      <c r="T14" s="127"/>
      <c r="U14" s="127"/>
      <c r="V14" s="127"/>
      <c r="W14" s="127"/>
      <c r="X14" s="128">
        <f ca="1">HYPERLINK("#"&amp;C14&amp;"!"&amp;CHAR(COLUMN(단가산출근거목록표!J1)+64)&amp;3,COLUMN(단가산출근거목록표!J1))</f>
        <v>10</v>
      </c>
    </row>
    <row r="15" spans="2:24" hidden="1" x14ac:dyDescent="0.3">
      <c r="B15" s="122" t="s">
        <v>2609</v>
      </c>
      <c r="C15" s="124" t="str">
        <f ca="1">IF(D15="","자재단가대비표",MID(D15,FIND("]",D15)+1,LEN(D15)))</f>
        <v>자재단가대비표</v>
      </c>
      <c r="D15" s="124" t="str">
        <f ca="1">CELL("filename",자재단가대비표!A1)</f>
        <v>C:\Users\user\AppData\Roaming\Microsoft\Templates\[Xls-2024_0422_160557_198.Tmp]자재단가대비표</v>
      </c>
      <c r="E15" s="127"/>
      <c r="F15" s="128">
        <f ca="1">HYPERLINK("#"&amp;C15&amp;"!"&amp;CHAR(COLUMN(자재단가대비표!B1)+64)&amp;4,COLUMN(자재단가대비표!B1))</f>
        <v>2</v>
      </c>
      <c r="G15" s="128">
        <f ca="1">HYPERLINK("#"&amp;C15&amp;"!"&amp;CHAR(COLUMN(자재단가대비표!C1)+64)&amp;4,COLUMN(자재단가대비표!C1))</f>
        <v>3</v>
      </c>
      <c r="H15" s="127"/>
      <c r="I15" s="128">
        <f ca="1">HYPERLINK("#"&amp;C15&amp;"!"&amp;CHAR(COLUMN(자재단가대비표!D1)+64)&amp;4,COLUMN(자재단가대비표!D1))</f>
        <v>4</v>
      </c>
      <c r="J15" s="128">
        <f ca="1">HYPERLINK("#"&amp;C15&amp;"!A"&amp;ROW(자재단가대비표!A5),ROW(자재단가대비표!A5))</f>
        <v>5</v>
      </c>
      <c r="K15" s="128">
        <f ca="1">HYPERLINK("#"&amp;C15&amp;"!A"&amp;ROW(자재단가대비표!A50),ROW(자재단가대비표!A50))</f>
        <v>50</v>
      </c>
      <c r="L15" s="128">
        <f ca="1">HYPERLINK("#"&amp;C15&amp;"!"&amp;CHAR(COLUMN(자재단가대비표!E1)+64)&amp;4,COLUMN(자재단가대비표!E1))</f>
        <v>5</v>
      </c>
      <c r="M15" s="128">
        <f ca="1">HYPERLINK("#"&amp;C15&amp;"!"&amp;CHAR(COLUMN(자재단가대비표!F1)+64)&amp;4,COLUMN(자재단가대비표!F1))</f>
        <v>6</v>
      </c>
      <c r="N15" s="128">
        <f ca="1">HYPERLINK("#"&amp;C15&amp;"!"&amp;CHAR(COLUMN(자재단가대비표!G1)+64)&amp;4,COLUMN(자재단가대비표!G1))</f>
        <v>7</v>
      </c>
      <c r="O15" s="128">
        <f ca="1">HYPERLINK("#"&amp;C15&amp;"!"&amp;CHAR(COLUMN(자재단가대비표!H1)+64)&amp;4,COLUMN(자재단가대비표!H1))</f>
        <v>8</v>
      </c>
      <c r="P15" s="128">
        <f ca="1">HYPERLINK("#"&amp;C15&amp;"!"&amp;CHAR(COLUMN(자재단가대비표!I1)+64)&amp;4,COLUMN(자재단가대비표!I1))</f>
        <v>9</v>
      </c>
      <c r="Q15" s="128">
        <f ca="1">HYPERLINK("#"&amp;C15&amp;"!"&amp;CHAR(COLUMN(자재단가대비표!J1)+64)&amp;4,COLUMN(자재단가대비표!J1))</f>
        <v>10</v>
      </c>
      <c r="R15" s="128">
        <f ca="1">HYPERLINK("#"&amp;C15&amp;"!"&amp;CHAR(COLUMN(자재단가대비표!K1)+64)&amp;4,COLUMN(자재단가대비표!K1))</f>
        <v>11</v>
      </c>
      <c r="S15" s="128">
        <f ca="1">HYPERLINK("#"&amp;C15&amp;"!"&amp;CHAR(COLUMN(자재단가대비표!L1)+64)&amp;4,COLUMN(자재단가대비표!L1))</f>
        <v>12</v>
      </c>
      <c r="T15" s="128">
        <f ca="1">HYPERLINK("#"&amp;C15&amp;"!"&amp;CHAR(COLUMN(자재단가대비표!M1)+64)&amp;4,COLUMN(자재단가대비표!M1))</f>
        <v>13</v>
      </c>
      <c r="U15" s="128">
        <f ca="1">HYPERLINK("#"&amp;C15&amp;"!"&amp;CHAR(COLUMN(자재단가대비표!N1)+64)&amp;4,COLUMN(자재단가대비표!N1))</f>
        <v>14</v>
      </c>
      <c r="V15" s="128">
        <f ca="1">HYPERLINK("#"&amp;C15&amp;"!"&amp;CHAR(COLUMN(자재단가대비표!O1)+64)&amp;4,COLUMN(자재단가대비표!O1))</f>
        <v>15</v>
      </c>
      <c r="W15" s="128">
        <f ca="1">HYPERLINK("#"&amp;C15&amp;"!"&amp;CHAR(COLUMN(자재단가대비표!P1)+64)&amp;4,COLUMN(자재단가대비표!P1))</f>
        <v>16</v>
      </c>
      <c r="X15" s="128">
        <f ca="1">HYPERLINK("#"&amp;C15&amp;"!"&amp;CHAR(COLUMN(자재단가대비표!R1)+64)&amp;4,COLUMN(자재단가대비표!R1))</f>
        <v>18</v>
      </c>
    </row>
    <row r="16" spans="2:24" hidden="1" x14ac:dyDescent="0.3">
      <c r="B16" s="122" t="s">
        <v>2610</v>
      </c>
      <c r="C16" s="124" t="str">
        <f ca="1">IF(D16="","착공내역서",MID(D16,FIND("]",D16)+1,LEN(D16)))</f>
        <v>착공내역서</v>
      </c>
      <c r="D16" s="124" t="str">
        <f ca="1">CELL("filename",착공내역서!A1)</f>
        <v>C:\Users\user\AppData\Roaming\Microsoft\Templates\[Xls-2024_0422_160557_198.Tmp]착공내역서</v>
      </c>
      <c r="E16" s="128">
        <f ca="1">HYPERLINK("#"&amp;C16&amp;"!"&amp;CHAR(COLUMN(착공내역서!A1)+64)&amp;4,COLUMN(착공내역서!A1))</f>
        <v>1</v>
      </c>
      <c r="F16" s="128">
        <f ca="1">HYPERLINK("#"&amp;C16&amp;"!"&amp;CHAR(COLUMN(착공내역서!B1)+64)&amp;4,COLUMN(착공내역서!B1))</f>
        <v>2</v>
      </c>
      <c r="G16" s="128">
        <f ca="1">HYPERLINK("#"&amp;C16&amp;"!"&amp;CHAR(COLUMN(착공내역서!C1)+64)&amp;4,COLUMN(착공내역서!C1))</f>
        <v>3</v>
      </c>
      <c r="H16" s="128">
        <f ca="1">HYPERLINK("#"&amp;C16&amp;"!"&amp;CHAR(COLUMN(착공내역서!D1)+64)&amp;4,COLUMN(착공내역서!D1))</f>
        <v>4</v>
      </c>
      <c r="I16" s="128">
        <f ca="1">HYPERLINK("#"&amp;C16&amp;"!"&amp;CHAR(COLUMN(착공내역서!E1)+64)&amp;4,COLUMN(착공내역서!E1))</f>
        <v>5</v>
      </c>
      <c r="J16" s="128">
        <f ca="1">HYPERLINK("#"&amp;C16&amp;"!A"&amp;ROW(착공내역서!A5),ROW(착공내역서!A5))</f>
        <v>5</v>
      </c>
      <c r="K16" s="128">
        <f ca="1">HYPERLINK("#"&amp;C16&amp;"!A"&amp;ROW(착공내역서!A265),ROW(착공내역서!A265))</f>
        <v>265</v>
      </c>
      <c r="L16" s="128">
        <f ca="1">HYPERLINK("#"&amp;C16&amp;"!"&amp;CHAR(COLUMN(착공내역서!F1)+64)&amp;4,COLUMN(착공내역서!F1))</f>
        <v>6</v>
      </c>
      <c r="M16" s="128">
        <f ca="1">HYPERLINK("#"&amp;C16&amp;"!"&amp;CHAR(COLUMN(착공내역서!G1)+64)&amp;4,COLUMN(착공내역서!G1))</f>
        <v>7</v>
      </c>
      <c r="N16" s="128">
        <f ca="1">HYPERLINK("#"&amp;C16&amp;"!"&amp;CHAR(COLUMN(착공내역서!J1)+64)&amp;4,COLUMN(착공내역서!J1))</f>
        <v>10</v>
      </c>
      <c r="O16" s="128">
        <f ca="1">HYPERLINK("#"&amp;C16&amp;"!"&amp;CHAR(COLUMN(착공내역서!K1)+64)&amp;4,COLUMN(착공내역서!K1))</f>
        <v>11</v>
      </c>
      <c r="P16" s="128">
        <f ca="1">HYPERLINK("#"&amp;C16&amp;"!"&amp;CHAR(COLUMN(착공내역서!H1)+64)&amp;4,COLUMN(착공내역서!H1))</f>
        <v>8</v>
      </c>
      <c r="Q16" s="128">
        <f ca="1">HYPERLINK("#"&amp;C16&amp;"!"&amp;CHAR(COLUMN(착공내역서!I1)+64)&amp;4,COLUMN(착공내역서!I1))</f>
        <v>9</v>
      </c>
      <c r="R16" s="128">
        <f ca="1">HYPERLINK("#"&amp;C16&amp;"!"&amp;CHAR(COLUMN(착공내역서!L1)+64)&amp;4,COLUMN(착공내역서!L1))</f>
        <v>12</v>
      </c>
      <c r="S16" s="128">
        <f ca="1">HYPERLINK("#"&amp;C16&amp;"!"&amp;CHAR(COLUMN(착공내역서!M1)+64)&amp;4,COLUMN(착공내역서!M1))</f>
        <v>13</v>
      </c>
      <c r="T16" s="127"/>
      <c r="U16" s="127"/>
      <c r="V16" s="127"/>
      <c r="W16" s="127"/>
      <c r="X16" s="128">
        <f ca="1">HYPERLINK("#"&amp;C16&amp;"!"&amp;CHAR(COLUMN(착공내역서!O1)+64)&amp;4,COLUMN(착공내역서!O1))</f>
        <v>15</v>
      </c>
    </row>
    <row r="17" spans="2:24" hidden="1" x14ac:dyDescent="0.3">
      <c r="B17" s="122" t="s">
        <v>2611</v>
      </c>
      <c r="C17" s="124" t="str">
        <f ca="1">IF(D17="","총괄설계내역서",MID(D17,FIND("]",D17)+1,LEN(D17)))</f>
        <v>총괄설계내역서</v>
      </c>
      <c r="D17" s="124" t="str">
        <f ca="1">CELL("filename",총괄설계내역서!A1)</f>
        <v>C:\Users\user\AppData\Roaming\Microsoft\Templates\[Xls-2024_0422_160557_198.Tmp]총괄설계내역서</v>
      </c>
      <c r="E17" s="128">
        <f ca="1">HYPERLINK("#"&amp;C17&amp;"!"&amp;CHAR(COLUMN(총괄설계내역서!A1)+64)&amp;3,COLUMN(총괄설계내역서!A1))</f>
        <v>1</v>
      </c>
      <c r="F17" s="128">
        <f ca="1">HYPERLINK("#"&amp;C17&amp;"!"&amp;CHAR(COLUMN(총괄설계내역서!B1)+64)&amp;3,COLUMN(총괄설계내역서!B1))</f>
        <v>2</v>
      </c>
      <c r="G17" s="128">
        <f ca="1">HYPERLINK("#"&amp;C17&amp;"!"&amp;CHAR(COLUMN(총괄설계내역서!C1)+64)&amp;3,COLUMN(총괄설계내역서!C1))</f>
        <v>3</v>
      </c>
      <c r="H17" s="127"/>
      <c r="I17" s="128">
        <f ca="1">HYPERLINK("#"&amp;C17&amp;"!"&amp;CHAR(COLUMN(총괄설계내역서!E1)+64)&amp;3,COLUMN(총괄설계내역서!E1))</f>
        <v>5</v>
      </c>
      <c r="J17" s="128">
        <f ca="1">HYPERLINK("#"&amp;C17&amp;"!A"&amp;ROW(총괄설계내역서!A4),ROW(총괄설계내역서!A4))</f>
        <v>4</v>
      </c>
      <c r="K17" s="128">
        <f ca="1">HYPERLINK("#"&amp;C17&amp;"!A"&amp;ROW(총괄설계내역서!A67),ROW(총괄설계내역서!A67))</f>
        <v>67</v>
      </c>
      <c r="L17" s="128">
        <f ca="1">HYPERLINK("#"&amp;C17&amp;"!"&amp;CHAR(COLUMN(총괄설계내역서!D1)+64)&amp;3,COLUMN(총괄설계내역서!D1))</f>
        <v>4</v>
      </c>
      <c r="M17" s="128">
        <f ca="1">HYPERLINK("#"&amp;C17&amp;"!"&amp;CHAR(COLUMN(총괄설계내역서!I1)+64)&amp;3,COLUMN(총괄설계내역서!I1))</f>
        <v>9</v>
      </c>
      <c r="N17" s="128">
        <f ca="1">HYPERLINK("#"&amp;C17&amp;"!"&amp;CHAR(COLUMN(총괄설계내역서!M1)+64)&amp;3,COLUMN(총괄설계내역서!M1))</f>
        <v>13</v>
      </c>
      <c r="O17" s="128">
        <f ca="1">HYPERLINK("#"&amp;C17&amp;"!"&amp;CHAR(COLUMN(총괄설계내역서!N1)+64)&amp;3,COLUMN(총괄설계내역서!N1))</f>
        <v>14</v>
      </c>
      <c r="P17" s="128">
        <f ca="1">HYPERLINK("#"&amp;C17&amp;"!"&amp;CHAR(COLUMN(총괄설계내역서!O1)+64)&amp;3,COLUMN(총괄설계내역서!O1))</f>
        <v>15</v>
      </c>
      <c r="Q17" s="128">
        <f ca="1">HYPERLINK("#"&amp;C17&amp;"!"&amp;CHAR(COLUMN(총괄설계내역서!P1)+64)&amp;3,COLUMN(총괄설계내역서!P1))</f>
        <v>16</v>
      </c>
      <c r="R17" s="127"/>
      <c r="S17" s="127"/>
      <c r="T17" s="127"/>
      <c r="U17" s="127"/>
      <c r="V17" s="127"/>
      <c r="W17" s="127"/>
      <c r="X17" s="128">
        <f ca="1">HYPERLINK("#"&amp;C17&amp;"!"&amp;CHAR(COLUMN(총괄설계내역서!H1)+64)&amp;3,COLUMN(총괄설계내역서!H1))</f>
        <v>8</v>
      </c>
    </row>
    <row r="18" spans="2:24" hidden="1" x14ac:dyDescent="0.3">
      <c r="B18" s="122" t="s">
        <v>2565</v>
      </c>
      <c r="C18" s="124" t="str">
        <f ca="1">IF(D18="","중기사용료",MID(D18,FIND("]",D18)+1,LEN(D18)))</f>
        <v>중기사용료</v>
      </c>
      <c r="D18" s="124" t="str">
        <f ca="1">CELL("filename",중기사용료!A1)</f>
        <v>C:\Users\user\AppData\Roaming\Microsoft\Templates\[Xls-2024_0422_160557_198.Tmp]중기사용료</v>
      </c>
      <c r="E18" s="127"/>
      <c r="F18" s="128">
        <f ca="1">HYPERLINK("#"&amp;C18&amp;"!"&amp;CHAR(COLUMN(중기사용료!A1)+64)&amp;4,COLUMN(중기사용료!A1))</f>
        <v>1</v>
      </c>
      <c r="G18" s="128">
        <f ca="1">HYPERLINK("#"&amp;C18&amp;"!"&amp;CHAR(COLUMN(중기사용료!B1)+64)&amp;4,COLUMN(중기사용료!B1))</f>
        <v>2</v>
      </c>
      <c r="H18" s="128">
        <f ca="1">HYPERLINK("#"&amp;C18&amp;"!"&amp;CHAR(COLUMN(중기사용료!C1)+64)&amp;4,COLUMN(중기사용료!C1))</f>
        <v>3</v>
      </c>
      <c r="I18" s="128">
        <f ca="1">HYPERLINK("#"&amp;C18&amp;"!"&amp;CHAR(COLUMN(중기사용료!D1)+64)&amp;4,COLUMN(중기사용료!D1))</f>
        <v>4</v>
      </c>
      <c r="J18" s="128">
        <f ca="1">HYPERLINK("#"&amp;C18&amp;"!A"&amp;ROW(중기사용료!A5),ROW(중기사용료!A5))</f>
        <v>5</v>
      </c>
      <c r="K18" s="128">
        <f ca="1">HYPERLINK("#"&amp;C18&amp;"!A"&amp;ROW(중기사용료!A177),ROW(중기사용료!A177))</f>
        <v>177</v>
      </c>
      <c r="L18" s="128">
        <f ca="1">HYPERLINK("#"&amp;C18&amp;"!"&amp;CHAR(COLUMN(중기사용료!E1)+64)&amp;4,COLUMN(중기사용료!E1))</f>
        <v>5</v>
      </c>
      <c r="M18" s="128">
        <f ca="1">HYPERLINK("#"&amp;C18&amp;"!"&amp;CHAR(COLUMN(중기사용료!F1)+64)&amp;4,COLUMN(중기사용료!F1))</f>
        <v>6</v>
      </c>
      <c r="N18" s="128">
        <f ca="1">HYPERLINK("#"&amp;C18&amp;"!"&amp;CHAR(COLUMN(중기사용료!I1)+64)&amp;4,COLUMN(중기사용료!I1))</f>
        <v>9</v>
      </c>
      <c r="O18" s="128">
        <f ca="1">HYPERLINK("#"&amp;C18&amp;"!"&amp;CHAR(COLUMN(중기사용료!J1)+64)&amp;4,COLUMN(중기사용료!J1))</f>
        <v>10</v>
      </c>
      <c r="P18" s="128">
        <f ca="1">HYPERLINK("#"&amp;C18&amp;"!"&amp;CHAR(COLUMN(중기사용료!G1)+64)&amp;4,COLUMN(중기사용료!G1))</f>
        <v>7</v>
      </c>
      <c r="Q18" s="128">
        <f ca="1">HYPERLINK("#"&amp;C18&amp;"!"&amp;CHAR(COLUMN(중기사용료!H1)+64)&amp;4,COLUMN(중기사용료!H1))</f>
        <v>8</v>
      </c>
      <c r="R18" s="128">
        <f ca="1">HYPERLINK("#"&amp;C18&amp;"!"&amp;CHAR(COLUMN(중기사용료!K1)+64)&amp;4,COLUMN(중기사용료!K1))</f>
        <v>11</v>
      </c>
      <c r="S18" s="128">
        <f ca="1">HYPERLINK("#"&amp;C18&amp;"!"&amp;CHAR(COLUMN(중기사용료!L1)+64)&amp;4,COLUMN(중기사용료!L1))</f>
        <v>12</v>
      </c>
      <c r="T18" s="127"/>
      <c r="U18" s="127"/>
      <c r="V18" s="127"/>
      <c r="W18" s="127"/>
      <c r="X18" s="128">
        <f ca="1">HYPERLINK("#"&amp;C18&amp;"!"&amp;CHAR(COLUMN(중기사용료!N1)+64)&amp;4,COLUMN(중기사용료!N1))</f>
        <v>14</v>
      </c>
    </row>
    <row r="19" spans="2:24" hidden="1" x14ac:dyDescent="0.3">
      <c r="B19" s="122" t="s">
        <v>2612</v>
      </c>
      <c r="C19" s="124" t="str">
        <f ca="1">IF(D19="","일위대가표",MID(D19,FIND("]",D19)+1,LEN(D19)))</f>
        <v>일위대가표</v>
      </c>
      <c r="D19" s="124" t="str">
        <f ca="1">CELL("filename",일위대가표!A1)</f>
        <v>C:\Users\user\AppData\Roaming\Microsoft\Templates\[Xls-2024_0422_160557_198.Tmp]일위대가표</v>
      </c>
      <c r="E19" s="127"/>
      <c r="F19" s="128">
        <f ca="1">HYPERLINK("#"&amp;C19&amp;"!"&amp;CHAR(COLUMN(일위대가표!A1)+64)&amp;4,COLUMN(일위대가표!A1))</f>
        <v>1</v>
      </c>
      <c r="G19" s="128">
        <f ca="1">HYPERLINK("#"&amp;C19&amp;"!"&amp;CHAR(COLUMN(일위대가표!B1)+64)&amp;4,COLUMN(일위대가표!B1))</f>
        <v>2</v>
      </c>
      <c r="H19" s="128">
        <f ca="1">HYPERLINK("#"&amp;C19&amp;"!"&amp;CHAR(COLUMN(일위대가표!C1)+64)&amp;4,COLUMN(일위대가표!C1))</f>
        <v>3</v>
      </c>
      <c r="I19" s="128">
        <f ca="1">HYPERLINK("#"&amp;C19&amp;"!"&amp;CHAR(COLUMN(일위대가표!D1)+64)&amp;4,COLUMN(일위대가표!D1))</f>
        <v>4</v>
      </c>
      <c r="J19" s="128">
        <f ca="1">HYPERLINK("#"&amp;C19&amp;"!A"&amp;ROW(일위대가표!A5),ROW(일위대가표!A5))</f>
        <v>5</v>
      </c>
      <c r="K19" s="128">
        <f ca="1">HYPERLINK("#"&amp;C19&amp;"!A"&amp;ROW(일위대가표!A316),ROW(일위대가표!A316))</f>
        <v>316</v>
      </c>
      <c r="L19" s="128">
        <f ca="1">HYPERLINK("#"&amp;C19&amp;"!"&amp;CHAR(COLUMN(일위대가표!E1)+64)&amp;4,COLUMN(일위대가표!E1))</f>
        <v>5</v>
      </c>
      <c r="M19" s="128">
        <f ca="1">HYPERLINK("#"&amp;C19&amp;"!"&amp;CHAR(COLUMN(일위대가표!F1)+64)&amp;4,COLUMN(일위대가표!F1))</f>
        <v>6</v>
      </c>
      <c r="N19" s="128">
        <f ca="1">HYPERLINK("#"&amp;C19&amp;"!"&amp;CHAR(COLUMN(일위대가표!I1)+64)&amp;4,COLUMN(일위대가표!I1))</f>
        <v>9</v>
      </c>
      <c r="O19" s="128">
        <f ca="1">HYPERLINK("#"&amp;C19&amp;"!"&amp;CHAR(COLUMN(일위대가표!J1)+64)&amp;4,COLUMN(일위대가표!J1))</f>
        <v>10</v>
      </c>
      <c r="P19" s="128">
        <f ca="1">HYPERLINK("#"&amp;C19&amp;"!"&amp;CHAR(COLUMN(일위대가표!G1)+64)&amp;4,COLUMN(일위대가표!G1))</f>
        <v>7</v>
      </c>
      <c r="Q19" s="128">
        <f ca="1">HYPERLINK("#"&amp;C19&amp;"!"&amp;CHAR(COLUMN(일위대가표!H1)+64)&amp;4,COLUMN(일위대가표!H1))</f>
        <v>8</v>
      </c>
      <c r="R19" s="128">
        <f ca="1">HYPERLINK("#"&amp;C19&amp;"!"&amp;CHAR(COLUMN(일위대가표!K1)+64)&amp;4,COLUMN(일위대가표!K1))</f>
        <v>11</v>
      </c>
      <c r="S19" s="128">
        <f ca="1">HYPERLINK("#"&amp;C19&amp;"!"&amp;CHAR(COLUMN(일위대가표!L1)+64)&amp;4,COLUMN(일위대가표!L1))</f>
        <v>12</v>
      </c>
      <c r="T19" s="127"/>
      <c r="U19" s="127"/>
      <c r="V19" s="127"/>
      <c r="W19" s="127"/>
      <c r="X19" s="128">
        <f ca="1">HYPERLINK("#"&amp;C19&amp;"!"&amp;CHAR(COLUMN(일위대가표!N1)+64)&amp;4,COLUMN(일위대가표!N1))</f>
        <v>14</v>
      </c>
    </row>
    <row r="20" spans="2:24" hidden="1" x14ac:dyDescent="0.3">
      <c r="B20" s="122" t="s">
        <v>2613</v>
      </c>
      <c r="C20" s="124" t="str">
        <f ca="1">IF(D20="","단가산출근거",MID(D20,FIND("]",D20)+1,LEN(D20)))</f>
        <v>단가산출근거</v>
      </c>
      <c r="D20" s="124" t="str">
        <f ca="1">CELL("filename",단가산출근거!A1)</f>
        <v>C:\Users\user\AppData\Roaming\Microsoft\Templates\[Xls-2024_0422_160557_198.Tmp]단가산출근거</v>
      </c>
      <c r="E20" s="128">
        <f ca="1">HYPERLINK("#"&amp;C20&amp;"!"&amp;CHAR(COLUMN(단가산출근거!A1)+64)&amp;4,COLUMN(단가산출근거!A1))</f>
        <v>1</v>
      </c>
      <c r="F20" s="128">
        <f ca="1">HYPERLINK("#"&amp;C20&amp;"!"&amp;CHAR(COLUMN(단가산출근거!B1)+64)&amp;4,COLUMN(단가산출근거!B1))</f>
        <v>2</v>
      </c>
      <c r="G20" s="127"/>
      <c r="H20" s="127"/>
      <c r="I20" s="127"/>
      <c r="J20" s="128">
        <f ca="1">HYPERLINK("#"&amp;C20&amp;"!A"&amp;ROW(단가산출근거!A5),ROW(단가산출근거!A5))</f>
        <v>5</v>
      </c>
      <c r="K20" s="128">
        <f ca="1">HYPERLINK("#"&amp;C20&amp;"!A"&amp;ROW(단가산출근거!A3331),ROW(단가산출근거!A3331))</f>
        <v>3331</v>
      </c>
      <c r="L20" s="128">
        <f ca="1">HYPERLINK("#"&amp;C20&amp;"!"&amp;CHAR(COLUMN(단가산출근거!C1)+64)&amp;4,COLUMN(단가산출근거!C1))</f>
        <v>3</v>
      </c>
      <c r="M20" s="127"/>
      <c r="N20" s="128">
        <f ca="1">HYPERLINK("#"&amp;C20&amp;"!"&amp;CHAR(COLUMN(단가산출근거!E1)+64)&amp;4,COLUMN(단가산출근거!E1))</f>
        <v>5</v>
      </c>
      <c r="O20" s="127"/>
      <c r="P20" s="128">
        <f ca="1">HYPERLINK("#"&amp;C20&amp;"!"&amp;CHAR(COLUMN(단가산출근거!D1)+64)&amp;4,COLUMN(단가산출근거!D1))</f>
        <v>4</v>
      </c>
      <c r="Q20" s="127"/>
      <c r="R20" s="128">
        <f ca="1">HYPERLINK("#"&amp;C20&amp;"!"&amp;CHAR(COLUMN(단가산출근거!F1)+64)&amp;4,COLUMN(단가산출근거!F1))</f>
        <v>6</v>
      </c>
      <c r="S20" s="127"/>
      <c r="T20" s="127"/>
      <c r="U20" s="127"/>
      <c r="V20" s="127"/>
      <c r="W20" s="127"/>
      <c r="X20" s="128">
        <f ca="1">HYPERLINK("#"&amp;C20&amp;"!"&amp;CHAR(COLUMN(단가산출근거!G1)+64)&amp;4,COLUMN(단가산출근거!G1))</f>
        <v>7</v>
      </c>
    </row>
    <row r="21" spans="2:24" hidden="1" x14ac:dyDescent="0.3">
      <c r="B21" s="122" t="s">
        <v>2614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2:24" hidden="1" x14ac:dyDescent="0.3">
      <c r="B22" s="122" t="s">
        <v>2615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2:24" hidden="1" x14ac:dyDescent="0.3">
      <c r="B23" s="122" t="s">
        <v>2616</v>
      </c>
      <c r="C23" s="122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2:24" hidden="1" x14ac:dyDescent="0.3">
      <c r="B24" s="120" t="s">
        <v>2617</v>
      </c>
      <c r="D24" s="126">
        <f>ROW(C33)</f>
        <v>33</v>
      </c>
    </row>
    <row r="25" spans="2:24" hidden="1" x14ac:dyDescent="0.3">
      <c r="B25" s="122" t="s">
        <v>2618</v>
      </c>
      <c r="C25" s="122" t="s">
        <v>2619</v>
      </c>
    </row>
    <row r="26" spans="2:24" hidden="1" x14ac:dyDescent="0.3">
      <c r="B26" s="122" t="s">
        <v>2620</v>
      </c>
      <c r="C26" s="122" t="s">
        <v>2621</v>
      </c>
    </row>
    <row r="27" spans="2:24" hidden="1" x14ac:dyDescent="0.3">
      <c r="B27" s="122" t="s">
        <v>2622</v>
      </c>
      <c r="C27" s="122" t="s">
        <v>770</v>
      </c>
    </row>
    <row r="28" spans="2:24" hidden="1" x14ac:dyDescent="0.3">
      <c r="B28" s="122" t="s">
        <v>2623</v>
      </c>
      <c r="C28" s="122" t="s">
        <v>2624</v>
      </c>
    </row>
    <row r="29" spans="2:24" hidden="1" x14ac:dyDescent="0.3">
      <c r="B29" s="122" t="s">
        <v>2625</v>
      </c>
      <c r="C29" s="122" t="s">
        <v>2624</v>
      </c>
    </row>
    <row r="30" spans="2:24" hidden="1" x14ac:dyDescent="0.3">
      <c r="B30" s="122" t="s">
        <v>2626</v>
      </c>
      <c r="C30" s="124" t="s">
        <v>2627</v>
      </c>
    </row>
    <row r="31" spans="2:24" hidden="1" x14ac:dyDescent="0.3">
      <c r="B31" s="122" t="s">
        <v>2628</v>
      </c>
      <c r="C31" s="122" t="s">
        <v>2624</v>
      </c>
    </row>
    <row r="32" spans="2:24" hidden="1" x14ac:dyDescent="0.3">
      <c r="B32" s="122" t="s">
        <v>2629</v>
      </c>
      <c r="C32" s="122" t="s">
        <v>2624</v>
      </c>
    </row>
    <row r="33" spans="2:10" hidden="1" x14ac:dyDescent="0.3">
      <c r="B33" s="120" t="s">
        <v>2630</v>
      </c>
      <c r="D33" s="126">
        <f>ROW(C52)</f>
        <v>52</v>
      </c>
    </row>
    <row r="34" spans="2:10" hidden="1" x14ac:dyDescent="0.3">
      <c r="B34" s="122" t="s">
        <v>2631</v>
      </c>
      <c r="C34" s="122" t="s">
        <v>767</v>
      </c>
      <c r="D34" s="122" t="s">
        <v>767</v>
      </c>
      <c r="E34" s="122" t="s">
        <v>2624</v>
      </c>
      <c r="F34" s="122" t="s">
        <v>2624</v>
      </c>
      <c r="G34" s="122" t="s">
        <v>2624</v>
      </c>
      <c r="H34" s="122" t="s">
        <v>2624</v>
      </c>
    </row>
    <row r="35" spans="2:10" hidden="1" x14ac:dyDescent="0.3">
      <c r="B35" s="122" t="s">
        <v>2632</v>
      </c>
      <c r="C35" s="125">
        <f>환율및기초자료!C3</f>
        <v>1289</v>
      </c>
      <c r="D35" s="125">
        <f>환율및기초자료!D3</f>
        <v>1289</v>
      </c>
      <c r="E35" s="125">
        <f>환율및기초자료!C3</f>
        <v>1289</v>
      </c>
      <c r="F35" s="125">
        <f>환율및기초자료!D3</f>
        <v>1289</v>
      </c>
      <c r="G35" s="125">
        <f>환율및기초자료!E3</f>
        <v>1000</v>
      </c>
      <c r="H35" s="125">
        <f>환율및기초자료!E3</f>
        <v>1000</v>
      </c>
      <c r="I35" s="125">
        <f>환율및기초자료!G3</f>
        <v>1000</v>
      </c>
      <c r="J35" s="125">
        <f>환율및기초자료!G3</f>
        <v>1000</v>
      </c>
    </row>
    <row r="36" spans="2:10" hidden="1" x14ac:dyDescent="0.3">
      <c r="B36" s="122" t="s">
        <v>2633</v>
      </c>
      <c r="C36" s="124" t="s">
        <v>2634</v>
      </c>
    </row>
    <row r="37" spans="2:10" hidden="1" x14ac:dyDescent="0.3">
      <c r="B37" s="122" t="s">
        <v>2635</v>
      </c>
      <c r="C37" s="122" t="s">
        <v>2636</v>
      </c>
      <c r="D37" s="122"/>
      <c r="E37" s="122"/>
      <c r="F37" s="122"/>
      <c r="G37" s="122"/>
      <c r="H37" s="122"/>
    </row>
    <row r="38" spans="2:10" hidden="1" x14ac:dyDescent="0.3">
      <c r="B38" s="122" t="s">
        <v>2637</v>
      </c>
      <c r="C38" s="122" t="s">
        <v>2638</v>
      </c>
      <c r="D38" s="122"/>
      <c r="E38" s="122"/>
      <c r="F38" s="122"/>
      <c r="G38" s="122"/>
      <c r="H38" s="122"/>
    </row>
    <row r="39" spans="2:10" hidden="1" x14ac:dyDescent="0.3">
      <c r="B39" s="122" t="s">
        <v>2639</v>
      </c>
      <c r="C39" s="122" t="s">
        <v>767</v>
      </c>
    </row>
    <row r="40" spans="2:10" hidden="1" x14ac:dyDescent="0.3">
      <c r="B40" s="122" t="s">
        <v>2640</v>
      </c>
      <c r="C40" s="122" t="s">
        <v>2624</v>
      </c>
    </row>
    <row r="41" spans="2:10" hidden="1" x14ac:dyDescent="0.3">
      <c r="B41" s="122" t="s">
        <v>2641</v>
      </c>
      <c r="C41" s="122" t="s">
        <v>2624</v>
      </c>
    </row>
    <row r="42" spans="2:10" hidden="1" x14ac:dyDescent="0.3">
      <c r="B42" s="122" t="s">
        <v>2642</v>
      </c>
      <c r="C42" s="122" t="s">
        <v>767</v>
      </c>
    </row>
    <row r="43" spans="2:10" hidden="1" x14ac:dyDescent="0.3">
      <c r="B43" s="122" t="s">
        <v>2643</v>
      </c>
      <c r="C43" s="122" t="s">
        <v>767</v>
      </c>
    </row>
    <row r="44" spans="2:10" hidden="1" x14ac:dyDescent="0.3">
      <c r="B44" s="122" t="s">
        <v>2644</v>
      </c>
      <c r="C44" s="122" t="s">
        <v>768</v>
      </c>
    </row>
    <row r="45" spans="2:10" hidden="1" x14ac:dyDescent="0.3">
      <c r="B45" s="122" t="s">
        <v>2645</v>
      </c>
      <c r="C45" s="124" t="s">
        <v>2627</v>
      </c>
    </row>
    <row r="46" spans="2:10" hidden="1" x14ac:dyDescent="0.3">
      <c r="B46" s="122" t="s">
        <v>2646</v>
      </c>
      <c r="C46" s="124" t="s">
        <v>2627</v>
      </c>
    </row>
    <row r="47" spans="2:10" hidden="1" x14ac:dyDescent="0.3">
      <c r="B47" s="122" t="s">
        <v>2647</v>
      </c>
      <c r="C47" s="124" t="s">
        <v>2627</v>
      </c>
    </row>
    <row r="48" spans="2:10" hidden="1" x14ac:dyDescent="0.3">
      <c r="B48" s="122" t="s">
        <v>2648</v>
      </c>
      <c r="C48" s="124" t="s">
        <v>2634</v>
      </c>
    </row>
    <row r="49" spans="2:6" hidden="1" x14ac:dyDescent="0.3">
      <c r="B49" s="122" t="s">
        <v>2649</v>
      </c>
      <c r="C49" s="122" t="s">
        <v>2650</v>
      </c>
    </row>
    <row r="50" spans="2:6" hidden="1" x14ac:dyDescent="0.3">
      <c r="B50" s="122" t="s">
        <v>2651</v>
      </c>
      <c r="C50" s="124" t="s">
        <v>2634</v>
      </c>
    </row>
    <row r="51" spans="2:6" hidden="1" x14ac:dyDescent="0.3">
      <c r="B51" s="122" t="s">
        <v>2652</v>
      </c>
      <c r="C51" s="122"/>
    </row>
    <row r="52" spans="2:6" hidden="1" x14ac:dyDescent="0.3">
      <c r="B52" s="120" t="s">
        <v>2653</v>
      </c>
      <c r="D52" s="126">
        <f>ROW(C75)</f>
        <v>75</v>
      </c>
    </row>
    <row r="53" spans="2:6" hidden="1" x14ac:dyDescent="0.3">
      <c r="B53" s="122" t="s">
        <v>2654</v>
      </c>
      <c r="C53" s="122" t="s">
        <v>8</v>
      </c>
      <c r="D53" s="122" t="s">
        <v>7</v>
      </c>
      <c r="E53" s="122" t="s">
        <v>9</v>
      </c>
      <c r="F53" s="122" t="s">
        <v>6</v>
      </c>
    </row>
    <row r="54" spans="2:6" hidden="1" x14ac:dyDescent="0.3">
      <c r="B54" s="122" t="s">
        <v>2655</v>
      </c>
      <c r="C54" s="122" t="s">
        <v>2656</v>
      </c>
    </row>
    <row r="55" spans="2:6" hidden="1" x14ac:dyDescent="0.3">
      <c r="B55" s="122" t="s">
        <v>2657</v>
      </c>
      <c r="C55" s="122" t="s">
        <v>2658</v>
      </c>
    </row>
    <row r="56" spans="2:6" hidden="1" x14ac:dyDescent="0.3">
      <c r="B56" s="122" t="s">
        <v>2659</v>
      </c>
      <c r="C56" s="122" t="s">
        <v>774</v>
      </c>
      <c r="D56" s="122" t="s">
        <v>786</v>
      </c>
    </row>
    <row r="57" spans="2:6" hidden="1" x14ac:dyDescent="0.3">
      <c r="B57" s="122" t="s">
        <v>2660</v>
      </c>
      <c r="C57" s="122" t="s">
        <v>776</v>
      </c>
      <c r="D57" s="122" t="s">
        <v>787</v>
      </c>
    </row>
    <row r="58" spans="2:6" hidden="1" x14ac:dyDescent="0.3">
      <c r="B58" s="122" t="s">
        <v>2661</v>
      </c>
      <c r="C58" s="122" t="s">
        <v>777</v>
      </c>
      <c r="D58" s="122" t="s">
        <v>788</v>
      </c>
    </row>
    <row r="59" spans="2:6" hidden="1" x14ac:dyDescent="0.3">
      <c r="B59" s="122" t="s">
        <v>2662</v>
      </c>
      <c r="C59" s="122" t="s">
        <v>778</v>
      </c>
      <c r="D59" s="122" t="s">
        <v>789</v>
      </c>
    </row>
    <row r="60" spans="2:6" hidden="1" x14ac:dyDescent="0.3">
      <c r="B60" s="122" t="s">
        <v>2663</v>
      </c>
      <c r="C60" s="122" t="s">
        <v>779</v>
      </c>
      <c r="D60" s="122" t="s">
        <v>790</v>
      </c>
    </row>
    <row r="61" spans="2:6" hidden="1" x14ac:dyDescent="0.3">
      <c r="B61" s="122" t="s">
        <v>2664</v>
      </c>
      <c r="C61" s="122" t="s">
        <v>780</v>
      </c>
    </row>
    <row r="62" spans="2:6" hidden="1" x14ac:dyDescent="0.3">
      <c r="B62" s="122" t="s">
        <v>2665</v>
      </c>
      <c r="C62" s="122" t="s">
        <v>2666</v>
      </c>
    </row>
    <row r="63" spans="2:6" hidden="1" x14ac:dyDescent="0.3">
      <c r="B63" s="122" t="s">
        <v>2667</v>
      </c>
      <c r="C63" s="122" t="s">
        <v>2</v>
      </c>
    </row>
    <row r="64" spans="2:6" hidden="1" x14ac:dyDescent="0.3">
      <c r="B64" s="122" t="s">
        <v>2668</v>
      </c>
      <c r="C64" s="122" t="s">
        <v>2669</v>
      </c>
    </row>
    <row r="65" spans="2:4" hidden="1" x14ac:dyDescent="0.3">
      <c r="B65" s="122" t="s">
        <v>2670</v>
      </c>
      <c r="C65" s="122" t="s">
        <v>2671</v>
      </c>
    </row>
    <row r="66" spans="2:4" hidden="1" x14ac:dyDescent="0.3">
      <c r="B66" s="122" t="s">
        <v>2672</v>
      </c>
      <c r="C66" s="122" t="s">
        <v>640</v>
      </c>
    </row>
    <row r="67" spans="2:4" hidden="1" x14ac:dyDescent="0.3">
      <c r="B67" s="122" t="s">
        <v>2673</v>
      </c>
      <c r="C67" s="122" t="s">
        <v>3</v>
      </c>
    </row>
    <row r="68" spans="2:4" hidden="1" x14ac:dyDescent="0.3">
      <c r="B68" s="122" t="s">
        <v>2674</v>
      </c>
      <c r="C68" s="122" t="s">
        <v>4</v>
      </c>
    </row>
    <row r="69" spans="2:4" hidden="1" x14ac:dyDescent="0.3">
      <c r="B69" s="122" t="s">
        <v>2675</v>
      </c>
      <c r="C69" s="122" t="s">
        <v>635</v>
      </c>
    </row>
    <row r="70" spans="2:4" hidden="1" x14ac:dyDescent="0.3">
      <c r="B70" s="122" t="s">
        <v>2676</v>
      </c>
      <c r="C70" s="122" t="s">
        <v>5</v>
      </c>
    </row>
    <row r="71" spans="2:4" hidden="1" x14ac:dyDescent="0.3">
      <c r="B71" s="122" t="s">
        <v>2677</v>
      </c>
      <c r="C71" s="122" t="s">
        <v>431</v>
      </c>
    </row>
    <row r="72" spans="2:4" hidden="1" x14ac:dyDescent="0.3">
      <c r="B72" s="122" t="s">
        <v>2678</v>
      </c>
      <c r="C72" s="122" t="s">
        <v>775</v>
      </c>
    </row>
    <row r="73" spans="2:4" hidden="1" x14ac:dyDescent="0.3">
      <c r="B73" s="122" t="s">
        <v>2679</v>
      </c>
      <c r="C73" s="122" t="s">
        <v>627</v>
      </c>
    </row>
    <row r="74" spans="2:4" hidden="1" x14ac:dyDescent="0.3">
      <c r="B74" s="122" t="s">
        <v>2680</v>
      </c>
      <c r="C74" s="122" t="s">
        <v>10</v>
      </c>
    </row>
    <row r="75" spans="2:4" hidden="1" x14ac:dyDescent="0.3">
      <c r="B75" s="120" t="s">
        <v>2681</v>
      </c>
      <c r="D75" s="126">
        <f>ROW(C79)</f>
        <v>79</v>
      </c>
    </row>
    <row r="76" spans="2:4" hidden="1" x14ac:dyDescent="0.3">
      <c r="B76" s="122" t="s">
        <v>2682</v>
      </c>
      <c r="C76" s="122" t="s">
        <v>2683</v>
      </c>
    </row>
    <row r="77" spans="2:4" hidden="1" x14ac:dyDescent="0.3">
      <c r="B77" s="122" t="s">
        <v>2684</v>
      </c>
      <c r="C77" s="122" t="s">
        <v>2685</v>
      </c>
    </row>
    <row r="78" spans="2:4" hidden="1" x14ac:dyDescent="0.3">
      <c r="B78" s="122" t="s">
        <v>2686</v>
      </c>
      <c r="C78" s="122" t="s">
        <v>2687</v>
      </c>
    </row>
    <row r="79" spans="2:4" hidden="1" x14ac:dyDescent="0.3">
      <c r="B79" s="120" t="s">
        <v>2688</v>
      </c>
    </row>
    <row r="80" spans="2:4" hidden="1" x14ac:dyDescent="0.3"/>
  </sheetData>
  <sheetProtection algorithmName="SHA-512" hashValue="WcGf3C9oOFkh1wmAxj3e+CjnjqPY4eIVnukhOLQe9S7lHe8eDLQnSKaZTbKQrMty+nriJerksDCj/r+e3LPLoA==" saltValue="SjnU5t2YF5eCyLhFbIvJZg==" spinCount="100000" sheet="1" objects="1" scenarios="1" selectLockedCells="1"/>
  <mergeCells count="1">
    <mergeCell ref="B2:X2"/>
  </mergeCells>
  <phoneticPr fontId="23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workbookViewId="0">
      <pane ySplit="4" topLeftCell="A5" activePane="bottomLeft" state="frozenSplit"/>
      <selection pane="bottomLeft" activeCell="A5" sqref="A5:A22"/>
    </sheetView>
  </sheetViews>
  <sheetFormatPr defaultColWidth="9.125" defaultRowHeight="16.5" x14ac:dyDescent="0.3"/>
  <cols>
    <col min="1" max="2" width="4.75" style="5" customWidth="1"/>
    <col min="3" max="3" width="23.5" style="5" customWidth="1"/>
    <col min="4" max="4" width="11.5" style="5" customWidth="1"/>
    <col min="5" max="5" width="8.5" style="5" customWidth="1"/>
    <col min="6" max="6" width="49.75" style="5" customWidth="1"/>
    <col min="7" max="7" width="9.125" style="5" hidden="1" customWidth="1"/>
    <col min="8" max="8" width="9.125" style="17" customWidth="1"/>
    <col min="9" max="16384" width="9.125" style="5"/>
  </cols>
  <sheetData>
    <row r="1" spans="1:8" ht="24.95" customHeight="1" x14ac:dyDescent="0.3">
      <c r="A1" s="130" t="s">
        <v>1054</v>
      </c>
      <c r="B1" s="131"/>
      <c r="C1" s="131"/>
      <c r="D1" s="131"/>
      <c r="E1" s="131"/>
      <c r="F1" s="131"/>
      <c r="G1" s="4" t="s">
        <v>166</v>
      </c>
      <c r="H1" s="18" t="s">
        <v>166</v>
      </c>
    </row>
    <row r="2" spans="1:8" ht="17.100000000000001" customHeight="1" x14ac:dyDescent="0.3">
      <c r="A2" s="1" t="s">
        <v>1</v>
      </c>
      <c r="F2" s="78"/>
      <c r="G2" s="21" t="str">
        <f ca="1">MID(CELL("filename",$A$1),FIND("]",CELL("filename",$A$1))+1,LEN(CELL("filename",$A$1)))</f>
        <v>공사원가계산서</v>
      </c>
    </row>
    <row r="3" spans="1:8" ht="17.100000000000001" customHeight="1" x14ac:dyDescent="0.3">
      <c r="A3" s="132" t="s">
        <v>1084</v>
      </c>
      <c r="B3" s="133"/>
      <c r="C3" s="133"/>
      <c r="D3" s="134" t="s">
        <v>627</v>
      </c>
      <c r="E3" s="134" t="s">
        <v>1085</v>
      </c>
      <c r="F3" s="134" t="s">
        <v>1086</v>
      </c>
    </row>
    <row r="4" spans="1:8" ht="17.100000000000001" customHeight="1" x14ac:dyDescent="0.3">
      <c r="A4" s="136" t="s">
        <v>1083</v>
      </c>
      <c r="B4" s="137"/>
      <c r="C4" s="137"/>
      <c r="D4" s="135"/>
      <c r="E4" s="135"/>
      <c r="F4" s="135"/>
      <c r="H4" s="19" t="str">
        <f>HYPERLINK("#'〓 목 차 〓'!B2","목차 →")</f>
        <v>목차 →</v>
      </c>
    </row>
    <row r="5" spans="1:8" ht="17.100000000000001" customHeight="1" x14ac:dyDescent="0.3">
      <c r="A5" s="138" t="s">
        <v>1110</v>
      </c>
      <c r="B5" s="138" t="s">
        <v>8</v>
      </c>
      <c r="C5" s="70" t="s">
        <v>1087</v>
      </c>
      <c r="D5" s="72">
        <f>총괄설계내역서!F48-D6+D7</f>
        <v>171849367</v>
      </c>
      <c r="E5" s="75">
        <f>D5/D29*100</f>
        <v>16.03521199962676</v>
      </c>
      <c r="F5" s="79"/>
      <c r="H5" s="19" t="str">
        <f ca="1">HYPERLINK("#"&amp;총괄설계내역서!H2&amp;"!F"&amp;ROW(총괄설계내역서!F48),"총괄표 →")</f>
        <v>총괄표 →</v>
      </c>
    </row>
    <row r="6" spans="1:8" ht="17.100000000000001" customHeight="1" x14ac:dyDescent="0.3">
      <c r="A6" s="139"/>
      <c r="B6" s="139"/>
      <c r="C6" s="70" t="s">
        <v>1088</v>
      </c>
      <c r="D6" s="73">
        <v>0</v>
      </c>
      <c r="E6" s="75">
        <f>D6/D29*100</f>
        <v>0</v>
      </c>
      <c r="F6" s="80"/>
    </row>
    <row r="7" spans="1:8" ht="17.100000000000001" customHeight="1" x14ac:dyDescent="0.3">
      <c r="A7" s="139"/>
      <c r="B7" s="139"/>
      <c r="C7" s="70" t="s">
        <v>1089</v>
      </c>
      <c r="D7" s="73">
        <v>0</v>
      </c>
      <c r="E7" s="75">
        <f>D7/D29*100</f>
        <v>0</v>
      </c>
      <c r="F7" s="80"/>
    </row>
    <row r="8" spans="1:8" ht="17.100000000000001" customHeight="1" x14ac:dyDescent="0.3">
      <c r="A8" s="139"/>
      <c r="B8" s="137"/>
      <c r="C8" s="13" t="s">
        <v>1090</v>
      </c>
      <c r="D8" s="74">
        <f>+D5+D6-D7</f>
        <v>171849367</v>
      </c>
      <c r="E8" s="76">
        <f>D8/D29*100</f>
        <v>16.03521199962676</v>
      </c>
      <c r="F8" s="81"/>
    </row>
    <row r="9" spans="1:8" ht="17.100000000000001" customHeight="1" x14ac:dyDescent="0.3">
      <c r="A9" s="139"/>
      <c r="B9" s="138" t="s">
        <v>7</v>
      </c>
      <c r="C9" s="70" t="s">
        <v>1091</v>
      </c>
      <c r="D9" s="72">
        <f>총괄설계내역서!E48</f>
        <v>306868931</v>
      </c>
      <c r="E9" s="75">
        <f>D9/D29*100</f>
        <v>28.633846318932537</v>
      </c>
      <c r="F9" s="79"/>
      <c r="H9" s="19" t="str">
        <f ca="1">HYPERLINK("#"&amp;총괄설계내역서!H2&amp;"!E"&amp;ROW(총괄설계내역서!E48),"총괄표 →")</f>
        <v>총괄표 →</v>
      </c>
    </row>
    <row r="10" spans="1:8" ht="17.100000000000001" customHeight="1" x14ac:dyDescent="0.3">
      <c r="A10" s="139"/>
      <c r="B10" s="139"/>
      <c r="C10" s="70" t="s">
        <v>1092</v>
      </c>
      <c r="D10" s="72">
        <f>총괄설계내역서!D49</f>
        <v>44495994</v>
      </c>
      <c r="E10" s="75">
        <f>D10/D29*100</f>
        <v>4.1519076234020718</v>
      </c>
      <c r="F10" s="82" t="str">
        <f>총괄설계내역서!E49</f>
        <v>직접노무비 x 14.5%</v>
      </c>
      <c r="H10" s="19" t="str">
        <f ca="1">HYPERLINK("#"&amp;총괄설계내역서!H2&amp;"!D"&amp;ROW(총괄설계내역서!D49),"총괄표 →")</f>
        <v>총괄표 →</v>
      </c>
    </row>
    <row r="11" spans="1:8" ht="17.100000000000001" customHeight="1" x14ac:dyDescent="0.3">
      <c r="A11" s="139"/>
      <c r="B11" s="137"/>
      <c r="C11" s="13" t="s">
        <v>1090</v>
      </c>
      <c r="D11" s="74">
        <f>+D9+D10</f>
        <v>351364925</v>
      </c>
      <c r="E11" s="76">
        <f>D11/D29*100</f>
        <v>32.785753942334608</v>
      </c>
      <c r="F11" s="81"/>
    </row>
    <row r="12" spans="1:8" ht="17.100000000000001" customHeight="1" x14ac:dyDescent="0.3">
      <c r="A12" s="139"/>
      <c r="B12" s="138" t="s">
        <v>1111</v>
      </c>
      <c r="C12" s="70" t="s">
        <v>1093</v>
      </c>
      <c r="D12" s="72">
        <f>총괄설계내역서!G48</f>
        <v>149798078</v>
      </c>
      <c r="E12" s="75">
        <f>D12/D29*100</f>
        <v>13.977612951385648</v>
      </c>
      <c r="F12" s="79"/>
      <c r="H12" s="19" t="str">
        <f ca="1">HYPERLINK("#"&amp;총괄설계내역서!H2&amp;"!G"&amp;ROW(총괄설계내역서!G48),"총괄표 →")</f>
        <v>총괄표 →</v>
      </c>
    </row>
    <row r="13" spans="1:8" ht="17.100000000000001" customHeight="1" x14ac:dyDescent="0.3">
      <c r="A13" s="139"/>
      <c r="B13" s="139"/>
      <c r="C13" s="70" t="s">
        <v>1094</v>
      </c>
      <c r="D13" s="72">
        <f>총괄설계내역서!D50</f>
        <v>12508591</v>
      </c>
      <c r="E13" s="75">
        <f>D13/D29*100</f>
        <v>1.1671728095549128</v>
      </c>
      <c r="F13" s="82" t="str">
        <f>총괄설계내역서!E50</f>
        <v>(직접노무비+간접노무비) x 3.56%</v>
      </c>
      <c r="H13" s="19" t="str">
        <f ca="1">HYPERLINK("#"&amp;총괄설계내역서!H2&amp;"!D"&amp;ROW(총괄설계내역서!D50),"총괄표 →")</f>
        <v>총괄표 →</v>
      </c>
    </row>
    <row r="14" spans="1:8" ht="17.100000000000001" customHeight="1" x14ac:dyDescent="0.3">
      <c r="A14" s="139"/>
      <c r="B14" s="139"/>
      <c r="C14" s="70" t="s">
        <v>1095</v>
      </c>
      <c r="D14" s="72">
        <f>총괄설계내역서!D51</f>
        <v>3548785</v>
      </c>
      <c r="E14" s="75">
        <f>D14/D29*100</f>
        <v>0.3311360455351311</v>
      </c>
      <c r="F14" s="82" t="str">
        <f>총괄설계내역서!E51</f>
        <v>(직접노무비+간접노무비) x 1.01%</v>
      </c>
      <c r="H14" s="19" t="str">
        <f ca="1">HYPERLINK("#"&amp;총괄설계내역서!H2&amp;"!D"&amp;ROW(총괄설계내역서!D51),"총괄표 →")</f>
        <v>총괄표 →</v>
      </c>
    </row>
    <row r="15" spans="1:8" ht="17.100000000000001" customHeight="1" x14ac:dyDescent="0.3">
      <c r="A15" s="139"/>
      <c r="B15" s="139"/>
      <c r="C15" s="70" t="s">
        <v>1096</v>
      </c>
      <c r="D15" s="72">
        <f>총괄설계내역서!D52</f>
        <v>12294079</v>
      </c>
      <c r="E15" s="75">
        <f>D15/D29*100</f>
        <v>1.1471567602873938</v>
      </c>
      <c r="F15" s="79"/>
      <c r="H15" s="19" t="str">
        <f ca="1">HYPERLINK("#"&amp;총괄설계내역서!H2&amp;"!D"&amp;ROW(총괄설계내역서!D52),"총괄표 →")</f>
        <v>총괄표 →</v>
      </c>
    </row>
    <row r="16" spans="1:8" ht="17.100000000000001" customHeight="1" x14ac:dyDescent="0.3">
      <c r="A16" s="139"/>
      <c r="B16" s="139"/>
      <c r="C16" s="70" t="s">
        <v>1097</v>
      </c>
      <c r="D16" s="72">
        <f>총괄설계내역서!D53</f>
        <v>1592083</v>
      </c>
      <c r="E16" s="75">
        <f>D16/D29*100</f>
        <v>0.14855677894933284</v>
      </c>
      <c r="F16" s="79"/>
      <c r="H16" s="19" t="str">
        <f ca="1">HYPERLINK("#"&amp;총괄설계내역서!H2&amp;"!D"&amp;ROW(총괄설계내역서!D53),"총괄표 →")</f>
        <v>총괄표 →</v>
      </c>
    </row>
    <row r="17" spans="1:8" ht="17.100000000000001" customHeight="1" x14ac:dyDescent="0.3">
      <c r="A17" s="139"/>
      <c r="B17" s="139"/>
      <c r="C17" s="70" t="s">
        <v>1098</v>
      </c>
      <c r="D17" s="72">
        <f>총괄설계내역서!D54</f>
        <v>15606024</v>
      </c>
      <c r="E17" s="75">
        <f>D17/D29*100</f>
        <v>1.4561933376877858</v>
      </c>
      <c r="F17" s="79"/>
      <c r="H17" s="19" t="str">
        <f ca="1">HYPERLINK("#"&amp;총괄설계내역서!H2&amp;"!D"&amp;ROW(총괄설계내역서!D54),"총괄표 →")</f>
        <v>총괄표 →</v>
      </c>
    </row>
    <row r="18" spans="1:8" ht="17.100000000000001" customHeight="1" x14ac:dyDescent="0.3">
      <c r="A18" s="139"/>
      <c r="B18" s="139"/>
      <c r="C18" s="70" t="s">
        <v>1099</v>
      </c>
      <c r="D18" s="72">
        <f>총괄설계내역서!D55</f>
        <v>16586996</v>
      </c>
      <c r="E18" s="75">
        <f>D18/D29*100</f>
        <v>1.5477275356909581</v>
      </c>
      <c r="F18" s="79"/>
      <c r="H18" s="19" t="str">
        <f ca="1">HYPERLINK("#"&amp;총괄설계내역서!H2&amp;"!D"&amp;ROW(총괄설계내역서!D55),"총괄표 →")</f>
        <v>총괄표 →</v>
      </c>
    </row>
    <row r="19" spans="1:8" ht="17.100000000000001" customHeight="1" x14ac:dyDescent="0.3">
      <c r="A19" s="139"/>
      <c r="B19" s="139"/>
      <c r="C19" s="70" t="s">
        <v>1100</v>
      </c>
      <c r="D19" s="72">
        <f>총괄설계내역서!D56</f>
        <v>31392857</v>
      </c>
      <c r="E19" s="75">
        <f>D19/D29*100</f>
        <v>2.9292579079966408</v>
      </c>
      <c r="F19" s="82" t="str">
        <f>총괄설계내역서!E56</f>
        <v>(직접노무비+간접노무비+재료비) x 6%</v>
      </c>
      <c r="H19" s="19" t="str">
        <f ca="1">HYPERLINK("#"&amp;총괄설계내역서!H2&amp;"!D"&amp;ROW(총괄설계내역서!D56),"총괄표 →")</f>
        <v>총괄표 →</v>
      </c>
    </row>
    <row r="20" spans="1:8" ht="17.100000000000001" customHeight="1" x14ac:dyDescent="0.3">
      <c r="A20" s="139"/>
      <c r="B20" s="139"/>
      <c r="C20" s="70" t="s">
        <v>1101</v>
      </c>
      <c r="D20" s="72">
        <f>총괄설계내역서!D57</f>
        <v>5028131</v>
      </c>
      <c r="E20" s="75">
        <f>D20/D29*100</f>
        <v>0.46917336941308208</v>
      </c>
      <c r="F20" s="82" t="str">
        <f>총괄설계내역서!E57</f>
        <v>(재료비 + 직접노무비 + 산출경비) x 0.8%</v>
      </c>
      <c r="H20" s="19" t="str">
        <f ca="1">HYPERLINK("#"&amp;총괄설계내역서!H2&amp;"!D"&amp;ROW(총괄설계내역서!D57),"총괄표 →")</f>
        <v>총괄표 →</v>
      </c>
    </row>
    <row r="21" spans="1:8" ht="17.100000000000001" customHeight="1" x14ac:dyDescent="0.3">
      <c r="A21" s="139"/>
      <c r="B21" s="139"/>
      <c r="C21" s="70" t="s">
        <v>1102</v>
      </c>
      <c r="D21" s="72">
        <f>총괄설계내역서!D58</f>
        <v>2514065</v>
      </c>
      <c r="E21" s="75">
        <f>D21/D29*100</f>
        <v>0.23458663805169355</v>
      </c>
      <c r="F21" s="82" t="str">
        <f>총괄설계내역서!E58</f>
        <v>(재료비 + 직접노무비 + 산출경비) x 0.4%</v>
      </c>
      <c r="H21" s="19" t="str">
        <f ca="1">HYPERLINK("#"&amp;총괄설계내역서!H2&amp;"!D"&amp;ROW(총괄설계내역서!D58),"총괄표 →")</f>
        <v>총괄표 →</v>
      </c>
    </row>
    <row r="22" spans="1:8" ht="17.100000000000001" customHeight="1" x14ac:dyDescent="0.3">
      <c r="A22" s="137"/>
      <c r="B22" s="137"/>
      <c r="C22" s="71" t="s">
        <v>1090</v>
      </c>
      <c r="D22" s="74">
        <f>+D12+D13+D14+D15+D16+D17+D18+D19+D20+D21</f>
        <v>250869689</v>
      </c>
      <c r="E22" s="76">
        <f>D22/D29*100</f>
        <v>23.40857413455258</v>
      </c>
      <c r="F22" s="81"/>
    </row>
    <row r="23" spans="1:8" ht="17.100000000000001" customHeight="1" x14ac:dyDescent="0.3">
      <c r="A23" s="156" t="s">
        <v>1103</v>
      </c>
      <c r="B23" s="157"/>
      <c r="C23" s="158"/>
      <c r="D23" s="55">
        <f>총괄설계내역서!D60</f>
        <v>46445038</v>
      </c>
      <c r="E23" s="77">
        <f>D23/D29*100</f>
        <v>4.3337723243444994</v>
      </c>
      <c r="F23" s="83" t="str">
        <f>"순공사원가 x "&amp;ROUND(총괄설계내역서!M60,5)&amp;"%"</f>
        <v>순공사원가 x 6%</v>
      </c>
      <c r="H23" s="19" t="str">
        <f ca="1">HYPERLINK("#"&amp;총괄설계내역서!H2&amp;"!D"&amp;ROW(총괄설계내역서!D60),"총괄표 →")</f>
        <v>총괄표 →</v>
      </c>
    </row>
    <row r="24" spans="1:8" ht="17.100000000000001" customHeight="1" x14ac:dyDescent="0.3">
      <c r="A24" s="159" t="s">
        <v>1104</v>
      </c>
      <c r="B24" s="160"/>
      <c r="C24" s="160"/>
      <c r="D24" s="55">
        <f>총괄설계내역서!D62</f>
        <v>90243709</v>
      </c>
      <c r="E24" s="77">
        <f>D24/D29*100</f>
        <v>8.4206129513856496</v>
      </c>
      <c r="F24" s="83" t="str">
        <f>"(노무비+경비+일반관리비) x "&amp;ROUND(총괄설계내역서!M62,5)&amp;"%"</f>
        <v>(노무비+경비+일반관리비) x 13.912%</v>
      </c>
      <c r="H24" s="19" t="str">
        <f ca="1">HYPERLINK("#"&amp;총괄설계내역서!H2&amp;"!D"&amp;ROW(총괄설계내역서!D62),"총괄표 →")</f>
        <v>총괄표 →</v>
      </c>
    </row>
    <row r="25" spans="1:8" ht="17.100000000000001" customHeight="1" x14ac:dyDescent="0.3">
      <c r="A25" s="161" t="s">
        <v>1105</v>
      </c>
      <c r="B25" s="160"/>
      <c r="C25" s="160"/>
      <c r="D25" s="55">
        <f>총괄설계내역서!D63</f>
        <v>910772728</v>
      </c>
      <c r="E25" s="77">
        <f>D25/D29*100</f>
        <v>84.9839253522441</v>
      </c>
      <c r="F25" s="44"/>
      <c r="H25" s="19" t="str">
        <f ca="1">HYPERLINK("#"&amp;총괄설계내역서!H2&amp;"!D"&amp;ROW(총괄설계내역서!D63),"총괄표 →")</f>
        <v>총괄표 →</v>
      </c>
    </row>
    <row r="26" spans="1:8" ht="17.100000000000001" customHeight="1" x14ac:dyDescent="0.3">
      <c r="A26" s="159" t="s">
        <v>1106</v>
      </c>
      <c r="B26" s="160"/>
      <c r="C26" s="160"/>
      <c r="D26" s="55">
        <f>총괄설계내역서!D64</f>
        <v>91077272</v>
      </c>
      <c r="E26" s="77">
        <f>D26/D29*100</f>
        <v>8.4983924605766532</v>
      </c>
      <c r="F26" s="83" t="str">
        <f>"총 원 가 x "&amp;ROUND(총괄설계내역서!M64,5)&amp;"%"</f>
        <v>총 원 가 x 10%</v>
      </c>
      <c r="H26" s="19" t="str">
        <f ca="1">HYPERLINK("#"&amp;총괄설계내역서!H2&amp;"!D"&amp;ROW(총괄설계내역서!D64),"총괄표 →")</f>
        <v>총괄표 →</v>
      </c>
    </row>
    <row r="27" spans="1:8" ht="17.100000000000001" customHeight="1" x14ac:dyDescent="0.3">
      <c r="A27" s="161" t="s">
        <v>1107</v>
      </c>
      <c r="B27" s="160"/>
      <c r="C27" s="160"/>
      <c r="D27" s="55">
        <f>총괄설계내역서!D65</f>
        <v>1001850000</v>
      </c>
      <c r="E27" s="77">
        <f>D27/D29*100</f>
        <v>93.482317812820753</v>
      </c>
      <c r="F27" s="44"/>
      <c r="H27" s="19" t="str">
        <f ca="1">HYPERLINK("#"&amp;총괄설계내역서!H2&amp;"!D"&amp;ROW(총괄설계내역서!D65),"총괄표 →")</f>
        <v>총괄표 →</v>
      </c>
    </row>
    <row r="28" spans="1:8" ht="17.100000000000001" customHeight="1" x14ac:dyDescent="0.3">
      <c r="A28" s="159" t="s">
        <v>1108</v>
      </c>
      <c r="B28" s="160"/>
      <c r="C28" s="160"/>
      <c r="D28" s="55">
        <f>총괄설계내역서!D66</f>
        <v>69850000</v>
      </c>
      <c r="E28" s="77">
        <f>D28/D29*100</f>
        <v>6.5176821871792479</v>
      </c>
      <c r="F28" s="83" t="str">
        <f>총괄설계내역서!E66</f>
        <v>원자재대: 69,849,380 (조달수수료: 375,160 포함)</v>
      </c>
      <c r="H28" s="19" t="str">
        <f ca="1">HYPERLINK("#"&amp;총괄설계내역서!H2&amp;"!D"&amp;ROW(총괄설계내역서!D66),"총괄표 →")</f>
        <v>총괄표 →</v>
      </c>
    </row>
    <row r="29" spans="1:8" ht="17.100000000000001" customHeight="1" x14ac:dyDescent="0.3">
      <c r="A29" s="161" t="s">
        <v>1109</v>
      </c>
      <c r="B29" s="160"/>
      <c r="C29" s="160"/>
      <c r="D29" s="55">
        <f>총괄설계내역서!D67</f>
        <v>1071700000</v>
      </c>
      <c r="E29" s="77">
        <v>100</v>
      </c>
      <c r="F29" s="44"/>
      <c r="H29" s="19" t="str">
        <f ca="1">HYPERLINK("#"&amp;총괄설계내역서!H2&amp;"!D"&amp;ROW(총괄설계내역서!D67),"총괄표 →")</f>
        <v>총괄표 →</v>
      </c>
    </row>
  </sheetData>
  <mergeCells count="17">
    <mergeCell ref="A25:C25"/>
    <mergeCell ref="A26:C26"/>
    <mergeCell ref="A27:C27"/>
    <mergeCell ref="A28:C28"/>
    <mergeCell ref="A29:C29"/>
    <mergeCell ref="A5:A22"/>
    <mergeCell ref="B5:B8"/>
    <mergeCell ref="B9:B11"/>
    <mergeCell ref="B12:B22"/>
    <mergeCell ref="A23:C23"/>
    <mergeCell ref="A24:C24"/>
    <mergeCell ref="A1:F1"/>
    <mergeCell ref="A3:C3"/>
    <mergeCell ref="D3:D4"/>
    <mergeCell ref="E3:E4"/>
    <mergeCell ref="F3:F4"/>
    <mergeCell ref="A4:C4"/>
  </mergeCells>
  <phoneticPr fontId="23" type="noConversion"/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G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>
    <oddFooter xml:space="preserve">&amp;R&amp;"굴림체,"&amp;9 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2" width="26.5" style="5" customWidth="1"/>
    <col min="3" max="3" width="22.75" style="5" customWidth="1"/>
    <col min="4" max="7" width="17.5" style="5" customWidth="1"/>
    <col min="8" max="8" width="9.125" style="15" hidden="1" customWidth="1"/>
    <col min="9" max="12" width="2.125" style="5" customWidth="1"/>
    <col min="13" max="14" width="4" style="5" customWidth="1"/>
    <col min="15" max="16" width="4" style="15" customWidth="1"/>
    <col min="17" max="17" width="9.125" style="17" customWidth="1"/>
    <col min="18" max="16384" width="9.125" style="5"/>
  </cols>
  <sheetData>
    <row r="1" spans="1:17" ht="24.95" customHeight="1" x14ac:dyDescent="0.3">
      <c r="A1" s="130" t="s">
        <v>798</v>
      </c>
      <c r="B1" s="131"/>
      <c r="C1" s="131"/>
      <c r="D1" s="131"/>
      <c r="E1" s="131"/>
      <c r="F1" s="131"/>
      <c r="G1" s="131"/>
      <c r="H1" s="18" t="s">
        <v>166</v>
      </c>
      <c r="Q1" s="18" t="s">
        <v>166</v>
      </c>
    </row>
    <row r="2" spans="1:17" ht="24" customHeight="1" x14ac:dyDescent="0.3">
      <c r="A2" s="1" t="s">
        <v>1</v>
      </c>
      <c r="H2" s="21" t="str">
        <f ca="1">MID(CELL("filename",$A$1),FIND("]",CELL("filename",$A$1))+1,LEN(CELL("filename",$A$1)))</f>
        <v>총괄설계내역서</v>
      </c>
    </row>
    <row r="3" spans="1:17" ht="24" customHeight="1" x14ac:dyDescent="0.3">
      <c r="A3" s="7" t="s">
        <v>640</v>
      </c>
      <c r="B3" s="7" t="s">
        <v>3</v>
      </c>
      <c r="C3" s="7" t="s">
        <v>4</v>
      </c>
      <c r="D3" s="7" t="s">
        <v>6</v>
      </c>
      <c r="E3" s="7" t="s">
        <v>7</v>
      </c>
      <c r="F3" s="7" t="s">
        <v>8</v>
      </c>
      <c r="G3" s="13" t="s">
        <v>9</v>
      </c>
      <c r="H3" s="16" t="s">
        <v>623</v>
      </c>
      <c r="Q3" s="19" t="str">
        <f>HYPERLINK("#'〓 목 차 〓'!B2","목차 →")</f>
        <v>목차 →</v>
      </c>
    </row>
    <row r="4" spans="1:17" ht="24" customHeight="1" x14ac:dyDescent="0.3">
      <c r="A4" s="9" t="s">
        <v>613</v>
      </c>
      <c r="B4" s="9" t="s">
        <v>609</v>
      </c>
      <c r="C4" s="9" t="s">
        <v>600</v>
      </c>
      <c r="D4" s="55">
        <f>착공내역서!G5</f>
        <v>628516376</v>
      </c>
      <c r="E4" s="54">
        <f>착공내역서!I5</f>
        <v>306868931</v>
      </c>
      <c r="F4" s="63">
        <f>착공내역서!K5</f>
        <v>171849367</v>
      </c>
      <c r="G4" s="55">
        <f>착공내역서!M5</f>
        <v>149798078</v>
      </c>
      <c r="Q4" s="19" t="str">
        <f ca="1">HYPERLINK("#"&amp;착공내역서!O2&amp;"!A"&amp;ROW(착공내역서!A5),"내역 →")</f>
        <v>내역 →</v>
      </c>
    </row>
    <row r="5" spans="1:17" ht="24" customHeight="1" x14ac:dyDescent="0.3">
      <c r="A5" s="9" t="s">
        <v>587</v>
      </c>
      <c r="B5" s="9" t="s">
        <v>579</v>
      </c>
      <c r="C5" s="9" t="s">
        <v>575</v>
      </c>
      <c r="D5" s="55">
        <f>착공내역서!G6</f>
        <v>203176002</v>
      </c>
      <c r="E5" s="54">
        <f>착공내역서!I6</f>
        <v>104681810</v>
      </c>
      <c r="F5" s="63">
        <f>착공내역서!K6</f>
        <v>53000792</v>
      </c>
      <c r="G5" s="55">
        <f>착공내역서!M6</f>
        <v>45493400</v>
      </c>
      <c r="Q5" s="19" t="str">
        <f ca="1">HYPERLINK("#"&amp;착공내역서!O2&amp;"!A"&amp;ROW(착공내역서!A6),"내역 →")</f>
        <v>내역 →</v>
      </c>
    </row>
    <row r="6" spans="1:17" ht="24" customHeight="1" x14ac:dyDescent="0.3">
      <c r="A6" s="9" t="s">
        <v>557</v>
      </c>
      <c r="B6" s="9" t="s">
        <v>548</v>
      </c>
      <c r="C6" s="9"/>
      <c r="D6" s="55">
        <f>착공내역서!G7</f>
        <v>120959531</v>
      </c>
      <c r="E6" s="54">
        <f>착공내역서!I7</f>
        <v>61326772</v>
      </c>
      <c r="F6" s="63">
        <f>착공내역서!K7</f>
        <v>33028541</v>
      </c>
      <c r="G6" s="55">
        <f>착공내역서!M7</f>
        <v>26604218</v>
      </c>
      <c r="Q6" s="19" t="str">
        <f ca="1">HYPERLINK("#"&amp;착공내역서!O2&amp;"!A"&amp;ROW(착공내역서!A7),"내역 →")</f>
        <v>내역 →</v>
      </c>
    </row>
    <row r="7" spans="1:17" ht="24" customHeight="1" x14ac:dyDescent="0.3">
      <c r="A7" s="9" t="s">
        <v>533</v>
      </c>
      <c r="B7" s="9" t="s">
        <v>530</v>
      </c>
      <c r="C7" s="9"/>
      <c r="D7" s="55">
        <f>착공내역서!G8</f>
        <v>2984102</v>
      </c>
      <c r="E7" s="54">
        <f>착공내역서!I8</f>
        <v>2131972</v>
      </c>
      <c r="F7" s="63">
        <f>착공내역서!K8</f>
        <v>497414</v>
      </c>
      <c r="G7" s="55">
        <f>착공내역서!M8</f>
        <v>354716</v>
      </c>
      <c r="Q7" s="19" t="str">
        <f ca="1">HYPERLINK("#"&amp;착공내역서!O2&amp;"!A"&amp;ROW(착공내역서!A8),"내역 →")</f>
        <v>내역 →</v>
      </c>
    </row>
    <row r="8" spans="1:17" ht="24" customHeight="1" x14ac:dyDescent="0.3">
      <c r="A8" s="9" t="s">
        <v>799</v>
      </c>
      <c r="B8" s="9" t="s">
        <v>800</v>
      </c>
      <c r="C8" s="9"/>
      <c r="D8" s="55">
        <f>착공내역서!G13</f>
        <v>68935582</v>
      </c>
      <c r="E8" s="54">
        <f>착공내역서!I13</f>
        <v>30868232</v>
      </c>
      <c r="F8" s="63">
        <f>착공내역서!K13</f>
        <v>24252024</v>
      </c>
      <c r="G8" s="55">
        <f>착공내역서!M13</f>
        <v>13815326</v>
      </c>
      <c r="Q8" s="19" t="str">
        <f ca="1">HYPERLINK("#"&amp;착공내역서!O2&amp;"!A"&amp;ROW(착공내역서!A13),"내역 →")</f>
        <v>내역 →</v>
      </c>
    </row>
    <row r="9" spans="1:17" ht="24" customHeight="1" x14ac:dyDescent="0.3">
      <c r="A9" s="9" t="s">
        <v>810</v>
      </c>
      <c r="B9" s="9" t="s">
        <v>811</v>
      </c>
      <c r="C9" s="9"/>
      <c r="D9" s="55">
        <f>착공내역서!G18</f>
        <v>3677714</v>
      </c>
      <c r="E9" s="54">
        <f>착공내역서!I18</f>
        <v>2065677</v>
      </c>
      <c r="F9" s="63">
        <f>착공내역서!K18</f>
        <v>669449</v>
      </c>
      <c r="G9" s="55">
        <f>착공내역서!M18</f>
        <v>942588</v>
      </c>
      <c r="Q9" s="19" t="str">
        <f ca="1">HYPERLINK("#"&amp;착공내역서!O2&amp;"!A"&amp;ROW(착공내역서!A18),"내역 →")</f>
        <v>내역 →</v>
      </c>
    </row>
    <row r="10" spans="1:17" ht="24" customHeight="1" x14ac:dyDescent="0.3">
      <c r="A10" s="9" t="s">
        <v>821</v>
      </c>
      <c r="B10" s="9" t="s">
        <v>822</v>
      </c>
      <c r="C10" s="9"/>
      <c r="D10" s="55">
        <f>착공내역서!G23</f>
        <v>5018377</v>
      </c>
      <c r="E10" s="54">
        <f>착공내역서!I23</f>
        <v>2620375</v>
      </c>
      <c r="F10" s="63">
        <f>착공내역서!K23</f>
        <v>862776</v>
      </c>
      <c r="G10" s="55">
        <f>착공내역서!M23</f>
        <v>1535226</v>
      </c>
      <c r="Q10" s="19" t="str">
        <f ca="1">HYPERLINK("#"&amp;착공내역서!O2&amp;"!A"&amp;ROW(착공내역서!A23),"내역 →")</f>
        <v>내역 →</v>
      </c>
    </row>
    <row r="11" spans="1:17" ht="24" customHeight="1" x14ac:dyDescent="0.3">
      <c r="A11" s="9" t="s">
        <v>829</v>
      </c>
      <c r="B11" s="9" t="s">
        <v>830</v>
      </c>
      <c r="C11" s="9"/>
      <c r="D11" s="55">
        <f>착공내역서!G27</f>
        <v>30107384</v>
      </c>
      <c r="E11" s="54">
        <f>착공내역서!I27</f>
        <v>17863818</v>
      </c>
      <c r="F11" s="63">
        <f>착공내역서!K27</f>
        <v>4887384</v>
      </c>
      <c r="G11" s="55">
        <f>착공내역서!M27</f>
        <v>7356182</v>
      </c>
      <c r="Q11" s="19" t="str">
        <f ca="1">HYPERLINK("#"&amp;착공내역서!O2&amp;"!A"&amp;ROW(착공내역서!A27),"내역 →")</f>
        <v>내역 →</v>
      </c>
    </row>
    <row r="12" spans="1:17" ht="24" customHeight="1" x14ac:dyDescent="0.3">
      <c r="A12" s="9" t="s">
        <v>846</v>
      </c>
      <c r="B12" s="9" t="s">
        <v>847</v>
      </c>
      <c r="C12" s="9"/>
      <c r="D12" s="55">
        <f>착공내역서!G34</f>
        <v>10236372</v>
      </c>
      <c r="E12" s="54">
        <f>착공내역서!I34</f>
        <v>5776698</v>
      </c>
      <c r="F12" s="63">
        <f>착공내역서!K34</f>
        <v>1859494</v>
      </c>
      <c r="G12" s="55">
        <f>착공내역서!M34</f>
        <v>2600180</v>
      </c>
      <c r="Q12" s="19" t="str">
        <f ca="1">HYPERLINK("#"&amp;착공내역서!O2&amp;"!A"&amp;ROW(착공내역서!A34),"내역 →")</f>
        <v>내역 →</v>
      </c>
    </row>
    <row r="13" spans="1:17" ht="24" customHeight="1" x14ac:dyDescent="0.3">
      <c r="A13" s="9" t="s">
        <v>797</v>
      </c>
      <c r="B13" s="9" t="s">
        <v>857</v>
      </c>
      <c r="C13" s="9"/>
      <c r="D13" s="55">
        <f>착공내역서!G39</f>
        <v>57968748</v>
      </c>
      <c r="E13" s="54">
        <f>착공내역서!I39</f>
        <v>43355038</v>
      </c>
      <c r="F13" s="63">
        <f>착공내역서!K39</f>
        <v>6389271</v>
      </c>
      <c r="G13" s="55">
        <f>착공내역서!M39</f>
        <v>8224439</v>
      </c>
      <c r="Q13" s="19" t="str">
        <f ca="1">HYPERLINK("#"&amp;착공내역서!O2&amp;"!A"&amp;ROW(착공내역서!A39),"내역 →")</f>
        <v>내역 →</v>
      </c>
    </row>
    <row r="14" spans="1:17" ht="24" customHeight="1" x14ac:dyDescent="0.3">
      <c r="A14" s="9" t="s">
        <v>860</v>
      </c>
      <c r="B14" s="9" t="s">
        <v>861</v>
      </c>
      <c r="C14" s="9"/>
      <c r="D14" s="55">
        <f>착공내역서!G40</f>
        <v>18800398</v>
      </c>
      <c r="E14" s="54">
        <f>착공내역서!I40</f>
        <v>14290984</v>
      </c>
      <c r="F14" s="63">
        <f>착공내역서!K40</f>
        <v>1773564</v>
      </c>
      <c r="G14" s="55">
        <f>착공내역서!M40</f>
        <v>2735850</v>
      </c>
      <c r="Q14" s="19" t="str">
        <f ca="1">HYPERLINK("#"&amp;착공내역서!O2&amp;"!A"&amp;ROW(착공내역서!A40),"내역 →")</f>
        <v>내역 →</v>
      </c>
    </row>
    <row r="15" spans="1:17" ht="24" customHeight="1" x14ac:dyDescent="0.3">
      <c r="A15" s="9" t="s">
        <v>877</v>
      </c>
      <c r="B15" s="9" t="s">
        <v>878</v>
      </c>
      <c r="C15" s="9"/>
      <c r="D15" s="55">
        <f>착공내역서!G47</f>
        <v>8780032</v>
      </c>
      <c r="E15" s="54">
        <f>착공내역서!I47</f>
        <v>7049856</v>
      </c>
      <c r="F15" s="63">
        <f>착공내역서!K47</f>
        <v>737924</v>
      </c>
      <c r="G15" s="55">
        <f>착공내역서!M47</f>
        <v>992252</v>
      </c>
      <c r="Q15" s="19" t="str">
        <f ca="1">HYPERLINK("#"&amp;착공내역서!O2&amp;"!A"&amp;ROW(착공내역서!A47),"내역 →")</f>
        <v>내역 →</v>
      </c>
    </row>
    <row r="16" spans="1:17" ht="24" customHeight="1" x14ac:dyDescent="0.3">
      <c r="A16" s="9" t="s">
        <v>894</v>
      </c>
      <c r="B16" s="9" t="s">
        <v>895</v>
      </c>
      <c r="C16" s="9"/>
      <c r="D16" s="55">
        <f>착공내역서!G54</f>
        <v>30388318</v>
      </c>
      <c r="E16" s="54">
        <f>착공내역서!I54</f>
        <v>22014198</v>
      </c>
      <c r="F16" s="63">
        <f>착공내역서!K54</f>
        <v>3877783</v>
      </c>
      <c r="G16" s="55">
        <f>착공내역서!M54</f>
        <v>4496337</v>
      </c>
      <c r="Q16" s="19" t="str">
        <f ca="1">HYPERLINK("#"&amp;착공내역서!O2&amp;"!A"&amp;ROW(착공내역서!A54),"내역 →")</f>
        <v>내역 →</v>
      </c>
    </row>
    <row r="17" spans="1:17" ht="24" customHeight="1" x14ac:dyDescent="0.3">
      <c r="A17" s="9" t="s">
        <v>859</v>
      </c>
      <c r="B17" s="9" t="s">
        <v>858</v>
      </c>
      <c r="C17" s="9"/>
      <c r="D17" s="55">
        <f>착공내역서!G60</f>
        <v>10664743</v>
      </c>
      <c r="E17" s="54">
        <f>착공내역서!I60</f>
        <v>0</v>
      </c>
      <c r="F17" s="63">
        <f>착공내역서!K60</f>
        <v>0</v>
      </c>
      <c r="G17" s="55">
        <f>착공내역서!M60</f>
        <v>10664743</v>
      </c>
      <c r="Q17" s="19" t="str">
        <f ca="1">HYPERLINK("#"&amp;착공내역서!O2&amp;"!A"&amp;ROW(착공내역서!A60),"내역 →")</f>
        <v>내역 →</v>
      </c>
    </row>
    <row r="18" spans="1:17" ht="24" customHeight="1" x14ac:dyDescent="0.3">
      <c r="A18" s="9" t="s">
        <v>926</v>
      </c>
      <c r="B18" s="9" t="s">
        <v>927</v>
      </c>
      <c r="C18" s="9"/>
      <c r="D18" s="55">
        <f>착공내역서!G68</f>
        <v>13582980</v>
      </c>
      <c r="E18" s="54">
        <f>착공내역서!I68</f>
        <v>0</v>
      </c>
      <c r="F18" s="63">
        <f>착공내역서!K68</f>
        <v>13582980</v>
      </c>
      <c r="G18" s="55">
        <f>착공내역서!M68</f>
        <v>0</v>
      </c>
      <c r="Q18" s="19" t="str">
        <f ca="1">HYPERLINK("#"&amp;착공내역서!O2&amp;"!A"&amp;ROW(착공내역서!A68),"내역 →")</f>
        <v>내역 →</v>
      </c>
    </row>
    <row r="19" spans="1:17" ht="24" customHeight="1" x14ac:dyDescent="0.3">
      <c r="A19" s="9" t="s">
        <v>587</v>
      </c>
      <c r="B19" s="9" t="s">
        <v>940</v>
      </c>
      <c r="C19" s="9" t="s">
        <v>575</v>
      </c>
      <c r="D19" s="55">
        <f>착공내역서!G85</f>
        <v>177998206</v>
      </c>
      <c r="E19" s="54">
        <f>착공내역서!I85</f>
        <v>98024005</v>
      </c>
      <c r="F19" s="63">
        <f>착공내역서!K85</f>
        <v>38326949</v>
      </c>
      <c r="G19" s="55">
        <f>착공내역서!M85</f>
        <v>41647252</v>
      </c>
      <c r="Q19" s="19" t="str">
        <f ca="1">HYPERLINK("#"&amp;착공내역서!O2&amp;"!A"&amp;ROW(착공내역서!A85),"내역 →")</f>
        <v>내역 →</v>
      </c>
    </row>
    <row r="20" spans="1:17" ht="24" customHeight="1" x14ac:dyDescent="0.3">
      <c r="A20" s="9" t="s">
        <v>557</v>
      </c>
      <c r="B20" s="9" t="s">
        <v>548</v>
      </c>
      <c r="C20" s="9"/>
      <c r="D20" s="55">
        <f>착공내역서!G86</f>
        <v>130206585</v>
      </c>
      <c r="E20" s="54">
        <f>착공내역서!I86</f>
        <v>68242609</v>
      </c>
      <c r="F20" s="63">
        <f>착공내역서!K86</f>
        <v>29415558</v>
      </c>
      <c r="G20" s="55">
        <f>착공내역서!M86</f>
        <v>32548418</v>
      </c>
      <c r="Q20" s="19" t="str">
        <f ca="1">HYPERLINK("#"&amp;착공내역서!O2&amp;"!A"&amp;ROW(착공내역서!A86),"내역 →")</f>
        <v>내역 →</v>
      </c>
    </row>
    <row r="21" spans="1:17" ht="24" customHeight="1" x14ac:dyDescent="0.3">
      <c r="A21" s="9" t="s">
        <v>533</v>
      </c>
      <c r="B21" s="9" t="s">
        <v>530</v>
      </c>
      <c r="C21" s="9"/>
      <c r="D21" s="55">
        <f>착공내역서!G87</f>
        <v>2893770</v>
      </c>
      <c r="E21" s="54">
        <f>착공내역서!I87</f>
        <v>1997264</v>
      </c>
      <c r="F21" s="63">
        <f>착공내역서!K87</f>
        <v>481582</v>
      </c>
      <c r="G21" s="55">
        <f>착공내역서!M87</f>
        <v>414924</v>
      </c>
      <c r="Q21" s="19" t="str">
        <f ca="1">HYPERLINK("#"&amp;착공내역서!O2&amp;"!A"&amp;ROW(착공내역서!A87),"내역 →")</f>
        <v>내역 →</v>
      </c>
    </row>
    <row r="22" spans="1:17" ht="24" customHeight="1" x14ac:dyDescent="0.3">
      <c r="A22" s="9" t="s">
        <v>799</v>
      </c>
      <c r="B22" s="9" t="s">
        <v>800</v>
      </c>
      <c r="C22" s="9"/>
      <c r="D22" s="55">
        <f>착공내역서!G92</f>
        <v>83799350</v>
      </c>
      <c r="E22" s="54">
        <f>착공내역서!I92</f>
        <v>41196975</v>
      </c>
      <c r="F22" s="63">
        <f>착공내역서!K92</f>
        <v>21624033</v>
      </c>
      <c r="G22" s="55">
        <f>착공내역서!M92</f>
        <v>20978342</v>
      </c>
      <c r="Q22" s="19" t="str">
        <f ca="1">HYPERLINK("#"&amp;착공내역서!O2&amp;"!A"&amp;ROW(착공내역서!A92),"내역 →")</f>
        <v>내역 →</v>
      </c>
    </row>
    <row r="23" spans="1:17" ht="24" customHeight="1" x14ac:dyDescent="0.3">
      <c r="A23" s="9" t="s">
        <v>810</v>
      </c>
      <c r="B23" s="9" t="s">
        <v>811</v>
      </c>
      <c r="C23" s="9"/>
      <c r="D23" s="55">
        <f>착공내역서!G97</f>
        <v>7681720</v>
      </c>
      <c r="E23" s="54">
        <f>착공내역서!I97</f>
        <v>4111610</v>
      </c>
      <c r="F23" s="63">
        <f>착공내역서!K97</f>
        <v>1348146</v>
      </c>
      <c r="G23" s="55">
        <f>착공내역서!M97</f>
        <v>2221964</v>
      </c>
      <c r="Q23" s="19" t="str">
        <f ca="1">HYPERLINK("#"&amp;착공내역서!O2&amp;"!A"&amp;ROW(착공내역서!A97),"내역 →")</f>
        <v>내역 →</v>
      </c>
    </row>
    <row r="24" spans="1:17" ht="24" customHeight="1" x14ac:dyDescent="0.3">
      <c r="A24" s="9" t="s">
        <v>821</v>
      </c>
      <c r="B24" s="9" t="s">
        <v>822</v>
      </c>
      <c r="C24" s="9"/>
      <c r="D24" s="55">
        <f>착공내역서!G102</f>
        <v>4658909</v>
      </c>
      <c r="E24" s="54">
        <f>착공내역서!I102</f>
        <v>2435175</v>
      </c>
      <c r="F24" s="63">
        <f>착공내역서!K102</f>
        <v>801052</v>
      </c>
      <c r="G24" s="55">
        <f>착공내역서!M102</f>
        <v>1422682</v>
      </c>
      <c r="Q24" s="19" t="str">
        <f ca="1">HYPERLINK("#"&amp;착공내역서!O2&amp;"!A"&amp;ROW(착공내역서!A102),"내역 →")</f>
        <v>내역 →</v>
      </c>
    </row>
    <row r="25" spans="1:17" ht="24" customHeight="1" x14ac:dyDescent="0.3">
      <c r="A25" s="9" t="s">
        <v>829</v>
      </c>
      <c r="B25" s="9" t="s">
        <v>830</v>
      </c>
      <c r="C25" s="9"/>
      <c r="D25" s="55">
        <f>착공내역서!G106</f>
        <v>23650802</v>
      </c>
      <c r="E25" s="54">
        <f>착공내역서!I106</f>
        <v>14039690</v>
      </c>
      <c r="F25" s="63">
        <f>착공내역서!K106</f>
        <v>3878564</v>
      </c>
      <c r="G25" s="55">
        <f>착공내역서!M106</f>
        <v>5732548</v>
      </c>
      <c r="Q25" s="19" t="str">
        <f ca="1">HYPERLINK("#"&amp;착공내역서!O2&amp;"!A"&amp;ROW(착공내역서!A106),"내역 →")</f>
        <v>내역 →</v>
      </c>
    </row>
    <row r="26" spans="1:17" ht="24" customHeight="1" x14ac:dyDescent="0.3">
      <c r="A26" s="9" t="s">
        <v>846</v>
      </c>
      <c r="B26" s="9" t="s">
        <v>847</v>
      </c>
      <c r="C26" s="9"/>
      <c r="D26" s="55">
        <f>착공내역서!G113</f>
        <v>7522034</v>
      </c>
      <c r="E26" s="54">
        <f>착공내역서!I113</f>
        <v>4461895</v>
      </c>
      <c r="F26" s="63">
        <f>착공내역서!K113</f>
        <v>1282181</v>
      </c>
      <c r="G26" s="55">
        <f>착공내역서!M113</f>
        <v>1777958</v>
      </c>
      <c r="Q26" s="19" t="str">
        <f ca="1">HYPERLINK("#"&amp;착공내역서!O2&amp;"!A"&amp;ROW(착공내역서!A113),"내역 →")</f>
        <v>내역 →</v>
      </c>
    </row>
    <row r="27" spans="1:17" ht="24" customHeight="1" x14ac:dyDescent="0.3">
      <c r="A27" s="9" t="s">
        <v>797</v>
      </c>
      <c r="B27" s="9" t="s">
        <v>857</v>
      </c>
      <c r="C27" s="9"/>
      <c r="D27" s="55">
        <f>착공내역서!G118</f>
        <v>40500888</v>
      </c>
      <c r="E27" s="54">
        <f>착공내역서!I118</f>
        <v>29781396</v>
      </c>
      <c r="F27" s="63">
        <f>착공내역서!K118</f>
        <v>4965176</v>
      </c>
      <c r="G27" s="55">
        <f>착공내역서!M118</f>
        <v>5754316</v>
      </c>
      <c r="Q27" s="19" t="str">
        <f ca="1">HYPERLINK("#"&amp;착공내역서!O2&amp;"!A"&amp;ROW(착공내역서!A118),"내역 →")</f>
        <v>내역 →</v>
      </c>
    </row>
    <row r="28" spans="1:17" ht="24" customHeight="1" x14ac:dyDescent="0.3">
      <c r="A28" s="9" t="s">
        <v>860</v>
      </c>
      <c r="B28" s="9" t="s">
        <v>861</v>
      </c>
      <c r="C28" s="9"/>
      <c r="D28" s="55">
        <f>착공내역서!G119</f>
        <v>21761020</v>
      </c>
      <c r="E28" s="54">
        <f>착공내역서!I119</f>
        <v>15937400</v>
      </c>
      <c r="F28" s="63">
        <f>착공내역서!K119</f>
        <v>2430500</v>
      </c>
      <c r="G28" s="55">
        <f>착공내역서!M119</f>
        <v>3393120</v>
      </c>
      <c r="Q28" s="19" t="str">
        <f ca="1">HYPERLINK("#"&amp;착공내역서!O2&amp;"!A"&amp;ROW(착공내역서!A119),"내역 →")</f>
        <v>내역 →</v>
      </c>
    </row>
    <row r="29" spans="1:17" ht="24" customHeight="1" x14ac:dyDescent="0.3">
      <c r="A29" s="9" t="s">
        <v>877</v>
      </c>
      <c r="B29" s="9" t="s">
        <v>878</v>
      </c>
      <c r="C29" s="9"/>
      <c r="D29" s="55">
        <f>착공내역서!G124</f>
        <v>8670038</v>
      </c>
      <c r="E29" s="54">
        <f>착공내역서!I124</f>
        <v>6875036</v>
      </c>
      <c r="F29" s="63">
        <f>착공내역서!K124</f>
        <v>758226</v>
      </c>
      <c r="G29" s="55">
        <f>착공내역서!M124</f>
        <v>1036776</v>
      </c>
      <c r="Q29" s="19" t="str">
        <f ca="1">HYPERLINK("#"&amp;착공내역서!O2&amp;"!A"&amp;ROW(착공내역서!A124),"내역 →")</f>
        <v>내역 →</v>
      </c>
    </row>
    <row r="30" spans="1:17" ht="24" customHeight="1" x14ac:dyDescent="0.3">
      <c r="A30" s="9" t="s">
        <v>894</v>
      </c>
      <c r="B30" s="9" t="s">
        <v>895</v>
      </c>
      <c r="C30" s="9"/>
      <c r="D30" s="55">
        <f>착공내역서!G132</f>
        <v>10069830</v>
      </c>
      <c r="E30" s="54">
        <f>착공내역서!I132</f>
        <v>6968960</v>
      </c>
      <c r="F30" s="63">
        <f>착공내역서!K132</f>
        <v>1776450</v>
      </c>
      <c r="G30" s="55">
        <f>착공내역서!M132</f>
        <v>1324420</v>
      </c>
      <c r="Q30" s="19" t="str">
        <f ca="1">HYPERLINK("#"&amp;착공내역서!O2&amp;"!A"&amp;ROW(착공내역서!A132),"내역 →")</f>
        <v>내역 →</v>
      </c>
    </row>
    <row r="31" spans="1:17" ht="24" customHeight="1" x14ac:dyDescent="0.3">
      <c r="A31" s="9" t="s">
        <v>859</v>
      </c>
      <c r="B31" s="9" t="s">
        <v>858</v>
      </c>
      <c r="C31" s="9"/>
      <c r="D31" s="55">
        <f>착공내역서!G137</f>
        <v>3344518</v>
      </c>
      <c r="E31" s="54">
        <f>착공내역서!I137</f>
        <v>0</v>
      </c>
      <c r="F31" s="63">
        <f>착공내역서!K137</f>
        <v>0</v>
      </c>
      <c r="G31" s="55">
        <f>착공내역서!M137</f>
        <v>3344518</v>
      </c>
      <c r="Q31" s="19" t="str">
        <f ca="1">HYPERLINK("#"&amp;착공내역서!O2&amp;"!A"&amp;ROW(착공내역서!A137),"내역 →")</f>
        <v>내역 →</v>
      </c>
    </row>
    <row r="32" spans="1:17" ht="24" customHeight="1" x14ac:dyDescent="0.3">
      <c r="A32" s="9" t="s">
        <v>926</v>
      </c>
      <c r="B32" s="9" t="s">
        <v>927</v>
      </c>
      <c r="C32" s="9"/>
      <c r="D32" s="55">
        <f>착공내역서!G145</f>
        <v>3946215</v>
      </c>
      <c r="E32" s="54">
        <f>착공내역서!I145</f>
        <v>0</v>
      </c>
      <c r="F32" s="63">
        <f>착공내역서!K145</f>
        <v>3946215</v>
      </c>
      <c r="G32" s="55">
        <f>착공내역서!M145</f>
        <v>0</v>
      </c>
      <c r="Q32" s="19" t="str">
        <f ca="1">HYPERLINK("#"&amp;착공내역서!O2&amp;"!A"&amp;ROW(착공내역서!A145),"내역 →")</f>
        <v>내역 →</v>
      </c>
    </row>
    <row r="33" spans="1:17" ht="24" customHeight="1" x14ac:dyDescent="0.3">
      <c r="A33" s="9" t="s">
        <v>587</v>
      </c>
      <c r="B33" s="9" t="s">
        <v>941</v>
      </c>
      <c r="C33" s="9" t="s">
        <v>942</v>
      </c>
      <c r="D33" s="55">
        <f>착공내역서!G165</f>
        <v>247342168</v>
      </c>
      <c r="E33" s="54">
        <f>착공내역서!I165</f>
        <v>104163116</v>
      </c>
      <c r="F33" s="63">
        <f>착공내역서!K165</f>
        <v>80521626</v>
      </c>
      <c r="G33" s="55">
        <f>착공내역서!M165</f>
        <v>62657426</v>
      </c>
      <c r="Q33" s="19" t="str">
        <f ca="1">HYPERLINK("#"&amp;착공내역서!O2&amp;"!A"&amp;ROW(착공내역서!A165),"내역 →")</f>
        <v>내역 →</v>
      </c>
    </row>
    <row r="34" spans="1:17" ht="24" customHeight="1" x14ac:dyDescent="0.3">
      <c r="A34" s="9" t="s">
        <v>557</v>
      </c>
      <c r="B34" s="9" t="s">
        <v>548</v>
      </c>
      <c r="C34" s="9"/>
      <c r="D34" s="55">
        <f>착공내역서!G166</f>
        <v>168038060</v>
      </c>
      <c r="E34" s="54">
        <f>착공내역서!I166</f>
        <v>79378663</v>
      </c>
      <c r="F34" s="63">
        <f>착공내역서!K166</f>
        <v>51069107</v>
      </c>
      <c r="G34" s="55">
        <f>착공내역서!M166</f>
        <v>37590290</v>
      </c>
      <c r="Q34" s="19" t="str">
        <f ca="1">HYPERLINK("#"&amp;착공내역서!O2&amp;"!A"&amp;ROW(착공내역서!A166),"내역 →")</f>
        <v>내역 →</v>
      </c>
    </row>
    <row r="35" spans="1:17" ht="24" customHeight="1" x14ac:dyDescent="0.3">
      <c r="A35" s="9" t="s">
        <v>533</v>
      </c>
      <c r="B35" s="9" t="s">
        <v>530</v>
      </c>
      <c r="C35" s="9"/>
      <c r="D35" s="55">
        <f>착공내역서!G167</f>
        <v>1944546</v>
      </c>
      <c r="E35" s="54">
        <f>착공내역서!I167</f>
        <v>1505728</v>
      </c>
      <c r="F35" s="63">
        <f>착공내역서!K167</f>
        <v>323798</v>
      </c>
      <c r="G35" s="55">
        <f>착공내역서!M167</f>
        <v>115020</v>
      </c>
      <c r="Q35" s="19" t="str">
        <f ca="1">HYPERLINK("#"&amp;착공내역서!O2&amp;"!A"&amp;ROW(착공내역서!A167),"내역 →")</f>
        <v>내역 →</v>
      </c>
    </row>
    <row r="36" spans="1:17" ht="24" customHeight="1" x14ac:dyDescent="0.3">
      <c r="A36" s="9" t="s">
        <v>799</v>
      </c>
      <c r="B36" s="9" t="s">
        <v>800</v>
      </c>
      <c r="C36" s="9"/>
      <c r="D36" s="55">
        <f>착공내역서!G172</f>
        <v>142785264</v>
      </c>
      <c r="E36" s="54">
        <f>착공내역서!I172</f>
        <v>65162587</v>
      </c>
      <c r="F36" s="63">
        <f>착공내역서!K172</f>
        <v>46374706</v>
      </c>
      <c r="G36" s="55">
        <f>착공내역서!M172</f>
        <v>31247971</v>
      </c>
      <c r="Q36" s="19" t="str">
        <f ca="1">HYPERLINK("#"&amp;착공내역서!O2&amp;"!A"&amp;ROW(착공내역서!A172),"내역 →")</f>
        <v>내역 →</v>
      </c>
    </row>
    <row r="37" spans="1:17" ht="24" customHeight="1" x14ac:dyDescent="0.3">
      <c r="A37" s="9" t="s">
        <v>810</v>
      </c>
      <c r="B37" s="9" t="s">
        <v>811</v>
      </c>
      <c r="C37" s="9"/>
      <c r="D37" s="55">
        <f>착공내역서!G177</f>
        <v>2624711</v>
      </c>
      <c r="E37" s="54">
        <f>착공내역서!I177</f>
        <v>1461106</v>
      </c>
      <c r="F37" s="63">
        <f>착공내역서!K177</f>
        <v>474529</v>
      </c>
      <c r="G37" s="55">
        <f>착공내역서!M177</f>
        <v>689076</v>
      </c>
      <c r="Q37" s="19" t="str">
        <f ca="1">HYPERLINK("#"&amp;착공내역서!O2&amp;"!A"&amp;ROW(착공내역서!A177),"내역 →")</f>
        <v>내역 →</v>
      </c>
    </row>
    <row r="38" spans="1:17" ht="24" customHeight="1" x14ac:dyDescent="0.3">
      <c r="A38" s="9" t="s">
        <v>821</v>
      </c>
      <c r="B38" s="9" t="s">
        <v>822</v>
      </c>
      <c r="C38" s="9"/>
      <c r="D38" s="55">
        <f>착공내역서!G182</f>
        <v>5718746</v>
      </c>
      <c r="E38" s="54">
        <f>착공내역서!I182</f>
        <v>2978940</v>
      </c>
      <c r="F38" s="63">
        <f>착공내역서!K182</f>
        <v>982966</v>
      </c>
      <c r="G38" s="55">
        <f>착공내역서!M182</f>
        <v>1756840</v>
      </c>
      <c r="Q38" s="19" t="str">
        <f ca="1">HYPERLINK("#"&amp;착공내역서!O2&amp;"!A"&amp;ROW(착공내역서!A182),"내역 →")</f>
        <v>내역 →</v>
      </c>
    </row>
    <row r="39" spans="1:17" ht="24" customHeight="1" x14ac:dyDescent="0.3">
      <c r="A39" s="9" t="s">
        <v>829</v>
      </c>
      <c r="B39" s="9" t="s">
        <v>830</v>
      </c>
      <c r="C39" s="9"/>
      <c r="D39" s="55">
        <f>착공내역서!G186</f>
        <v>3017792</v>
      </c>
      <c r="E39" s="54">
        <f>착공내역서!I186</f>
        <v>1466319</v>
      </c>
      <c r="F39" s="63">
        <f>착공내역서!K186</f>
        <v>723048</v>
      </c>
      <c r="G39" s="55">
        <f>착공내역서!M186</f>
        <v>828425</v>
      </c>
      <c r="Q39" s="19" t="str">
        <f ca="1">HYPERLINK("#"&amp;착공내역서!O2&amp;"!A"&amp;ROW(착공내역서!A186),"내역 →")</f>
        <v>내역 →</v>
      </c>
    </row>
    <row r="40" spans="1:17" ht="24" customHeight="1" x14ac:dyDescent="0.3">
      <c r="A40" s="9" t="s">
        <v>846</v>
      </c>
      <c r="B40" s="9" t="s">
        <v>847</v>
      </c>
      <c r="C40" s="9"/>
      <c r="D40" s="55">
        <f>착공내역서!G193</f>
        <v>11947001</v>
      </c>
      <c r="E40" s="54">
        <f>착공내역서!I193</f>
        <v>6803983</v>
      </c>
      <c r="F40" s="63">
        <f>착공내역서!K193</f>
        <v>2190060</v>
      </c>
      <c r="G40" s="55">
        <f>착공내역서!M193</f>
        <v>2952958</v>
      </c>
      <c r="Q40" s="19" t="str">
        <f ca="1">HYPERLINK("#"&amp;착공내역서!O2&amp;"!A"&amp;ROW(착공내역서!A193),"내역 →")</f>
        <v>내역 →</v>
      </c>
    </row>
    <row r="41" spans="1:17" ht="24" customHeight="1" x14ac:dyDescent="0.3">
      <c r="A41" s="9" t="s">
        <v>797</v>
      </c>
      <c r="B41" s="9" t="s">
        <v>857</v>
      </c>
      <c r="C41" s="9"/>
      <c r="D41" s="55">
        <f>착공내역서!G198</f>
        <v>33350356</v>
      </c>
      <c r="E41" s="54">
        <f>착공내역서!I198</f>
        <v>24784453</v>
      </c>
      <c r="F41" s="63">
        <f>착공내역서!K198</f>
        <v>3905573</v>
      </c>
      <c r="G41" s="55">
        <f>착공내역서!M198</f>
        <v>4660330</v>
      </c>
      <c r="Q41" s="19" t="str">
        <f ca="1">HYPERLINK("#"&amp;착공내역서!O2&amp;"!A"&amp;ROW(착공내역서!A198),"내역 →")</f>
        <v>내역 →</v>
      </c>
    </row>
    <row r="42" spans="1:17" ht="24" customHeight="1" x14ac:dyDescent="0.3">
      <c r="A42" s="9" t="s">
        <v>860</v>
      </c>
      <c r="B42" s="9" t="s">
        <v>861</v>
      </c>
      <c r="C42" s="9"/>
      <c r="D42" s="55">
        <f>착공내역서!G199</f>
        <v>20887335</v>
      </c>
      <c r="E42" s="54">
        <f>착공내역서!I199</f>
        <v>15447399</v>
      </c>
      <c r="F42" s="63">
        <f>착공내역서!K199</f>
        <v>2059619</v>
      </c>
      <c r="G42" s="55">
        <f>착공내역서!M199</f>
        <v>3380317</v>
      </c>
      <c r="Q42" s="19" t="str">
        <f ca="1">HYPERLINK("#"&amp;착공내역서!O2&amp;"!A"&amp;ROW(착공내역서!A199),"내역 →")</f>
        <v>내역 →</v>
      </c>
    </row>
    <row r="43" spans="1:17" ht="24" customHeight="1" x14ac:dyDescent="0.3">
      <c r="A43" s="9" t="s">
        <v>877</v>
      </c>
      <c r="B43" s="9" t="s">
        <v>878</v>
      </c>
      <c r="C43" s="9"/>
      <c r="D43" s="55">
        <f>착공내역서!G204</f>
        <v>6870629</v>
      </c>
      <c r="E43" s="54">
        <f>착공내역서!I204</f>
        <v>5758778</v>
      </c>
      <c r="F43" s="63">
        <f>착공내역서!K204</f>
        <v>487506</v>
      </c>
      <c r="G43" s="55">
        <f>착공내역서!M204</f>
        <v>624345</v>
      </c>
      <c r="Q43" s="19" t="str">
        <f ca="1">HYPERLINK("#"&amp;착공내역서!O2&amp;"!A"&amp;ROW(착공내역서!A204),"내역 →")</f>
        <v>내역 →</v>
      </c>
    </row>
    <row r="44" spans="1:17" ht="24" customHeight="1" x14ac:dyDescent="0.3">
      <c r="A44" s="9" t="s">
        <v>894</v>
      </c>
      <c r="B44" s="9" t="s">
        <v>895</v>
      </c>
      <c r="C44" s="9"/>
      <c r="D44" s="55">
        <f>착공내역서!G214</f>
        <v>5592392</v>
      </c>
      <c r="E44" s="54">
        <f>착공내역서!I214</f>
        <v>3578276</v>
      </c>
      <c r="F44" s="63">
        <f>착공내역서!K214</f>
        <v>1358448</v>
      </c>
      <c r="G44" s="55">
        <f>착공내역서!M214</f>
        <v>655668</v>
      </c>
      <c r="Q44" s="19" t="str">
        <f ca="1">HYPERLINK("#"&amp;착공내역서!O2&amp;"!A"&amp;ROW(착공내역서!A214),"내역 →")</f>
        <v>내역 →</v>
      </c>
    </row>
    <row r="45" spans="1:17" ht="24" customHeight="1" x14ac:dyDescent="0.3">
      <c r="A45" s="9" t="s">
        <v>859</v>
      </c>
      <c r="B45" s="9" t="s">
        <v>858</v>
      </c>
      <c r="C45" s="9"/>
      <c r="D45" s="55">
        <f>착공내역서!G218</f>
        <v>20406806</v>
      </c>
      <c r="E45" s="54">
        <f>착공내역서!I218</f>
        <v>0</v>
      </c>
      <c r="F45" s="63">
        <f>착공내역서!K218</f>
        <v>0</v>
      </c>
      <c r="G45" s="55">
        <f>착공내역서!M218</f>
        <v>20406806</v>
      </c>
      <c r="Q45" s="19" t="str">
        <f ca="1">HYPERLINK("#"&amp;착공내역서!O2&amp;"!A"&amp;ROW(착공내역서!A218),"내역 →")</f>
        <v>내역 →</v>
      </c>
    </row>
    <row r="46" spans="1:17" ht="24" customHeight="1" x14ac:dyDescent="0.3">
      <c r="A46" s="9" t="s">
        <v>926</v>
      </c>
      <c r="B46" s="9" t="s">
        <v>927</v>
      </c>
      <c r="C46" s="9"/>
      <c r="D46" s="55">
        <f>착공내역서!G227</f>
        <v>25546946</v>
      </c>
      <c r="E46" s="54">
        <f>착공내역서!I227</f>
        <v>0</v>
      </c>
      <c r="F46" s="63">
        <f>착공내역서!K227</f>
        <v>25546946</v>
      </c>
      <c r="G46" s="55">
        <f>착공내역서!M227</f>
        <v>0</v>
      </c>
      <c r="Q46" s="19" t="str">
        <f ca="1">HYPERLINK("#"&amp;착공내역서!O2&amp;"!A"&amp;ROW(착공내역서!A227),"내역 →")</f>
        <v>내역 →</v>
      </c>
    </row>
    <row r="47" spans="1:17" ht="24" customHeight="1" x14ac:dyDescent="0.3">
      <c r="A47" s="9" t="s">
        <v>587</v>
      </c>
      <c r="B47" s="9" t="s">
        <v>570</v>
      </c>
      <c r="C47" s="9"/>
      <c r="D47" s="55">
        <f>착공내역서!G245</f>
        <v>69849380</v>
      </c>
      <c r="E47" s="54">
        <f>착공내역서!I245</f>
        <v>0</v>
      </c>
      <c r="F47" s="63">
        <f>착공내역서!K245</f>
        <v>69849380</v>
      </c>
      <c r="G47" s="55">
        <f>착공내역서!M245</f>
        <v>0</v>
      </c>
      <c r="Q47" s="19" t="str">
        <f ca="1">HYPERLINK("#"&amp;착공내역서!O2&amp;"!A"&amp;ROW(착공내역서!A245),"내역 →")</f>
        <v>내역 →</v>
      </c>
    </row>
    <row r="48" spans="1:17" ht="24" customHeight="1" x14ac:dyDescent="0.3">
      <c r="A48" s="9" t="s">
        <v>1038</v>
      </c>
      <c r="B48" s="9" t="s">
        <v>1039</v>
      </c>
      <c r="C48" s="9"/>
      <c r="D48" s="55">
        <f>착공내역서!G254</f>
        <v>628516376</v>
      </c>
      <c r="E48" s="54">
        <f>착공내역서!I254</f>
        <v>306868931</v>
      </c>
      <c r="F48" s="63">
        <f>착공내역서!K254</f>
        <v>171849367</v>
      </c>
      <c r="G48" s="55">
        <f>착공내역서!M254</f>
        <v>149798078</v>
      </c>
      <c r="Q48" s="19" t="str">
        <f ca="1">HYPERLINK("#"&amp;착공내역서!O2&amp;"!A"&amp;ROW(착공내역서!A254),"내역 →")</f>
        <v>내역 →</v>
      </c>
    </row>
    <row r="49" spans="1:16" ht="24" customHeight="1" x14ac:dyDescent="0.3">
      <c r="A49" s="9"/>
      <c r="B49" s="9" t="s">
        <v>1040</v>
      </c>
      <c r="C49" s="9"/>
      <c r="D49" s="55">
        <f>ROUNDDOWN(E48*M49/100,0)</f>
        <v>44495994</v>
      </c>
      <c r="E49" s="143" t="str">
        <f>"직접노무비 x "&amp;ROUND(M49,5)&amp;"%"</f>
        <v>직접노무비 x 14.5%</v>
      </c>
      <c r="F49" s="142"/>
      <c r="G49" s="144"/>
      <c r="H49" s="16" t="s">
        <v>1041</v>
      </c>
      <c r="I49" s="37">
        <v>0</v>
      </c>
      <c r="M49" s="66">
        <v>14.5</v>
      </c>
      <c r="N49" s="37">
        <v>0</v>
      </c>
      <c r="O49" s="68">
        <v>0</v>
      </c>
      <c r="P49" s="68">
        <v>0</v>
      </c>
    </row>
    <row r="50" spans="1:16" ht="24" customHeight="1" x14ac:dyDescent="0.3">
      <c r="A50" s="9"/>
      <c r="B50" s="9" t="s">
        <v>1042</v>
      </c>
      <c r="C50" s="9"/>
      <c r="D50" s="55">
        <f>ROUNDDOWN((E48+D49)*M50/100,0)</f>
        <v>12508591</v>
      </c>
      <c r="E50" s="143" t="str">
        <f>"(직접노무비+간접노무비) x "&amp;ROUND(M50,5)&amp;"%"</f>
        <v>(직접노무비+간접노무비) x 3.56%</v>
      </c>
      <c r="F50" s="142"/>
      <c r="G50" s="144"/>
      <c r="H50" s="16" t="s">
        <v>1043</v>
      </c>
      <c r="I50" s="37">
        <v>0</v>
      </c>
      <c r="M50" s="66">
        <v>3.56</v>
      </c>
      <c r="N50" s="37">
        <v>0</v>
      </c>
      <c r="O50" s="68">
        <v>0</v>
      </c>
      <c r="P50" s="68">
        <v>0</v>
      </c>
    </row>
    <row r="51" spans="1:16" ht="24" customHeight="1" x14ac:dyDescent="0.3">
      <c r="A51" s="9"/>
      <c r="B51" s="9" t="s">
        <v>1044</v>
      </c>
      <c r="C51" s="9"/>
      <c r="D51" s="55">
        <f>ROUNDDOWN((E48+D49)*M51/100,0)</f>
        <v>3548785</v>
      </c>
      <c r="E51" s="143" t="str">
        <f>"(직접노무비+간접노무비) x "&amp;ROUND(M51,5)&amp;"%"</f>
        <v>(직접노무비+간접노무비) x 1.01%</v>
      </c>
      <c r="F51" s="142"/>
      <c r="G51" s="144"/>
      <c r="H51" s="16" t="s">
        <v>1045</v>
      </c>
      <c r="I51" s="37">
        <v>0</v>
      </c>
      <c r="M51" s="66">
        <v>1.01</v>
      </c>
      <c r="N51" s="37">
        <v>0</v>
      </c>
      <c r="O51" s="68">
        <v>0</v>
      </c>
      <c r="P51" s="68">
        <v>0</v>
      </c>
    </row>
    <row r="52" spans="1:16" ht="24" customHeight="1" x14ac:dyDescent="0.3">
      <c r="A52" s="9"/>
      <c r="B52" s="9" t="s">
        <v>1046</v>
      </c>
      <c r="C52" s="9"/>
      <c r="D52" s="10">
        <v>12294079</v>
      </c>
      <c r="E52" s="145"/>
      <c r="F52" s="142"/>
      <c r="G52" s="144"/>
      <c r="H52" s="16" t="s">
        <v>1047</v>
      </c>
      <c r="I52" s="37">
        <v>0</v>
      </c>
      <c r="J52" s="56">
        <f>E48</f>
        <v>306868931</v>
      </c>
      <c r="M52" s="67">
        <v>3.5449999999999999</v>
      </c>
      <c r="N52" s="37">
        <v>0</v>
      </c>
      <c r="O52" s="68">
        <v>0</v>
      </c>
      <c r="P52" s="68">
        <v>0</v>
      </c>
    </row>
    <row r="53" spans="1:16" ht="24" customHeight="1" x14ac:dyDescent="0.3">
      <c r="A53" s="9"/>
      <c r="B53" s="9" t="s">
        <v>1048</v>
      </c>
      <c r="C53" s="9"/>
      <c r="D53" s="10">
        <v>1592083</v>
      </c>
      <c r="E53" s="145"/>
      <c r="F53" s="142"/>
      <c r="G53" s="144"/>
      <c r="H53" s="16" t="s">
        <v>1049</v>
      </c>
      <c r="I53" s="37">
        <v>0</v>
      </c>
      <c r="J53" s="56">
        <f>D52</f>
        <v>12294079</v>
      </c>
      <c r="M53" s="67">
        <v>12.95</v>
      </c>
      <c r="N53" s="37">
        <v>0</v>
      </c>
      <c r="O53" s="68">
        <v>0</v>
      </c>
      <c r="P53" s="68">
        <v>0</v>
      </c>
    </row>
    <row r="54" spans="1:16" ht="24" customHeight="1" x14ac:dyDescent="0.3">
      <c r="A54" s="9"/>
      <c r="B54" s="9" t="s">
        <v>1050</v>
      </c>
      <c r="C54" s="9"/>
      <c r="D54" s="10">
        <v>15606024</v>
      </c>
      <c r="E54" s="145"/>
      <c r="F54" s="142"/>
      <c r="G54" s="144"/>
      <c r="H54" s="16" t="s">
        <v>1051</v>
      </c>
      <c r="I54" s="37">
        <v>0</v>
      </c>
      <c r="J54" s="56">
        <f>E48</f>
        <v>306868931</v>
      </c>
      <c r="M54" s="67">
        <v>4.5</v>
      </c>
      <c r="N54" s="37">
        <v>0</v>
      </c>
      <c r="O54" s="68">
        <v>0</v>
      </c>
      <c r="P54" s="68">
        <v>0</v>
      </c>
    </row>
    <row r="55" spans="1:16" ht="24" customHeight="1" x14ac:dyDescent="0.3">
      <c r="A55" s="9"/>
      <c r="B55" s="9" t="s">
        <v>1052</v>
      </c>
      <c r="C55" s="9"/>
      <c r="D55" s="10">
        <v>16586996</v>
      </c>
      <c r="E55" s="145"/>
      <c r="F55" s="142"/>
      <c r="G55" s="144"/>
      <c r="H55" s="16" t="s">
        <v>1053</v>
      </c>
      <c r="I55" s="37">
        <v>0</v>
      </c>
      <c r="J55" s="56">
        <f>((E48+(F48))+(I66-O66)/1.1)</f>
        <v>541876679.81818175</v>
      </c>
      <c r="M55" s="67">
        <v>1.86</v>
      </c>
      <c r="N55" s="37">
        <v>5349000</v>
      </c>
      <c r="O55" s="68">
        <v>0</v>
      </c>
      <c r="P55" s="68">
        <v>0</v>
      </c>
    </row>
    <row r="56" spans="1:16" ht="24" customHeight="1" x14ac:dyDescent="0.3">
      <c r="A56" s="9"/>
      <c r="B56" s="9" t="s">
        <v>1055</v>
      </c>
      <c r="C56" s="9"/>
      <c r="D56" s="55">
        <f>ROUNDDOWN((((E48+D49)+(F48)))*M56/100,0)</f>
        <v>31392857</v>
      </c>
      <c r="E56" s="143" t="str">
        <f>"(직접노무비+간접노무비+재료비) x "&amp;ROUND(M56,5)&amp;"%"</f>
        <v>(직접노무비+간접노무비+재료비) x 6%</v>
      </c>
      <c r="F56" s="142"/>
      <c r="G56" s="144"/>
      <c r="H56" s="16" t="s">
        <v>1056</v>
      </c>
      <c r="I56" s="37">
        <v>0</v>
      </c>
      <c r="M56" s="65">
        <v>6</v>
      </c>
      <c r="N56" s="37">
        <v>0</v>
      </c>
      <c r="O56" s="68">
        <v>0</v>
      </c>
      <c r="P56" s="68">
        <v>0</v>
      </c>
    </row>
    <row r="57" spans="1:16" ht="24" customHeight="1" x14ac:dyDescent="0.3">
      <c r="A57" s="9"/>
      <c r="B57" s="9" t="s">
        <v>1057</v>
      </c>
      <c r="C57" s="9"/>
      <c r="D57" s="55">
        <f>ROUNDDOWN((D48)*M57/100,0)</f>
        <v>5028131</v>
      </c>
      <c r="E57" s="143" t="str">
        <f>"(재료비 + 직접노무비 + 산출경비) x "&amp;ROUND(M57,5)&amp;"%"</f>
        <v>(재료비 + 직접노무비 + 산출경비) x 0.8%</v>
      </c>
      <c r="F57" s="142"/>
      <c r="G57" s="144"/>
      <c r="H57" s="16" t="s">
        <v>1058</v>
      </c>
      <c r="I57" s="37">
        <v>0</v>
      </c>
      <c r="M57" s="66">
        <v>0.8</v>
      </c>
      <c r="N57" s="37">
        <v>0</v>
      </c>
      <c r="O57" s="68">
        <v>0</v>
      </c>
      <c r="P57" s="68">
        <v>0</v>
      </c>
    </row>
    <row r="58" spans="1:16" ht="24" customHeight="1" x14ac:dyDescent="0.3">
      <c r="A58" s="9"/>
      <c r="B58" s="9" t="s">
        <v>1059</v>
      </c>
      <c r="C58" s="9"/>
      <c r="D58" s="55">
        <f>ROUNDDOWN((D48)*M58/100,0)</f>
        <v>2514065</v>
      </c>
      <c r="E58" s="143" t="str">
        <f>"(재료비 + 직접노무비 + 산출경비) x "&amp;ROUND(M58,5)&amp;"%"</f>
        <v>(재료비 + 직접노무비 + 산출경비) x 0.4%</v>
      </c>
      <c r="F58" s="142"/>
      <c r="G58" s="144"/>
      <c r="H58" s="16" t="s">
        <v>1060</v>
      </c>
      <c r="I58" s="37">
        <v>0</v>
      </c>
      <c r="M58" s="66">
        <v>0.4</v>
      </c>
      <c r="N58" s="37">
        <v>0</v>
      </c>
      <c r="O58" s="68">
        <v>0</v>
      </c>
      <c r="P58" s="68">
        <v>0</v>
      </c>
    </row>
    <row r="59" spans="1:16" ht="24" customHeight="1" x14ac:dyDescent="0.3">
      <c r="A59" s="9" t="s">
        <v>1061</v>
      </c>
      <c r="B59" s="9" t="s">
        <v>1062</v>
      </c>
      <c r="C59" s="9"/>
      <c r="D59" s="55">
        <f>(D48+D49+D50+D51+D52+D53+D54+D55+D56+D57+D58)</f>
        <v>774083981</v>
      </c>
      <c r="E59" s="145"/>
      <c r="F59" s="142"/>
      <c r="G59" s="144"/>
      <c r="H59" s="16" t="s">
        <v>1063</v>
      </c>
      <c r="I59" s="37">
        <v>0</v>
      </c>
      <c r="M59" s="37">
        <v>0</v>
      </c>
      <c r="N59" s="37">
        <v>0</v>
      </c>
      <c r="O59" s="68">
        <v>0</v>
      </c>
      <c r="P59" s="68">
        <v>0</v>
      </c>
    </row>
    <row r="60" spans="1:16" ht="24" customHeight="1" x14ac:dyDescent="0.3">
      <c r="A60" s="9"/>
      <c r="B60" s="9" t="s">
        <v>1064</v>
      </c>
      <c r="C60" s="9"/>
      <c r="D60" s="55">
        <f>ROUNDDOWN(((D59)+0)*M60/100,0)</f>
        <v>46445038</v>
      </c>
      <c r="E60" s="143" t="str">
        <f>"(나.소  계) x "&amp;ROUND(M60,5)&amp;"%"</f>
        <v>(나.소  계) x 6%</v>
      </c>
      <c r="F60" s="142"/>
      <c r="G60" s="144"/>
      <c r="H60" s="16" t="s">
        <v>1065</v>
      </c>
      <c r="I60" s="37">
        <v>0</v>
      </c>
      <c r="M60" s="65">
        <v>6</v>
      </c>
      <c r="N60" s="37">
        <v>0</v>
      </c>
      <c r="O60" s="68">
        <v>0</v>
      </c>
      <c r="P60" s="68">
        <v>0</v>
      </c>
    </row>
    <row r="61" spans="1:16" ht="24" customHeight="1" x14ac:dyDescent="0.3">
      <c r="A61" s="9" t="s">
        <v>1066</v>
      </c>
      <c r="B61" s="9" t="s">
        <v>1062</v>
      </c>
      <c r="C61" s="9"/>
      <c r="D61" s="55">
        <f>(D59+D60)</f>
        <v>820529019</v>
      </c>
      <c r="E61" s="145"/>
      <c r="F61" s="142"/>
      <c r="G61" s="144"/>
      <c r="H61" s="16" t="s">
        <v>1067</v>
      </c>
      <c r="I61" s="37">
        <v>3</v>
      </c>
      <c r="J61" s="56">
        <f>D61</f>
        <v>820529019</v>
      </c>
      <c r="L61" s="56">
        <f>D61</f>
        <v>820529019</v>
      </c>
      <c r="M61" s="37">
        <v>0</v>
      </c>
      <c r="N61" s="37">
        <v>0</v>
      </c>
      <c r="O61" s="68">
        <v>0</v>
      </c>
      <c r="P61" s="68">
        <v>0</v>
      </c>
    </row>
    <row r="62" spans="1:16" ht="24" customHeight="1" x14ac:dyDescent="0.3">
      <c r="A62" s="9"/>
      <c r="B62" s="9" t="s">
        <v>1068</v>
      </c>
      <c r="C62" s="9"/>
      <c r="D62" s="55">
        <f>ROUNDDOWN(((D61)-(F48))*M62/100,0)-I62-K62</f>
        <v>90243709</v>
      </c>
      <c r="E62" s="143" t="str">
        <f>"(다.소계 - 재료비) x "&amp;ROUND(M62,5)&amp;"% = "&amp;TEXT(J62,"#,##0")</f>
        <v>(다.소계 - 재료비) x 13.912% = 90,244,313</v>
      </c>
      <c r="F62" s="142"/>
      <c r="G62" s="144"/>
      <c r="H62" s="16" t="s">
        <v>1069</v>
      </c>
      <c r="I62" s="64">
        <f>ROUND((J67-ROUNDDOWN(J67,-I61))/1.1,0)</f>
        <v>605</v>
      </c>
      <c r="J62" s="56">
        <f>ROUNDDOWN(((J61)-(F48))*M62/100,0)</f>
        <v>90244313</v>
      </c>
      <c r="K62" s="56">
        <f>ABS(L67-ROUNDDOWN(J67,-I61))*IF(L67&gt;ROUNDDOWN(J67,-I61),1,-1)</f>
        <v>-1</v>
      </c>
      <c r="L62" s="56">
        <f>ROUNDDOWN(((L61)-(F48))*M62/100,0)-I62</f>
        <v>90243708</v>
      </c>
      <c r="M62" s="66">
        <v>13.912000000000001</v>
      </c>
      <c r="N62" s="37">
        <v>0</v>
      </c>
      <c r="O62" s="68">
        <v>0</v>
      </c>
      <c r="P62" s="68">
        <v>0</v>
      </c>
    </row>
    <row r="63" spans="1:16" ht="24" customHeight="1" x14ac:dyDescent="0.3">
      <c r="A63" s="9" t="s">
        <v>1070</v>
      </c>
      <c r="B63" s="9" t="s">
        <v>1071</v>
      </c>
      <c r="C63" s="9"/>
      <c r="D63" s="55">
        <f>(D61+D62)</f>
        <v>910772728</v>
      </c>
      <c r="E63" s="145"/>
      <c r="F63" s="142"/>
      <c r="G63" s="144"/>
      <c r="H63" s="16" t="s">
        <v>1072</v>
      </c>
      <c r="I63" s="37">
        <v>0</v>
      </c>
      <c r="J63" s="56">
        <f>(J61+J62)</f>
        <v>910773332</v>
      </c>
      <c r="L63" s="56">
        <f>(L61+L62)</f>
        <v>910772727</v>
      </c>
      <c r="M63" s="37">
        <v>0</v>
      </c>
      <c r="N63" s="37">
        <v>0</v>
      </c>
      <c r="O63" s="68">
        <v>0</v>
      </c>
      <c r="P63" s="68">
        <v>0</v>
      </c>
    </row>
    <row r="64" spans="1:16" ht="24" customHeight="1" x14ac:dyDescent="0.3">
      <c r="A64" s="9"/>
      <c r="B64" s="9" t="s">
        <v>1073</v>
      </c>
      <c r="C64" s="9"/>
      <c r="D64" s="55">
        <f>ROUNDDOWN((D63)*M64/100,0)+I64</f>
        <v>91077272</v>
      </c>
      <c r="E64" s="143" t="str">
        <f>"공급가액 x "&amp;ROUND(M64,5)&amp;"%"</f>
        <v>공급가액 x 10%</v>
      </c>
      <c r="F64" s="142"/>
      <c r="G64" s="144"/>
      <c r="H64" s="16" t="s">
        <v>1074</v>
      </c>
      <c r="I64" s="65">
        <v>0</v>
      </c>
      <c r="J64" s="56">
        <f>ROUNDDOWN((J63)*M64/100,0)+I64</f>
        <v>91077333</v>
      </c>
      <c r="L64" s="56">
        <f>ROUNDDOWN((L63)*M64/100,0)+I64</f>
        <v>91077272</v>
      </c>
      <c r="M64" s="65">
        <v>10</v>
      </c>
      <c r="N64" s="37">
        <v>0</v>
      </c>
      <c r="O64" s="68">
        <v>0</v>
      </c>
      <c r="P64" s="68">
        <v>0</v>
      </c>
    </row>
    <row r="65" spans="1:16" ht="24" customHeight="1" x14ac:dyDescent="0.3">
      <c r="A65" s="9" t="s">
        <v>1075</v>
      </c>
      <c r="B65" s="9" t="s">
        <v>1076</v>
      </c>
      <c r="C65" s="9"/>
      <c r="D65" s="55">
        <f>(D63+D64)</f>
        <v>1001850000</v>
      </c>
      <c r="E65" s="145"/>
      <c r="F65" s="142"/>
      <c r="G65" s="144"/>
      <c r="H65" s="16" t="s">
        <v>1077</v>
      </c>
      <c r="I65" s="37">
        <v>0</v>
      </c>
      <c r="J65" s="56">
        <f>(J63+J64)</f>
        <v>1001850665</v>
      </c>
      <c r="L65" s="56">
        <f>(L63+L64)</f>
        <v>1001849999</v>
      </c>
      <c r="M65" s="37">
        <v>0</v>
      </c>
      <c r="N65" s="37">
        <v>0</v>
      </c>
      <c r="O65" s="68">
        <v>3</v>
      </c>
      <c r="P65" s="68">
        <v>0</v>
      </c>
    </row>
    <row r="66" spans="1:16" ht="24" customHeight="1" x14ac:dyDescent="0.3">
      <c r="A66" s="9"/>
      <c r="B66" s="9" t="s">
        <v>1078</v>
      </c>
      <c r="C66" s="9"/>
      <c r="D66" s="55">
        <f>ROUNDUP(I66,-3)</f>
        <v>69850000</v>
      </c>
      <c r="E66" s="143" t="str">
        <f>"원자재대: "&amp;TEXT(I66,"#,0")&amp;" (조달수수료: "&amp;TEXT(O66,"#,0")&amp;" 포함)"</f>
        <v>원자재대: 69,849,380 (조달수수료: 375,160 포함)</v>
      </c>
      <c r="F66" s="142"/>
      <c r="G66" s="144"/>
      <c r="H66" s="16" t="s">
        <v>1079</v>
      </c>
      <c r="I66" s="65">
        <v>69849380</v>
      </c>
      <c r="J66" s="56">
        <f>ROUNDUP(I66,-3)</f>
        <v>69850000</v>
      </c>
      <c r="L66" s="56">
        <f>ROUNDUP(I66,-3)</f>
        <v>69850000</v>
      </c>
      <c r="M66" s="37">
        <v>3</v>
      </c>
      <c r="N66" s="37">
        <v>0</v>
      </c>
      <c r="O66" s="69">
        <v>375160</v>
      </c>
      <c r="P66" s="68">
        <v>0</v>
      </c>
    </row>
    <row r="67" spans="1:16" ht="24" customHeight="1" x14ac:dyDescent="0.3">
      <c r="A67" s="9" t="s">
        <v>1080</v>
      </c>
      <c r="B67" s="9" t="s">
        <v>1081</v>
      </c>
      <c r="C67" s="9"/>
      <c r="D67" s="55">
        <f>(D65+D66)</f>
        <v>1071700000</v>
      </c>
      <c r="E67" s="145"/>
      <c r="F67" s="142"/>
      <c r="G67" s="144"/>
      <c r="H67" s="16" t="s">
        <v>1082</v>
      </c>
      <c r="I67" s="37">
        <v>0</v>
      </c>
      <c r="J67" s="56">
        <f>(J65+J66)</f>
        <v>1071700665</v>
      </c>
      <c r="L67" s="56">
        <f>(L65+L66)</f>
        <v>1071699999</v>
      </c>
      <c r="M67" s="37">
        <v>0</v>
      </c>
      <c r="N67" s="37">
        <v>0</v>
      </c>
      <c r="O67" s="68">
        <v>3</v>
      </c>
      <c r="P67" s="68">
        <v>0</v>
      </c>
    </row>
  </sheetData>
  <mergeCells count="20">
    <mergeCell ref="E66:G66"/>
    <mergeCell ref="E67:G67"/>
    <mergeCell ref="E60:G60"/>
    <mergeCell ref="E61:G61"/>
    <mergeCell ref="E62:G62"/>
    <mergeCell ref="E63:G63"/>
    <mergeCell ref="E64:G64"/>
    <mergeCell ref="E65:G65"/>
    <mergeCell ref="E54:G54"/>
    <mergeCell ref="E55:G55"/>
    <mergeCell ref="E56:G56"/>
    <mergeCell ref="E57:G57"/>
    <mergeCell ref="E58:G58"/>
    <mergeCell ref="E59:G59"/>
    <mergeCell ref="A1:G1"/>
    <mergeCell ref="E49:G49"/>
    <mergeCell ref="E50:G50"/>
    <mergeCell ref="E51:G51"/>
    <mergeCell ref="E52:G52"/>
    <mergeCell ref="E53:G53"/>
  </mergeCells>
  <phoneticPr fontId="23" type="noConversion"/>
  <conditionalFormatting sqref="D62">
    <cfRule type="expression" dxfId="7" priority="1" stopIfTrue="1">
      <formula>($I$62+$K$62)&lt;0</formula>
    </cfRule>
  </conditionalFormatting>
  <conditionalFormatting sqref="D67">
    <cfRule type="expression" dxfId="6" priority="2" stopIfTrue="1">
      <formula>"&lt;&gt;ROUNDDOWN($J$67,-$I$61)+$I$67*10^($I$61-1)"</formula>
    </cfRule>
  </conditionalFormatting>
  <hyperlinks>
    <hyperlink ref="H1" r:id="rId1" tooltip="설계예산시스템(STmate w24.04)으로 작성 하였으며,_x000a_엑셀 인쇄품질 600 dpi에 최적화 되어 있습니다._x000a_경영정보(주) http://www.stma.co.kr_x000a_Tel) 070-4350-0040_x000a_Fax) 0505-300-3948"/>
    <hyperlink ref="Q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1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5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6" width="10" style="5" customWidth="1"/>
    <col min="7" max="7" width="11.5" style="5" customWidth="1"/>
    <col min="8" max="8" width="10" style="5" customWidth="1"/>
    <col min="9" max="9" width="11.5" style="5" customWidth="1"/>
    <col min="10" max="10" width="10" style="5" customWidth="1"/>
    <col min="11" max="11" width="11.5" style="5" customWidth="1"/>
    <col min="12" max="12" width="10" style="5" customWidth="1"/>
    <col min="13" max="13" width="11.5" style="5" customWidth="1"/>
    <col min="14" max="14" width="10" style="5" customWidth="1"/>
    <col min="15" max="15" width="9.125" style="15" hidden="1" customWidth="1"/>
    <col min="16" max="28" width="2.125" style="5" customWidth="1"/>
    <col min="29" max="29" width="9.125" style="17" customWidth="1"/>
    <col min="30" max="16384" width="9.125" style="5"/>
  </cols>
  <sheetData>
    <row r="1" spans="1:29" ht="24.95" customHeight="1" x14ac:dyDescent="0.3">
      <c r="A1" s="130" t="s">
        <v>646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4" t="s">
        <v>166</v>
      </c>
      <c r="AC1" s="18" t="s">
        <v>166</v>
      </c>
    </row>
    <row r="2" spans="1:29" ht="30.6" customHeight="1" x14ac:dyDescent="0.3">
      <c r="A2" s="1" t="s">
        <v>1</v>
      </c>
      <c r="O2" s="21" t="str">
        <f ca="1">MID(CELL("filename",$A$1),FIND("]",CELL("filename",$A$1))+1,LEN(CELL("filename",$A$1)))</f>
        <v>착공내역서</v>
      </c>
    </row>
    <row r="3" spans="1:29" ht="30.6" customHeight="1" x14ac:dyDescent="0.3">
      <c r="A3" s="146" t="s">
        <v>640</v>
      </c>
      <c r="B3" s="146" t="s">
        <v>3</v>
      </c>
      <c r="C3" s="146" t="s">
        <v>4</v>
      </c>
      <c r="D3" s="146" t="s">
        <v>635</v>
      </c>
      <c r="E3" s="146" t="s">
        <v>5</v>
      </c>
      <c r="F3" s="134" t="s">
        <v>6</v>
      </c>
      <c r="G3" s="140"/>
      <c r="H3" s="134" t="s">
        <v>7</v>
      </c>
      <c r="I3" s="140"/>
      <c r="J3" s="134" t="s">
        <v>8</v>
      </c>
      <c r="K3" s="140"/>
      <c r="L3" s="134" t="s">
        <v>9</v>
      </c>
      <c r="M3" s="140"/>
      <c r="N3" s="134" t="s">
        <v>10</v>
      </c>
    </row>
    <row r="4" spans="1:29" ht="30.6" customHeight="1" x14ac:dyDescent="0.3">
      <c r="A4" s="140"/>
      <c r="B4" s="140"/>
      <c r="C4" s="140"/>
      <c r="D4" s="140"/>
      <c r="E4" s="140"/>
      <c r="F4" s="8" t="s">
        <v>431</v>
      </c>
      <c r="G4" s="8" t="s">
        <v>627</v>
      </c>
      <c r="H4" s="8" t="s">
        <v>431</v>
      </c>
      <c r="I4" s="8" t="s">
        <v>627</v>
      </c>
      <c r="J4" s="8" t="s">
        <v>431</v>
      </c>
      <c r="K4" s="8" t="s">
        <v>627</v>
      </c>
      <c r="L4" s="8" t="s">
        <v>431</v>
      </c>
      <c r="M4" s="8" t="s">
        <v>627</v>
      </c>
      <c r="N4" s="135"/>
      <c r="AC4" s="19" t="str">
        <f>HYPERLINK("#'〓 목 차 〓'!B2","목차 →")</f>
        <v>목차 →</v>
      </c>
    </row>
    <row r="5" spans="1:29" ht="30.6" customHeight="1" x14ac:dyDescent="0.3">
      <c r="A5" s="41" t="s">
        <v>613</v>
      </c>
      <c r="B5" s="41" t="s">
        <v>609</v>
      </c>
      <c r="C5" s="43" t="s">
        <v>600</v>
      </c>
      <c r="D5" s="45"/>
      <c r="E5" s="24"/>
      <c r="F5" s="10">
        <v>0</v>
      </c>
      <c r="G5" s="54">
        <f>SUMIF(Q6:Q233,P5,G6:G233)</f>
        <v>628516376</v>
      </c>
      <c r="H5" s="12">
        <v>0</v>
      </c>
      <c r="I5" s="55">
        <f>SUMIF(Q6:Q233,P5,I6:I233)</f>
        <v>306868931</v>
      </c>
      <c r="J5" s="12">
        <v>0</v>
      </c>
      <c r="K5" s="61">
        <f>SUMIF(Q6:Q233,P5,K6:K233)</f>
        <v>171849367</v>
      </c>
      <c r="L5" s="23">
        <v>0</v>
      </c>
      <c r="M5" s="61">
        <f>SUMIF(Q6:Q233,P5,M6:M233)</f>
        <v>149798078</v>
      </c>
      <c r="N5" s="24"/>
      <c r="O5" s="36" t="str">
        <f>"_x0007_`COD|E5_x0005_`QTY1|1_x0005_`EXI|0_x0005_`ITT|0_x0005_`END|"&amp;ROW(M234)&amp;"_x0005_`"</f>
        <v>_x0007_`COD|E5_x0005_`QTY1|1_x0005_`EXI|0_x0005_`ITT|0_x0005_`END|234_x0005_`</v>
      </c>
      <c r="P5" s="6" t="s">
        <v>591</v>
      </c>
      <c r="Q5" s="6" t="s">
        <v>618</v>
      </c>
    </row>
    <row r="6" spans="1:29" ht="30.6" customHeight="1" x14ac:dyDescent="0.3">
      <c r="A6" s="41" t="s">
        <v>587</v>
      </c>
      <c r="B6" s="41" t="s">
        <v>579</v>
      </c>
      <c r="C6" s="43" t="s">
        <v>575</v>
      </c>
      <c r="D6" s="45"/>
      <c r="E6" s="24"/>
      <c r="F6" s="10">
        <v>0</v>
      </c>
      <c r="G6" s="54">
        <f>SUMIF(Q7:Q72,P6,G7:G72)</f>
        <v>203176002</v>
      </c>
      <c r="H6" s="12">
        <v>0</v>
      </c>
      <c r="I6" s="55">
        <f>SUMIF(Q7:Q72,P6,I7:I72)</f>
        <v>104681810</v>
      </c>
      <c r="J6" s="12">
        <v>0</v>
      </c>
      <c r="K6" s="61">
        <f>SUMIF(Q7:Q72,P6,K7:K72)</f>
        <v>53000792</v>
      </c>
      <c r="L6" s="23">
        <v>0</v>
      </c>
      <c r="M6" s="61">
        <f>SUMIF(Q7:Q72,P6,M7:M72)</f>
        <v>45493400</v>
      </c>
      <c r="N6" s="24"/>
      <c r="O6" s="36" t="str">
        <f>"_x0007_`COD|E4_x0005_`QTY1|1_x0005_`EXI|0_x0005_`ITT|0_x0005_`END|"&amp;ROW(M73)&amp;"_x0005_`"</f>
        <v>_x0007_`COD|E4_x0005_`QTY1|1_x0005_`EXI|0_x0005_`ITT|0_x0005_`END|73_x0005_`</v>
      </c>
      <c r="P6" s="6" t="s">
        <v>561</v>
      </c>
      <c r="Q6" s="6" t="s">
        <v>591</v>
      </c>
    </row>
    <row r="7" spans="1:29" ht="30.6" customHeight="1" x14ac:dyDescent="0.3">
      <c r="A7" s="41" t="s">
        <v>557</v>
      </c>
      <c r="B7" s="41" t="s">
        <v>548</v>
      </c>
      <c r="C7" s="43"/>
      <c r="D7" s="45"/>
      <c r="E7" s="24"/>
      <c r="F7" s="10">
        <v>0</v>
      </c>
      <c r="G7" s="54">
        <f>SUMIF(Q8:Q37,P7,G8:G37)</f>
        <v>120959531</v>
      </c>
      <c r="H7" s="12">
        <v>0</v>
      </c>
      <c r="I7" s="55">
        <f>SUMIF(Q8:Q37,P7,I8:I37)</f>
        <v>61326772</v>
      </c>
      <c r="J7" s="12">
        <v>0</v>
      </c>
      <c r="K7" s="61">
        <f>SUMIF(Q8:Q37,P7,K8:K37)</f>
        <v>33028541</v>
      </c>
      <c r="L7" s="23">
        <v>0</v>
      </c>
      <c r="M7" s="61">
        <f>SUMIF(Q8:Q37,P7,M8:M37)</f>
        <v>26604218</v>
      </c>
      <c r="N7" s="24"/>
      <c r="O7" s="36" t="str">
        <f>"_x0007_`COD|E3_x0005_`QTY1|1_x0005_`EXI|0_x0005_`ITT|0_x0005_`END|"&amp;ROW(M38)&amp;"_x0005_`"</f>
        <v>_x0007_`COD|E3_x0005_`QTY1|1_x0005_`EXI|0_x0005_`ITT|0_x0005_`END|38_x0005_`</v>
      </c>
      <c r="P7" s="6" t="s">
        <v>538</v>
      </c>
      <c r="Q7" s="6" t="s">
        <v>561</v>
      </c>
    </row>
    <row r="8" spans="1:29" ht="30.6" customHeight="1" x14ac:dyDescent="0.3">
      <c r="A8" s="41" t="s">
        <v>533</v>
      </c>
      <c r="B8" s="41" t="s">
        <v>530</v>
      </c>
      <c r="C8" s="43"/>
      <c r="D8" s="45"/>
      <c r="E8" s="24"/>
      <c r="F8" s="10">
        <v>0</v>
      </c>
      <c r="G8" s="54">
        <f>SUMIF(Q9:Q11,P8,G9:G11)</f>
        <v>2984102</v>
      </c>
      <c r="H8" s="12">
        <v>0</v>
      </c>
      <c r="I8" s="55">
        <f>SUMIF(Q9:Q11,P8,I9:I11)</f>
        <v>2131972</v>
      </c>
      <c r="J8" s="12">
        <v>0</v>
      </c>
      <c r="K8" s="61">
        <f>SUMIF(Q9:Q11,P8,K9:K11)</f>
        <v>497414</v>
      </c>
      <c r="L8" s="23">
        <v>0</v>
      </c>
      <c r="M8" s="61">
        <f>SUMIF(Q9:Q11,P8,M9:M11)</f>
        <v>354716</v>
      </c>
      <c r="N8" s="24"/>
      <c r="O8" s="36" t="str">
        <f>"_x0007_`COD|E2_x0005_`QTY1|1_x0005_`EXI|0_x0005_`ITT|0_x0005_`END|"&amp;ROW(M12)&amp;"_x0005_`"</f>
        <v>_x0007_`COD|E2_x0005_`QTY1|1_x0005_`EXI|0_x0005_`ITT|0_x0005_`END|12_x0005_`</v>
      </c>
      <c r="P8" s="6" t="s">
        <v>518</v>
      </c>
      <c r="Q8" s="6" t="s">
        <v>538</v>
      </c>
    </row>
    <row r="9" spans="1:29" ht="30.6" customHeight="1" x14ac:dyDescent="0.3">
      <c r="A9" s="9"/>
      <c r="B9" s="9" t="s">
        <v>51</v>
      </c>
      <c r="C9" s="44" t="s">
        <v>52</v>
      </c>
      <c r="D9" s="46">
        <v>14</v>
      </c>
      <c r="E9" s="24" t="s">
        <v>53</v>
      </c>
      <c r="F9" s="53">
        <f t="shared" ref="F9:G11" si="0">J9+H9+L9</f>
        <v>22851</v>
      </c>
      <c r="G9" s="55">
        <f t="shared" si="0"/>
        <v>319914</v>
      </c>
      <c r="H9" s="57">
        <f>일위대가목록표!F12</f>
        <v>19413</v>
      </c>
      <c r="I9" s="12">
        <f>ROUNDDOWN(H9*D9,0)</f>
        <v>271782</v>
      </c>
      <c r="J9" s="60">
        <f>일위대가목록표!G12</f>
        <v>3438</v>
      </c>
      <c r="K9" s="12">
        <f>ROUNDDOWN(J9*D9,0)</f>
        <v>48132</v>
      </c>
      <c r="L9" s="53">
        <f>일위대가목록표!H12</f>
        <v>0</v>
      </c>
      <c r="M9" s="23">
        <f>ROUNDDOWN(L9*D9,0)</f>
        <v>0</v>
      </c>
      <c r="N9" s="24" t="s">
        <v>498</v>
      </c>
      <c r="O9" s="16" t="s">
        <v>513</v>
      </c>
      <c r="P9" s="6" t="s">
        <v>522</v>
      </c>
      <c r="Q9" s="6" t="s">
        <v>518</v>
      </c>
      <c r="AC9" s="19" t="str">
        <f ca="1">HYPERLINK("#"&amp;일위대가목록표!J2&amp;"!A"&amp;ROW(일위대가목록표!A12),"대가    9 →")</f>
        <v>대가    9 →</v>
      </c>
    </row>
    <row r="10" spans="1:29" ht="30.6" customHeight="1" x14ac:dyDescent="0.3">
      <c r="A10" s="9"/>
      <c r="B10" s="9" t="s">
        <v>51</v>
      </c>
      <c r="C10" s="44" t="s">
        <v>57</v>
      </c>
      <c r="D10" s="46">
        <v>28</v>
      </c>
      <c r="E10" s="24" t="s">
        <v>53</v>
      </c>
      <c r="F10" s="53">
        <f t="shared" si="0"/>
        <v>35376</v>
      </c>
      <c r="G10" s="55">
        <f t="shared" si="0"/>
        <v>990528</v>
      </c>
      <c r="H10" s="57">
        <f>일위대가목록표!F13</f>
        <v>29233</v>
      </c>
      <c r="I10" s="12">
        <f>ROUNDDOWN(H10*D10,0)</f>
        <v>818524</v>
      </c>
      <c r="J10" s="60">
        <f>일위대가목록표!G13</f>
        <v>6143</v>
      </c>
      <c r="K10" s="12">
        <f>ROUNDDOWN(J10*D10,0)</f>
        <v>172004</v>
      </c>
      <c r="L10" s="53">
        <f>일위대가목록표!H13</f>
        <v>0</v>
      </c>
      <c r="M10" s="23">
        <f>ROUNDDOWN(L10*D10,0)</f>
        <v>0</v>
      </c>
      <c r="N10" s="24" t="s">
        <v>484</v>
      </c>
      <c r="O10" s="16" t="s">
        <v>489</v>
      </c>
      <c r="P10" s="6" t="s">
        <v>494</v>
      </c>
      <c r="Q10" s="6" t="s">
        <v>518</v>
      </c>
      <c r="AC10" s="19" t="str">
        <f ca="1">HYPERLINK("#"&amp;일위대가목록표!J2&amp;"!A"&amp;ROW(일위대가목록표!A13),"대가   10 →")</f>
        <v>대가   10 →</v>
      </c>
    </row>
    <row r="11" spans="1:29" ht="30.6" customHeight="1" x14ac:dyDescent="0.3">
      <c r="A11" s="9"/>
      <c r="B11" s="9" t="s">
        <v>61</v>
      </c>
      <c r="C11" s="44" t="s">
        <v>62</v>
      </c>
      <c r="D11" s="46">
        <v>2498</v>
      </c>
      <c r="E11" s="24" t="s">
        <v>26</v>
      </c>
      <c r="F11" s="53">
        <f t="shared" si="0"/>
        <v>670</v>
      </c>
      <c r="G11" s="55">
        <f t="shared" si="0"/>
        <v>1673660</v>
      </c>
      <c r="H11" s="57">
        <f>일위대가목록표!F14</f>
        <v>417</v>
      </c>
      <c r="I11" s="12">
        <f>ROUNDDOWN(H11*D11,0)</f>
        <v>1041666</v>
      </c>
      <c r="J11" s="60">
        <f>일위대가목록표!G14</f>
        <v>111</v>
      </c>
      <c r="K11" s="12">
        <f>ROUNDDOWN(J11*D11,0)</f>
        <v>277278</v>
      </c>
      <c r="L11" s="53">
        <f>일위대가목록표!H14</f>
        <v>142</v>
      </c>
      <c r="M11" s="23">
        <f>ROUNDDOWN(L11*D11,0)</f>
        <v>354716</v>
      </c>
      <c r="N11" s="24" t="s">
        <v>795</v>
      </c>
      <c r="O11" s="16" t="s">
        <v>794</v>
      </c>
      <c r="P11" s="6" t="s">
        <v>478</v>
      </c>
      <c r="Q11" s="6" t="s">
        <v>518</v>
      </c>
      <c r="AC11" s="19" t="str">
        <f ca="1">HYPERLINK("#"&amp;일위대가목록표!J2&amp;"!A"&amp;ROW(일위대가목록표!A14),"대가   11 →")</f>
        <v>대가   11 →</v>
      </c>
    </row>
    <row r="12" spans="1:29" ht="30.6" customHeight="1" x14ac:dyDescent="0.3">
      <c r="A12" s="9"/>
      <c r="B12" s="9"/>
      <c r="C12" s="44"/>
      <c r="D12" s="45"/>
      <c r="E12" s="24"/>
      <c r="F12" s="10">
        <v>0</v>
      </c>
      <c r="G12" s="49"/>
      <c r="H12" s="58"/>
      <c r="I12" s="58"/>
      <c r="J12" s="58"/>
      <c r="K12" s="58"/>
      <c r="L12" s="58"/>
      <c r="M12" s="52"/>
      <c r="N12" s="24"/>
      <c r="O12" s="16" t="s">
        <v>796</v>
      </c>
      <c r="P12" s="6" t="s">
        <v>543</v>
      </c>
      <c r="Q12" s="6" t="s">
        <v>538</v>
      </c>
    </row>
    <row r="13" spans="1:29" ht="30.6" customHeight="1" x14ac:dyDescent="0.3">
      <c r="A13" s="41" t="s">
        <v>799</v>
      </c>
      <c r="B13" s="41" t="s">
        <v>800</v>
      </c>
      <c r="C13" s="43"/>
      <c r="D13" s="45"/>
      <c r="E13" s="24"/>
      <c r="F13" s="10">
        <v>0</v>
      </c>
      <c r="G13" s="54">
        <f>SUMIF(Q14:Q16,P13,G14:G16)</f>
        <v>68935582</v>
      </c>
      <c r="H13" s="12">
        <v>0</v>
      </c>
      <c r="I13" s="55">
        <f>SUMIF(Q14:Q16,P13,I14:I16)</f>
        <v>30868232</v>
      </c>
      <c r="J13" s="12">
        <v>0</v>
      </c>
      <c r="K13" s="61">
        <f>SUMIF(Q14:Q16,P13,K14:K16)</f>
        <v>24252024</v>
      </c>
      <c r="L13" s="23">
        <v>0</v>
      </c>
      <c r="M13" s="61">
        <f>SUMIF(Q14:Q16,P13,M14:M16)</f>
        <v>13815326</v>
      </c>
      <c r="N13" s="24"/>
      <c r="O13" s="36" t="str">
        <f>"_x0007_`COD|E2_x0005_`QTY1|1_x0005_`EXI|0_x0005_`ITT|0_x0005_`END|"&amp;ROW(M17)&amp;"_x0005_`"</f>
        <v>_x0007_`COD|E2_x0005_`QTY1|1_x0005_`EXI|0_x0005_`ITT|0_x0005_`END|17_x0005_`</v>
      </c>
      <c r="P13" s="6" t="s">
        <v>518</v>
      </c>
      <c r="Q13" s="6" t="s">
        <v>538</v>
      </c>
    </row>
    <row r="14" spans="1:29" ht="30.6" customHeight="1" x14ac:dyDescent="0.3">
      <c r="A14" s="9"/>
      <c r="B14" s="9" t="s">
        <v>220</v>
      </c>
      <c r="C14" s="44" t="s">
        <v>188</v>
      </c>
      <c r="D14" s="46">
        <v>5675</v>
      </c>
      <c r="E14" s="24" t="s">
        <v>14</v>
      </c>
      <c r="F14" s="53">
        <f t="shared" ref="F14:G16" si="1">J14+H14+L14</f>
        <v>1714</v>
      </c>
      <c r="G14" s="55">
        <f t="shared" si="1"/>
        <v>9726950</v>
      </c>
      <c r="H14" s="57">
        <f>단가산출근거목록표!F18</f>
        <v>987</v>
      </c>
      <c r="I14" s="12">
        <f>ROUNDDOWN(H14*D14,0)</f>
        <v>5601225</v>
      </c>
      <c r="J14" s="60">
        <f>단가산출근거목록표!G18</f>
        <v>318</v>
      </c>
      <c r="K14" s="12">
        <f>ROUNDDOWN(J14*D14,0)</f>
        <v>1804650</v>
      </c>
      <c r="L14" s="53">
        <f>단가산출근거목록표!H18</f>
        <v>409</v>
      </c>
      <c r="M14" s="23">
        <f>ROUNDDOWN(L14*D14,0)</f>
        <v>2321075</v>
      </c>
      <c r="N14" s="24" t="s">
        <v>803</v>
      </c>
      <c r="O14" s="16" t="s">
        <v>802</v>
      </c>
      <c r="P14" s="6" t="s">
        <v>801</v>
      </c>
      <c r="Q14" s="6" t="s">
        <v>518</v>
      </c>
      <c r="AC14" s="19" t="str">
        <f ca="1">HYPERLINK("#"&amp;단가산출근거목록표!J2&amp;"!A"&amp;ROW(단가산출근거목록표!A18),"산근   15 →")</f>
        <v>산근   15 →</v>
      </c>
    </row>
    <row r="15" spans="1:29" ht="30.6" customHeight="1" x14ac:dyDescent="0.3">
      <c r="A15" s="9"/>
      <c r="B15" s="9" t="s">
        <v>223</v>
      </c>
      <c r="C15" s="44" t="s">
        <v>224</v>
      </c>
      <c r="D15" s="46">
        <v>972</v>
      </c>
      <c r="E15" s="24" t="s">
        <v>14</v>
      </c>
      <c r="F15" s="53">
        <f t="shared" si="1"/>
        <v>21128</v>
      </c>
      <c r="G15" s="55">
        <f t="shared" si="1"/>
        <v>20536416</v>
      </c>
      <c r="H15" s="57">
        <f>단가산출근거목록표!F19</f>
        <v>10971</v>
      </c>
      <c r="I15" s="12">
        <f>ROUNDDOWN(H15*D15,0)</f>
        <v>10663812</v>
      </c>
      <c r="J15" s="60">
        <f>단가산출근거목록표!G19</f>
        <v>3625</v>
      </c>
      <c r="K15" s="12">
        <f>ROUNDDOWN(J15*D15,0)</f>
        <v>3523500</v>
      </c>
      <c r="L15" s="53">
        <f>단가산출근거목록표!H19</f>
        <v>6532</v>
      </c>
      <c r="M15" s="23">
        <f>ROUNDDOWN(L15*D15,0)</f>
        <v>6349104</v>
      </c>
      <c r="N15" s="24" t="s">
        <v>806</v>
      </c>
      <c r="O15" s="16" t="s">
        <v>805</v>
      </c>
      <c r="P15" s="6" t="s">
        <v>804</v>
      </c>
      <c r="Q15" s="6" t="s">
        <v>518</v>
      </c>
      <c r="AC15" s="19" t="str">
        <f ca="1">HYPERLINK("#"&amp;단가산출근거목록표!J2&amp;"!A"&amp;ROW(단가산출근거목록표!A19),"산근   16 →")</f>
        <v>산근   16 →</v>
      </c>
    </row>
    <row r="16" spans="1:29" ht="30.6" customHeight="1" x14ac:dyDescent="0.3">
      <c r="A16" s="9"/>
      <c r="B16" s="9" t="s">
        <v>227</v>
      </c>
      <c r="C16" s="44" t="s">
        <v>228</v>
      </c>
      <c r="D16" s="46">
        <v>3889</v>
      </c>
      <c r="E16" s="24" t="s">
        <v>14</v>
      </c>
      <c r="F16" s="53">
        <f t="shared" si="1"/>
        <v>9944</v>
      </c>
      <c r="G16" s="55">
        <f t="shared" si="1"/>
        <v>38672216</v>
      </c>
      <c r="H16" s="57">
        <f>단가산출근거목록표!F20</f>
        <v>3755</v>
      </c>
      <c r="I16" s="12">
        <f>ROUNDDOWN(H16*D16,0)</f>
        <v>14603195</v>
      </c>
      <c r="J16" s="60">
        <f>단가산출근거목록표!G20</f>
        <v>4866</v>
      </c>
      <c r="K16" s="12">
        <f>ROUNDDOWN(J16*D16,0)</f>
        <v>18923874</v>
      </c>
      <c r="L16" s="53">
        <f>단가산출근거목록표!H20</f>
        <v>1323</v>
      </c>
      <c r="M16" s="23">
        <f>ROUNDDOWN(L16*D16,0)</f>
        <v>5145147</v>
      </c>
      <c r="N16" s="24" t="s">
        <v>809</v>
      </c>
      <c r="O16" s="16" t="s">
        <v>808</v>
      </c>
      <c r="P16" s="6" t="s">
        <v>807</v>
      </c>
      <c r="Q16" s="6" t="s">
        <v>518</v>
      </c>
      <c r="AC16" s="19" t="str">
        <f ca="1">HYPERLINK("#"&amp;단가산출근거목록표!J2&amp;"!A"&amp;ROW(단가산출근거목록표!A20),"산근   17 →")</f>
        <v>산근   17 →</v>
      </c>
    </row>
    <row r="17" spans="1:29" ht="30.6" customHeight="1" x14ac:dyDescent="0.3">
      <c r="A17" s="9"/>
      <c r="B17" s="9"/>
      <c r="C17" s="44"/>
      <c r="D17" s="45"/>
      <c r="E17" s="24"/>
      <c r="F17" s="10">
        <v>0</v>
      </c>
      <c r="G17" s="49"/>
      <c r="H17" s="58"/>
      <c r="I17" s="58"/>
      <c r="J17" s="58"/>
      <c r="K17" s="58"/>
      <c r="L17" s="58"/>
      <c r="M17" s="52"/>
      <c r="N17" s="24"/>
      <c r="O17" s="16" t="s">
        <v>796</v>
      </c>
      <c r="P17" s="6" t="s">
        <v>543</v>
      </c>
      <c r="Q17" s="6" t="s">
        <v>538</v>
      </c>
    </row>
    <row r="18" spans="1:29" ht="30.6" customHeight="1" x14ac:dyDescent="0.3">
      <c r="A18" s="41" t="s">
        <v>810</v>
      </c>
      <c r="B18" s="41" t="s">
        <v>811</v>
      </c>
      <c r="C18" s="43"/>
      <c r="D18" s="45"/>
      <c r="E18" s="24"/>
      <c r="F18" s="10">
        <v>0</v>
      </c>
      <c r="G18" s="54">
        <f>SUMIF(Q19:Q21,P18,G19:G21)</f>
        <v>3677714</v>
      </c>
      <c r="H18" s="12">
        <v>0</v>
      </c>
      <c r="I18" s="55">
        <f>SUMIF(Q19:Q21,P18,I19:I21)</f>
        <v>2065677</v>
      </c>
      <c r="J18" s="12">
        <v>0</v>
      </c>
      <c r="K18" s="61">
        <f>SUMIF(Q19:Q21,P18,K19:K21)</f>
        <v>669449</v>
      </c>
      <c r="L18" s="23">
        <v>0</v>
      </c>
      <c r="M18" s="61">
        <f>SUMIF(Q19:Q21,P18,M19:M21)</f>
        <v>942588</v>
      </c>
      <c r="N18" s="24"/>
      <c r="O18" s="36" t="str">
        <f>"_x0007_`COD|E2_x0005_`QTY1|1_x0005_`EXI|0_x0005_`ITT|0_x0005_`END|"&amp;ROW(M22)&amp;"_x0005_`"</f>
        <v>_x0007_`COD|E2_x0005_`QTY1|1_x0005_`EXI|0_x0005_`ITT|0_x0005_`END|22_x0005_`</v>
      </c>
      <c r="P18" s="6" t="s">
        <v>518</v>
      </c>
      <c r="Q18" s="6" t="s">
        <v>538</v>
      </c>
    </row>
    <row r="19" spans="1:29" ht="30.6" customHeight="1" x14ac:dyDescent="0.3">
      <c r="A19" s="9"/>
      <c r="B19" s="9" t="s">
        <v>187</v>
      </c>
      <c r="C19" s="44" t="s">
        <v>188</v>
      </c>
      <c r="D19" s="46">
        <v>1248</v>
      </c>
      <c r="E19" s="24" t="s">
        <v>14</v>
      </c>
      <c r="F19" s="53">
        <f t="shared" ref="F19:G21" si="2">J19+H19+L19</f>
        <v>1450</v>
      </c>
      <c r="G19" s="55">
        <f t="shared" si="2"/>
        <v>1809600</v>
      </c>
      <c r="H19" s="57">
        <f>단가산출근거목록표!F21</f>
        <v>835</v>
      </c>
      <c r="I19" s="12">
        <f>ROUNDDOWN(H19*D19,0)</f>
        <v>1042080</v>
      </c>
      <c r="J19" s="60">
        <f>단가산출근거목록표!G21</f>
        <v>269</v>
      </c>
      <c r="K19" s="12">
        <f>ROUNDDOWN(J19*D19,0)</f>
        <v>335712</v>
      </c>
      <c r="L19" s="53">
        <f>단가산출근거목록표!H21</f>
        <v>346</v>
      </c>
      <c r="M19" s="23">
        <f>ROUNDDOWN(L19*D19,0)</f>
        <v>431808</v>
      </c>
      <c r="N19" s="24" t="s">
        <v>814</v>
      </c>
      <c r="O19" s="16" t="s">
        <v>813</v>
      </c>
      <c r="P19" s="6" t="s">
        <v>812</v>
      </c>
      <c r="Q19" s="6" t="s">
        <v>518</v>
      </c>
      <c r="AC19" s="19" t="str">
        <f ca="1">HYPERLINK("#"&amp;단가산출근거목록표!J2&amp;"!A"&amp;ROW(단가산출근거목록표!A21),"산근   18 →")</f>
        <v>산근   18 →</v>
      </c>
    </row>
    <row r="20" spans="1:29" ht="30.6" customHeight="1" x14ac:dyDescent="0.3">
      <c r="A20" s="9"/>
      <c r="B20" s="9" t="s">
        <v>233</v>
      </c>
      <c r="C20" s="44" t="s">
        <v>234</v>
      </c>
      <c r="D20" s="46">
        <v>30</v>
      </c>
      <c r="E20" s="24" t="s">
        <v>14</v>
      </c>
      <c r="F20" s="53">
        <f t="shared" si="2"/>
        <v>31331</v>
      </c>
      <c r="G20" s="55">
        <f t="shared" si="2"/>
        <v>939930</v>
      </c>
      <c r="H20" s="57">
        <f>단가산출근거목록표!F22</f>
        <v>16310</v>
      </c>
      <c r="I20" s="12">
        <f>ROUNDDOWN(H20*D20,0)</f>
        <v>489300</v>
      </c>
      <c r="J20" s="60">
        <f>단가산출근거목록표!G22</f>
        <v>5385</v>
      </c>
      <c r="K20" s="12">
        <f>ROUNDDOWN(J20*D20,0)</f>
        <v>161550</v>
      </c>
      <c r="L20" s="53">
        <f>단가산출근거목록표!H22</f>
        <v>9636</v>
      </c>
      <c r="M20" s="23">
        <f>ROUNDDOWN(L20*D20,0)</f>
        <v>289080</v>
      </c>
      <c r="N20" s="24" t="s">
        <v>817</v>
      </c>
      <c r="O20" s="16" t="s">
        <v>816</v>
      </c>
      <c r="P20" s="6" t="s">
        <v>815</v>
      </c>
      <c r="Q20" s="6" t="s">
        <v>518</v>
      </c>
      <c r="AC20" s="19" t="str">
        <f ca="1">HYPERLINK("#"&amp;단가산출근거목록표!J2&amp;"!A"&amp;ROW(단가산출근거목록표!A22),"산근   19 →")</f>
        <v>산근   19 →</v>
      </c>
    </row>
    <row r="21" spans="1:29" ht="30.6" customHeight="1" x14ac:dyDescent="0.3">
      <c r="A21" s="9"/>
      <c r="B21" s="9" t="s">
        <v>237</v>
      </c>
      <c r="C21" s="44" t="s">
        <v>188</v>
      </c>
      <c r="D21" s="46">
        <v>739</v>
      </c>
      <c r="E21" s="24" t="s">
        <v>14</v>
      </c>
      <c r="F21" s="53">
        <f t="shared" si="2"/>
        <v>1256</v>
      </c>
      <c r="G21" s="55">
        <f t="shared" si="2"/>
        <v>928184</v>
      </c>
      <c r="H21" s="57">
        <f>단가산출근거목록표!F23</f>
        <v>723</v>
      </c>
      <c r="I21" s="12">
        <f>ROUNDDOWN(H21*D21,0)</f>
        <v>534297</v>
      </c>
      <c r="J21" s="60">
        <f>단가산출근거목록표!G23</f>
        <v>233</v>
      </c>
      <c r="K21" s="12">
        <f>ROUNDDOWN(J21*D21,0)</f>
        <v>172187</v>
      </c>
      <c r="L21" s="53">
        <f>단가산출근거목록표!H23</f>
        <v>300</v>
      </c>
      <c r="M21" s="23">
        <f>ROUNDDOWN(L21*D21,0)</f>
        <v>221700</v>
      </c>
      <c r="N21" s="24" t="s">
        <v>820</v>
      </c>
      <c r="O21" s="16" t="s">
        <v>819</v>
      </c>
      <c r="P21" s="6" t="s">
        <v>818</v>
      </c>
      <c r="Q21" s="6" t="s">
        <v>518</v>
      </c>
      <c r="AC21" s="19" t="str">
        <f ca="1">HYPERLINK("#"&amp;단가산출근거목록표!J2&amp;"!A"&amp;ROW(단가산출근거목록표!A23),"산근   20 →")</f>
        <v>산근   20 →</v>
      </c>
    </row>
    <row r="22" spans="1:29" ht="30.6" customHeight="1" x14ac:dyDescent="0.3">
      <c r="A22" s="9"/>
      <c r="B22" s="9"/>
      <c r="C22" s="44"/>
      <c r="D22" s="45"/>
      <c r="E22" s="24"/>
      <c r="F22" s="10">
        <v>0</v>
      </c>
      <c r="G22" s="49"/>
      <c r="H22" s="58"/>
      <c r="I22" s="58"/>
      <c r="J22" s="58"/>
      <c r="K22" s="58"/>
      <c r="L22" s="58"/>
      <c r="M22" s="52"/>
      <c r="N22" s="24"/>
      <c r="O22" s="16" t="s">
        <v>796</v>
      </c>
      <c r="P22" s="6" t="s">
        <v>543</v>
      </c>
      <c r="Q22" s="6" t="s">
        <v>538</v>
      </c>
    </row>
    <row r="23" spans="1:29" ht="30.6" customHeight="1" x14ac:dyDescent="0.3">
      <c r="A23" s="41" t="s">
        <v>821</v>
      </c>
      <c r="B23" s="41" t="s">
        <v>822</v>
      </c>
      <c r="C23" s="43"/>
      <c r="D23" s="45"/>
      <c r="E23" s="24"/>
      <c r="F23" s="10">
        <v>0</v>
      </c>
      <c r="G23" s="54">
        <f>SUMIF(Q24:Q25,P23,G24:G25)</f>
        <v>5018377</v>
      </c>
      <c r="H23" s="12">
        <v>0</v>
      </c>
      <c r="I23" s="55">
        <f>SUMIF(Q24:Q25,P23,I24:I25)</f>
        <v>2620375</v>
      </c>
      <c r="J23" s="12">
        <v>0</v>
      </c>
      <c r="K23" s="61">
        <f>SUMIF(Q24:Q25,P23,K24:K25)</f>
        <v>862776</v>
      </c>
      <c r="L23" s="23">
        <v>0</v>
      </c>
      <c r="M23" s="61">
        <f>SUMIF(Q24:Q25,P23,M24:M25)</f>
        <v>1535226</v>
      </c>
      <c r="N23" s="24"/>
      <c r="O23" s="36" t="str">
        <f>"_x0007_`COD|E2_x0005_`QTY1|1_x0005_`EXI|0_x0005_`ITT|0_x0005_`END|"&amp;ROW(M26)&amp;"_x0005_`"</f>
        <v>_x0007_`COD|E2_x0005_`QTY1|1_x0005_`EXI|0_x0005_`ITT|0_x0005_`END|26_x0005_`</v>
      </c>
      <c r="P23" s="6" t="s">
        <v>518</v>
      </c>
      <c r="Q23" s="6" t="s">
        <v>538</v>
      </c>
    </row>
    <row r="24" spans="1:29" ht="30.6" customHeight="1" x14ac:dyDescent="0.3">
      <c r="A24" s="9"/>
      <c r="B24" s="9" t="s">
        <v>240</v>
      </c>
      <c r="C24" s="44" t="s">
        <v>241</v>
      </c>
      <c r="D24" s="46">
        <v>33</v>
      </c>
      <c r="E24" s="24" t="s">
        <v>14</v>
      </c>
      <c r="F24" s="53">
        <f>J24+H24+L24</f>
        <v>2063</v>
      </c>
      <c r="G24" s="55">
        <f>K24+I24+M24</f>
        <v>68079</v>
      </c>
      <c r="H24" s="57">
        <f>단가산출근거목록표!F24</f>
        <v>1315</v>
      </c>
      <c r="I24" s="12">
        <f>ROUNDDOWN(H24*D24,0)</f>
        <v>43395</v>
      </c>
      <c r="J24" s="60">
        <f>단가산출근거목록표!G24</f>
        <v>362</v>
      </c>
      <c r="K24" s="12">
        <f>ROUNDDOWN(J24*D24,0)</f>
        <v>11946</v>
      </c>
      <c r="L24" s="53">
        <f>단가산출근거목록표!H24</f>
        <v>386</v>
      </c>
      <c r="M24" s="23">
        <f>ROUNDDOWN(L24*D24,0)</f>
        <v>12738</v>
      </c>
      <c r="N24" s="24" t="s">
        <v>825</v>
      </c>
      <c r="O24" s="16" t="s">
        <v>824</v>
      </c>
      <c r="P24" s="6" t="s">
        <v>823</v>
      </c>
      <c r="Q24" s="6" t="s">
        <v>518</v>
      </c>
      <c r="AC24" s="19" t="str">
        <f ca="1">HYPERLINK("#"&amp;단가산출근거목록표!J2&amp;"!A"&amp;ROW(단가산출근거목록표!A24),"산근   21 →")</f>
        <v>산근   21 →</v>
      </c>
    </row>
    <row r="25" spans="1:29" ht="30.6" customHeight="1" x14ac:dyDescent="0.3">
      <c r="A25" s="9"/>
      <c r="B25" s="9" t="s">
        <v>244</v>
      </c>
      <c r="C25" s="44" t="s">
        <v>234</v>
      </c>
      <c r="D25" s="46">
        <v>158</v>
      </c>
      <c r="E25" s="24" t="s">
        <v>14</v>
      </c>
      <c r="F25" s="53">
        <f>J25+H25+L25</f>
        <v>31331</v>
      </c>
      <c r="G25" s="55">
        <f>K25+I25+M25</f>
        <v>4950298</v>
      </c>
      <c r="H25" s="57">
        <f>단가산출근거목록표!F25</f>
        <v>16310</v>
      </c>
      <c r="I25" s="12">
        <f>ROUNDDOWN(H25*D25,0)</f>
        <v>2576980</v>
      </c>
      <c r="J25" s="60">
        <f>단가산출근거목록표!G25</f>
        <v>5385</v>
      </c>
      <c r="K25" s="12">
        <f>ROUNDDOWN(J25*D25,0)</f>
        <v>850830</v>
      </c>
      <c r="L25" s="53">
        <f>단가산출근거목록표!H25</f>
        <v>9636</v>
      </c>
      <c r="M25" s="23">
        <f>ROUNDDOWN(L25*D25,0)</f>
        <v>1522488</v>
      </c>
      <c r="N25" s="24" t="s">
        <v>828</v>
      </c>
      <c r="O25" s="16" t="s">
        <v>827</v>
      </c>
      <c r="P25" s="6" t="s">
        <v>826</v>
      </c>
      <c r="Q25" s="6" t="s">
        <v>518</v>
      </c>
      <c r="AC25" s="19" t="str">
        <f ca="1">HYPERLINK("#"&amp;단가산출근거목록표!J2&amp;"!A"&amp;ROW(단가산출근거목록표!A25),"산근   22 →")</f>
        <v>산근   22 →</v>
      </c>
    </row>
    <row r="26" spans="1:29" ht="30.6" customHeight="1" x14ac:dyDescent="0.3">
      <c r="A26" s="9"/>
      <c r="B26" s="9"/>
      <c r="C26" s="44"/>
      <c r="D26" s="45"/>
      <c r="E26" s="24"/>
      <c r="F26" s="10">
        <v>0</v>
      </c>
      <c r="G26" s="49"/>
      <c r="H26" s="58"/>
      <c r="I26" s="58"/>
      <c r="J26" s="58"/>
      <c r="K26" s="58"/>
      <c r="L26" s="58"/>
      <c r="M26" s="52"/>
      <c r="N26" s="24"/>
      <c r="O26" s="16" t="s">
        <v>796</v>
      </c>
      <c r="P26" s="6" t="s">
        <v>543</v>
      </c>
      <c r="Q26" s="6" t="s">
        <v>538</v>
      </c>
    </row>
    <row r="27" spans="1:29" ht="30.6" customHeight="1" x14ac:dyDescent="0.3">
      <c r="A27" s="41" t="s">
        <v>829</v>
      </c>
      <c r="B27" s="41" t="s">
        <v>830</v>
      </c>
      <c r="C27" s="43"/>
      <c r="D27" s="45"/>
      <c r="E27" s="24"/>
      <c r="F27" s="10">
        <v>0</v>
      </c>
      <c r="G27" s="54">
        <f>SUMIF(Q28:Q32,P27,G28:G32)</f>
        <v>30107384</v>
      </c>
      <c r="H27" s="12">
        <v>0</v>
      </c>
      <c r="I27" s="55">
        <f>SUMIF(Q28:Q32,P27,I28:I32)</f>
        <v>17863818</v>
      </c>
      <c r="J27" s="12">
        <v>0</v>
      </c>
      <c r="K27" s="61">
        <f>SUMIF(Q28:Q32,P27,K28:K32)</f>
        <v>4887384</v>
      </c>
      <c r="L27" s="23">
        <v>0</v>
      </c>
      <c r="M27" s="61">
        <f>SUMIF(Q28:Q32,P27,M28:M32)</f>
        <v>7356182</v>
      </c>
      <c r="N27" s="24"/>
      <c r="O27" s="36" t="str">
        <f>"_x0007_`COD|E2_x0005_`QTY1|1_x0005_`EXI|0_x0005_`ITT|0_x0005_`END|"&amp;ROW(M33)&amp;"_x0005_`"</f>
        <v>_x0007_`COD|E2_x0005_`QTY1|1_x0005_`EXI|0_x0005_`ITT|0_x0005_`END|33_x0005_`</v>
      </c>
      <c r="P27" s="6" t="s">
        <v>518</v>
      </c>
      <c r="Q27" s="6" t="s">
        <v>538</v>
      </c>
    </row>
    <row r="28" spans="1:29" ht="30.6" customHeight="1" x14ac:dyDescent="0.3">
      <c r="A28" s="9"/>
      <c r="B28" s="9" t="s">
        <v>247</v>
      </c>
      <c r="C28" s="44" t="s">
        <v>248</v>
      </c>
      <c r="D28" s="46">
        <v>4133</v>
      </c>
      <c r="E28" s="24" t="s">
        <v>14</v>
      </c>
      <c r="F28" s="53">
        <f t="shared" ref="F28:G32" si="3">J28+H28+L28</f>
        <v>0</v>
      </c>
      <c r="G28" s="55">
        <f t="shared" si="3"/>
        <v>0</v>
      </c>
      <c r="H28" s="57">
        <f>단가산출근거목록표!F26</f>
        <v>0</v>
      </c>
      <c r="I28" s="12">
        <f>ROUNDDOWN(H28*D28,0)</f>
        <v>0</v>
      </c>
      <c r="J28" s="60">
        <f>단가산출근거목록표!G26</f>
        <v>0</v>
      </c>
      <c r="K28" s="12">
        <f>ROUNDDOWN(J28*D28,0)</f>
        <v>0</v>
      </c>
      <c r="L28" s="53">
        <f>단가산출근거목록표!H26</f>
        <v>0</v>
      </c>
      <c r="M28" s="23">
        <f>ROUNDDOWN(L28*D28,0)</f>
        <v>0</v>
      </c>
      <c r="N28" s="24" t="s">
        <v>833</v>
      </c>
      <c r="O28" s="16" t="s">
        <v>832</v>
      </c>
      <c r="P28" s="6" t="s">
        <v>831</v>
      </c>
      <c r="Q28" s="6" t="s">
        <v>518</v>
      </c>
      <c r="AC28" s="19" t="str">
        <f ca="1">HYPERLINK("#"&amp;단가산출근거목록표!J2&amp;"!A"&amp;ROW(단가산출근거목록표!A26),"산근   23 →")</f>
        <v>산근   23 →</v>
      </c>
    </row>
    <row r="29" spans="1:29" ht="30.6" customHeight="1" x14ac:dyDescent="0.3">
      <c r="A29" s="9"/>
      <c r="B29" s="9" t="s">
        <v>251</v>
      </c>
      <c r="C29" s="44" t="s">
        <v>252</v>
      </c>
      <c r="D29" s="46">
        <v>1170</v>
      </c>
      <c r="E29" s="24" t="s">
        <v>14</v>
      </c>
      <c r="F29" s="53">
        <f t="shared" si="3"/>
        <v>1988</v>
      </c>
      <c r="G29" s="55">
        <f t="shared" si="3"/>
        <v>2325960</v>
      </c>
      <c r="H29" s="57">
        <f>단가산출근거목록표!F27</f>
        <v>879</v>
      </c>
      <c r="I29" s="12">
        <f>ROUNDDOWN(H29*D29,0)</f>
        <v>1028430</v>
      </c>
      <c r="J29" s="60">
        <f>단가산출근거목록표!G27</f>
        <v>582</v>
      </c>
      <c r="K29" s="12">
        <f>ROUNDDOWN(J29*D29,0)</f>
        <v>680940</v>
      </c>
      <c r="L29" s="53">
        <f>단가산출근거목록표!H27</f>
        <v>527</v>
      </c>
      <c r="M29" s="23">
        <f>ROUNDDOWN(L29*D29,0)</f>
        <v>616590</v>
      </c>
      <c r="N29" s="24" t="s">
        <v>836</v>
      </c>
      <c r="O29" s="16" t="s">
        <v>835</v>
      </c>
      <c r="P29" s="6" t="s">
        <v>834</v>
      </c>
      <c r="Q29" s="6" t="s">
        <v>518</v>
      </c>
      <c r="AC29" s="19" t="str">
        <f ca="1">HYPERLINK("#"&amp;단가산출근거목록표!J2&amp;"!A"&amp;ROW(단가산출근거목록표!A27),"산근   24 →")</f>
        <v>산근   24 →</v>
      </c>
    </row>
    <row r="30" spans="1:29" ht="30.6" customHeight="1" x14ac:dyDescent="0.3">
      <c r="A30" s="9"/>
      <c r="B30" s="9" t="s">
        <v>255</v>
      </c>
      <c r="C30" s="44" t="s">
        <v>256</v>
      </c>
      <c r="D30" s="46">
        <v>1554</v>
      </c>
      <c r="E30" s="24" t="s">
        <v>14</v>
      </c>
      <c r="F30" s="53">
        <f t="shared" si="3"/>
        <v>1988</v>
      </c>
      <c r="G30" s="55">
        <f t="shared" si="3"/>
        <v>3089352</v>
      </c>
      <c r="H30" s="57">
        <f>단가산출근거목록표!F28</f>
        <v>846</v>
      </c>
      <c r="I30" s="12">
        <f>ROUNDDOWN(H30*D30,0)</f>
        <v>1314684</v>
      </c>
      <c r="J30" s="60">
        <f>단가산출근거목록표!G28</f>
        <v>560</v>
      </c>
      <c r="K30" s="12">
        <f>ROUNDDOWN(J30*D30,0)</f>
        <v>870240</v>
      </c>
      <c r="L30" s="53">
        <f>단가산출근거목록표!H28</f>
        <v>582</v>
      </c>
      <c r="M30" s="23">
        <f>ROUNDDOWN(L30*D30,0)</f>
        <v>904428</v>
      </c>
      <c r="N30" s="24" t="s">
        <v>839</v>
      </c>
      <c r="O30" s="16" t="s">
        <v>838</v>
      </c>
      <c r="P30" s="6" t="s">
        <v>837</v>
      </c>
      <c r="Q30" s="6" t="s">
        <v>518</v>
      </c>
      <c r="AC30" s="19" t="str">
        <f ca="1">HYPERLINK("#"&amp;단가산출근거목록표!J2&amp;"!A"&amp;ROW(단가산출근거목록표!A28),"산근   25 →")</f>
        <v>산근   25 →</v>
      </c>
    </row>
    <row r="31" spans="1:29" ht="30.6" customHeight="1" x14ac:dyDescent="0.3">
      <c r="A31" s="9"/>
      <c r="B31" s="9" t="s">
        <v>259</v>
      </c>
      <c r="C31" s="44" t="s">
        <v>260</v>
      </c>
      <c r="D31" s="46">
        <v>1667</v>
      </c>
      <c r="E31" s="24" t="s">
        <v>14</v>
      </c>
      <c r="F31" s="53">
        <f t="shared" si="3"/>
        <v>6852</v>
      </c>
      <c r="G31" s="55">
        <f t="shared" si="3"/>
        <v>11422284</v>
      </c>
      <c r="H31" s="57">
        <f>단가산출근거목록표!F29</f>
        <v>4294</v>
      </c>
      <c r="I31" s="12">
        <f>ROUNDDOWN(H31*D31,0)</f>
        <v>7158098</v>
      </c>
      <c r="J31" s="60">
        <f>단가산출근거목록표!G29</f>
        <v>932</v>
      </c>
      <c r="K31" s="12">
        <f>ROUNDDOWN(J31*D31,0)</f>
        <v>1553644</v>
      </c>
      <c r="L31" s="53">
        <f>단가산출근거목록표!H29</f>
        <v>1626</v>
      </c>
      <c r="M31" s="23">
        <f>ROUNDDOWN(L31*D31,0)</f>
        <v>2710542</v>
      </c>
      <c r="N31" s="24" t="s">
        <v>842</v>
      </c>
      <c r="O31" s="16" t="s">
        <v>841</v>
      </c>
      <c r="P31" s="6" t="s">
        <v>840</v>
      </c>
      <c r="Q31" s="6" t="s">
        <v>518</v>
      </c>
      <c r="AC31" s="19" t="str">
        <f ca="1">HYPERLINK("#"&amp;단가산출근거목록표!J2&amp;"!A"&amp;ROW(단가산출근거목록표!A29),"산근   26 →")</f>
        <v>산근   26 →</v>
      </c>
    </row>
    <row r="32" spans="1:29" ht="30.6" customHeight="1" x14ac:dyDescent="0.3">
      <c r="A32" s="9"/>
      <c r="B32" s="9" t="s">
        <v>263</v>
      </c>
      <c r="C32" s="44" t="s">
        <v>264</v>
      </c>
      <c r="D32" s="46">
        <v>1714</v>
      </c>
      <c r="E32" s="24" t="s">
        <v>14</v>
      </c>
      <c r="F32" s="53">
        <f t="shared" si="3"/>
        <v>7742</v>
      </c>
      <c r="G32" s="55">
        <f t="shared" si="3"/>
        <v>13269788</v>
      </c>
      <c r="H32" s="57">
        <f>단가산출근거목록표!F30</f>
        <v>4879</v>
      </c>
      <c r="I32" s="12">
        <f>ROUNDDOWN(H32*D32,0)</f>
        <v>8362606</v>
      </c>
      <c r="J32" s="60">
        <f>단가산출근거목록표!G30</f>
        <v>1040</v>
      </c>
      <c r="K32" s="12">
        <f>ROUNDDOWN(J32*D32,0)</f>
        <v>1782560</v>
      </c>
      <c r="L32" s="53">
        <f>단가산출근거목록표!H30</f>
        <v>1823</v>
      </c>
      <c r="M32" s="23">
        <f>ROUNDDOWN(L32*D32,0)</f>
        <v>3124622</v>
      </c>
      <c r="N32" s="24" t="s">
        <v>845</v>
      </c>
      <c r="O32" s="16" t="s">
        <v>844</v>
      </c>
      <c r="P32" s="6" t="s">
        <v>843</v>
      </c>
      <c r="Q32" s="6" t="s">
        <v>518</v>
      </c>
      <c r="AC32" s="19" t="str">
        <f ca="1">HYPERLINK("#"&amp;단가산출근거목록표!J2&amp;"!A"&amp;ROW(단가산출근거목록표!A30),"산근   27 →")</f>
        <v>산근   27 →</v>
      </c>
    </row>
    <row r="33" spans="1:29" ht="30.6" customHeight="1" x14ac:dyDescent="0.3">
      <c r="A33" s="9"/>
      <c r="B33" s="9"/>
      <c r="C33" s="44"/>
      <c r="D33" s="45"/>
      <c r="E33" s="24"/>
      <c r="F33" s="10">
        <v>0</v>
      </c>
      <c r="G33" s="49"/>
      <c r="H33" s="58"/>
      <c r="I33" s="58"/>
      <c r="J33" s="58"/>
      <c r="K33" s="58"/>
      <c r="L33" s="58"/>
      <c r="M33" s="52"/>
      <c r="N33" s="24"/>
      <c r="O33" s="16" t="s">
        <v>796</v>
      </c>
      <c r="P33" s="6" t="s">
        <v>543</v>
      </c>
      <c r="Q33" s="6" t="s">
        <v>538</v>
      </c>
    </row>
    <row r="34" spans="1:29" ht="30.6" customHeight="1" x14ac:dyDescent="0.3">
      <c r="A34" s="41" t="s">
        <v>846</v>
      </c>
      <c r="B34" s="41" t="s">
        <v>847</v>
      </c>
      <c r="C34" s="43"/>
      <c r="D34" s="45"/>
      <c r="E34" s="24"/>
      <c r="F34" s="10">
        <v>0</v>
      </c>
      <c r="G34" s="54">
        <f>SUMIF(Q35:Q37,P34,G35:G37)</f>
        <v>10236372</v>
      </c>
      <c r="H34" s="12">
        <v>0</v>
      </c>
      <c r="I34" s="55">
        <f>SUMIF(Q35:Q37,P34,I35:I37)</f>
        <v>5776698</v>
      </c>
      <c r="J34" s="12">
        <v>0</v>
      </c>
      <c r="K34" s="61">
        <f>SUMIF(Q35:Q37,P34,K35:K37)</f>
        <v>1859494</v>
      </c>
      <c r="L34" s="23">
        <v>0</v>
      </c>
      <c r="M34" s="61">
        <f>SUMIF(Q35:Q37,P34,M35:M37)</f>
        <v>2600180</v>
      </c>
      <c r="N34" s="24"/>
      <c r="O34" s="36" t="str">
        <f>"_x0007_`COD|E2_x0005_`QTY1|1_x0005_`EXI|0_x0005_`ITT|0_x0005_`END|"&amp;ROW(M38)&amp;"_x0005_`"</f>
        <v>_x0007_`COD|E2_x0005_`QTY1|1_x0005_`EXI|0_x0005_`ITT|0_x0005_`END|38_x0005_`</v>
      </c>
      <c r="P34" s="6" t="s">
        <v>518</v>
      </c>
      <c r="Q34" s="6" t="s">
        <v>538</v>
      </c>
    </row>
    <row r="35" spans="1:29" ht="30.6" customHeight="1" x14ac:dyDescent="0.3">
      <c r="A35" s="9"/>
      <c r="B35" s="9" t="s">
        <v>267</v>
      </c>
      <c r="C35" s="44"/>
      <c r="D35" s="46">
        <v>1281</v>
      </c>
      <c r="E35" s="24" t="s">
        <v>14</v>
      </c>
      <c r="F35" s="53">
        <f t="shared" ref="F35:G37" si="4">J35+H35+L35</f>
        <v>2012</v>
      </c>
      <c r="G35" s="55">
        <f t="shared" si="4"/>
        <v>2577372</v>
      </c>
      <c r="H35" s="57">
        <f>단가산출근거목록표!F31</f>
        <v>1158</v>
      </c>
      <c r="I35" s="12">
        <f>ROUNDDOWN(H35*D35,0)</f>
        <v>1483398</v>
      </c>
      <c r="J35" s="60">
        <f>단가산출근거목록표!G31</f>
        <v>374</v>
      </c>
      <c r="K35" s="12">
        <f>ROUNDDOWN(J35*D35,0)</f>
        <v>479094</v>
      </c>
      <c r="L35" s="53">
        <f>단가산출근거목록표!H31</f>
        <v>480</v>
      </c>
      <c r="M35" s="23">
        <f>ROUNDDOWN(L35*D35,0)</f>
        <v>614880</v>
      </c>
      <c r="N35" s="24" t="s">
        <v>850</v>
      </c>
      <c r="O35" s="16" t="s">
        <v>849</v>
      </c>
      <c r="P35" s="6" t="s">
        <v>848</v>
      </c>
      <c r="Q35" s="6" t="s">
        <v>518</v>
      </c>
      <c r="AC35" s="19" t="str">
        <f ca="1">HYPERLINK("#"&amp;단가산출근거목록표!J2&amp;"!A"&amp;ROW(단가산출근거목록표!A31),"산근   28 →")</f>
        <v>산근   28 →</v>
      </c>
    </row>
    <row r="36" spans="1:29" ht="30.6" customHeight="1" x14ac:dyDescent="0.3">
      <c r="A36" s="9"/>
      <c r="B36" s="9" t="s">
        <v>270</v>
      </c>
      <c r="C36" s="44" t="s">
        <v>188</v>
      </c>
      <c r="D36" s="46">
        <v>5100</v>
      </c>
      <c r="E36" s="24" t="s">
        <v>26</v>
      </c>
      <c r="F36" s="53">
        <f t="shared" si="4"/>
        <v>1140</v>
      </c>
      <c r="G36" s="55">
        <f t="shared" si="4"/>
        <v>5814000</v>
      </c>
      <c r="H36" s="57">
        <f>단가산출근거목록표!F32</f>
        <v>633</v>
      </c>
      <c r="I36" s="12">
        <f>ROUNDDOWN(H36*D36,0)</f>
        <v>3228300</v>
      </c>
      <c r="J36" s="60">
        <f>단가산출근거목록표!G32</f>
        <v>204</v>
      </c>
      <c r="K36" s="12">
        <f>ROUNDDOWN(J36*D36,0)</f>
        <v>1040400</v>
      </c>
      <c r="L36" s="53">
        <f>단가산출근거목록표!H32</f>
        <v>303</v>
      </c>
      <c r="M36" s="23">
        <f>ROUNDDOWN(L36*D36,0)</f>
        <v>1545300</v>
      </c>
      <c r="N36" s="24" t="s">
        <v>853</v>
      </c>
      <c r="O36" s="16" t="s">
        <v>852</v>
      </c>
      <c r="P36" s="6" t="s">
        <v>851</v>
      </c>
      <c r="Q36" s="6" t="s">
        <v>518</v>
      </c>
      <c r="AC36" s="19" t="str">
        <f ca="1">HYPERLINK("#"&amp;단가산출근거목록표!J2&amp;"!A"&amp;ROW(단가산출근거목록표!A32),"산근   29 →")</f>
        <v>산근   29 →</v>
      </c>
    </row>
    <row r="37" spans="1:29" ht="30.6" customHeight="1" x14ac:dyDescent="0.3">
      <c r="A37" s="9"/>
      <c r="B37" s="9" t="s">
        <v>273</v>
      </c>
      <c r="C37" s="44" t="s">
        <v>274</v>
      </c>
      <c r="D37" s="46">
        <v>5000</v>
      </c>
      <c r="E37" s="24" t="s">
        <v>26</v>
      </c>
      <c r="F37" s="53">
        <f t="shared" si="4"/>
        <v>369</v>
      </c>
      <c r="G37" s="55">
        <f t="shared" si="4"/>
        <v>1845000</v>
      </c>
      <c r="H37" s="57">
        <f>단가산출근거목록표!F33</f>
        <v>213</v>
      </c>
      <c r="I37" s="12">
        <f>ROUNDDOWN(H37*D37,0)</f>
        <v>1065000</v>
      </c>
      <c r="J37" s="60">
        <f>단가산출근거목록표!G33</f>
        <v>68</v>
      </c>
      <c r="K37" s="12">
        <f>ROUNDDOWN(J37*D37,0)</f>
        <v>340000</v>
      </c>
      <c r="L37" s="53">
        <f>단가산출근거목록표!H33</f>
        <v>88</v>
      </c>
      <c r="M37" s="23">
        <f>ROUNDDOWN(L37*D37,0)</f>
        <v>440000</v>
      </c>
      <c r="N37" s="24" t="s">
        <v>856</v>
      </c>
      <c r="O37" s="16" t="s">
        <v>855</v>
      </c>
      <c r="P37" s="6" t="s">
        <v>854</v>
      </c>
      <c r="Q37" s="6" t="s">
        <v>518</v>
      </c>
      <c r="AC37" s="19" t="str">
        <f ca="1">HYPERLINK("#"&amp;단가산출근거목록표!J2&amp;"!A"&amp;ROW(단가산출근거목록표!A33),"산근   30 →")</f>
        <v>산근   30 →</v>
      </c>
    </row>
    <row r="38" spans="1:29" ht="30.6" customHeight="1" x14ac:dyDescent="0.3">
      <c r="A38" s="9"/>
      <c r="B38" s="9"/>
      <c r="C38" s="44"/>
      <c r="D38" s="45"/>
      <c r="E38" s="24"/>
      <c r="F38" s="10">
        <v>0</v>
      </c>
      <c r="G38" s="49"/>
      <c r="H38" s="58"/>
      <c r="I38" s="58"/>
      <c r="J38" s="58"/>
      <c r="K38" s="58"/>
      <c r="L38" s="58"/>
      <c r="M38" s="52"/>
      <c r="N38" s="24"/>
      <c r="O38" s="16" t="s">
        <v>796</v>
      </c>
      <c r="P38" s="6" t="s">
        <v>543</v>
      </c>
      <c r="Q38" s="6" t="s">
        <v>561</v>
      </c>
    </row>
    <row r="39" spans="1:29" ht="30.6" customHeight="1" x14ac:dyDescent="0.3">
      <c r="A39" s="41" t="s">
        <v>797</v>
      </c>
      <c r="B39" s="41" t="s">
        <v>857</v>
      </c>
      <c r="C39" s="43"/>
      <c r="D39" s="45"/>
      <c r="E39" s="24"/>
      <c r="F39" s="10">
        <v>0</v>
      </c>
      <c r="G39" s="54">
        <f>SUMIF(Q40:Q58,P39,G40:G58)</f>
        <v>57968748</v>
      </c>
      <c r="H39" s="12">
        <v>0</v>
      </c>
      <c r="I39" s="55">
        <f>SUMIF(Q40:Q58,P39,I40:I58)</f>
        <v>43355038</v>
      </c>
      <c r="J39" s="12">
        <v>0</v>
      </c>
      <c r="K39" s="61">
        <f>SUMIF(Q40:Q58,P39,K40:K58)</f>
        <v>6389271</v>
      </c>
      <c r="L39" s="23">
        <v>0</v>
      </c>
      <c r="M39" s="61">
        <f>SUMIF(Q40:Q58,P39,M40:M58)</f>
        <v>8224439</v>
      </c>
      <c r="N39" s="24"/>
      <c r="O39" s="36" t="str">
        <f>"_x0007_`COD|E3_x0005_`QTY1|1_x0005_`EXI|0_x0005_`ITT|0_x0005_`END|"&amp;ROW(M59)&amp;"_x0005_`"</f>
        <v>_x0007_`COD|E3_x0005_`QTY1|1_x0005_`EXI|0_x0005_`ITT|0_x0005_`END|59_x0005_`</v>
      </c>
      <c r="P39" s="6" t="s">
        <v>538</v>
      </c>
      <c r="Q39" s="6" t="s">
        <v>561</v>
      </c>
    </row>
    <row r="40" spans="1:29" ht="30.6" customHeight="1" x14ac:dyDescent="0.3">
      <c r="A40" s="41" t="s">
        <v>860</v>
      </c>
      <c r="B40" s="41" t="s">
        <v>861</v>
      </c>
      <c r="C40" s="43"/>
      <c r="D40" s="45"/>
      <c r="E40" s="24"/>
      <c r="F40" s="10">
        <v>0</v>
      </c>
      <c r="G40" s="54">
        <f>SUMIF(Q41:Q45,P40,G41:G45)</f>
        <v>18800398</v>
      </c>
      <c r="H40" s="12">
        <v>0</v>
      </c>
      <c r="I40" s="55">
        <f>SUMIF(Q41:Q45,P40,I41:I45)</f>
        <v>14290984</v>
      </c>
      <c r="J40" s="12">
        <v>0</v>
      </c>
      <c r="K40" s="61">
        <f>SUMIF(Q41:Q45,P40,K41:K45)</f>
        <v>1773564</v>
      </c>
      <c r="L40" s="23">
        <v>0</v>
      </c>
      <c r="M40" s="61">
        <f>SUMIF(Q41:Q45,P40,M41:M45)</f>
        <v>2735850</v>
      </c>
      <c r="N40" s="24"/>
      <c r="O40" s="36" t="str">
        <f>"_x0007_`COD|E2_x0005_`QTY1|1_x0005_`EXI|0_x0005_`ITT|0_x0005_`END|"&amp;ROW(M46)&amp;"_x0005_`"</f>
        <v>_x0007_`COD|E2_x0005_`QTY1|1_x0005_`EXI|0_x0005_`ITT|0_x0005_`END|46_x0005_`</v>
      </c>
      <c r="P40" s="6" t="s">
        <v>518</v>
      </c>
      <c r="Q40" s="6" t="s">
        <v>538</v>
      </c>
    </row>
    <row r="41" spans="1:29" ht="30.6" customHeight="1" x14ac:dyDescent="0.3">
      <c r="A41" s="9"/>
      <c r="B41" s="9" t="s">
        <v>66</v>
      </c>
      <c r="C41" s="44" t="s">
        <v>67</v>
      </c>
      <c r="D41" s="46">
        <v>70</v>
      </c>
      <c r="E41" s="24" t="s">
        <v>68</v>
      </c>
      <c r="F41" s="53">
        <f t="shared" ref="F41:G45" si="5">J41+H41+L41</f>
        <v>110265</v>
      </c>
      <c r="G41" s="55">
        <f t="shared" si="5"/>
        <v>7718550</v>
      </c>
      <c r="H41" s="57">
        <f>일위대가목록표!F15</f>
        <v>85728</v>
      </c>
      <c r="I41" s="12">
        <f>ROUNDDOWN(H41*D41,0)</f>
        <v>6000960</v>
      </c>
      <c r="J41" s="60">
        <f>일위대가목록표!G15</f>
        <v>10008</v>
      </c>
      <c r="K41" s="12">
        <f>ROUNDDOWN(J41*D41,0)</f>
        <v>700560</v>
      </c>
      <c r="L41" s="53">
        <f>일위대가목록표!H15</f>
        <v>14529</v>
      </c>
      <c r="M41" s="23">
        <f>ROUNDDOWN(L41*D41,0)</f>
        <v>1017030</v>
      </c>
      <c r="N41" s="24" t="s">
        <v>864</v>
      </c>
      <c r="O41" s="16" t="s">
        <v>863</v>
      </c>
      <c r="P41" s="6" t="s">
        <v>862</v>
      </c>
      <c r="Q41" s="6" t="s">
        <v>518</v>
      </c>
      <c r="AC41" s="19" t="str">
        <f ca="1">HYPERLINK("#"&amp;일위대가목록표!J2&amp;"!A"&amp;ROW(일위대가목록표!A15),"대가   12 →")</f>
        <v>대가   12 →</v>
      </c>
    </row>
    <row r="42" spans="1:29" ht="30.6" customHeight="1" x14ac:dyDescent="0.3">
      <c r="A42" s="9"/>
      <c r="B42" s="9" t="s">
        <v>66</v>
      </c>
      <c r="C42" s="44" t="s">
        <v>72</v>
      </c>
      <c r="D42" s="46">
        <v>10</v>
      </c>
      <c r="E42" s="24" t="s">
        <v>68</v>
      </c>
      <c r="F42" s="53">
        <f t="shared" si="5"/>
        <v>147141</v>
      </c>
      <c r="G42" s="55">
        <f t="shared" si="5"/>
        <v>1471410</v>
      </c>
      <c r="H42" s="57">
        <f>일위대가목록표!F16</f>
        <v>114492</v>
      </c>
      <c r="I42" s="12">
        <f>ROUNDDOWN(H42*D42,0)</f>
        <v>1144920</v>
      </c>
      <c r="J42" s="60">
        <f>일위대가목록표!G16</f>
        <v>13327</v>
      </c>
      <c r="K42" s="12">
        <f>ROUNDDOWN(J42*D42,0)</f>
        <v>133270</v>
      </c>
      <c r="L42" s="53">
        <f>일위대가목록표!H16</f>
        <v>19322</v>
      </c>
      <c r="M42" s="23">
        <f>ROUNDDOWN(L42*D42,0)</f>
        <v>193220</v>
      </c>
      <c r="N42" s="24" t="s">
        <v>867</v>
      </c>
      <c r="O42" s="16" t="s">
        <v>866</v>
      </c>
      <c r="P42" s="6" t="s">
        <v>865</v>
      </c>
      <c r="Q42" s="6" t="s">
        <v>518</v>
      </c>
      <c r="AC42" s="19" t="str">
        <f ca="1">HYPERLINK("#"&amp;일위대가목록표!J2&amp;"!A"&amp;ROW(일위대가목록표!A16),"대가   13 →")</f>
        <v>대가   13 →</v>
      </c>
    </row>
    <row r="43" spans="1:29" ht="30.6" customHeight="1" x14ac:dyDescent="0.3">
      <c r="A43" s="9"/>
      <c r="B43" s="9" t="s">
        <v>66</v>
      </c>
      <c r="C43" s="44" t="s">
        <v>76</v>
      </c>
      <c r="D43" s="46">
        <v>14</v>
      </c>
      <c r="E43" s="24" t="s">
        <v>68</v>
      </c>
      <c r="F43" s="53">
        <f t="shared" si="5"/>
        <v>183527</v>
      </c>
      <c r="G43" s="55">
        <f t="shared" si="5"/>
        <v>2569378</v>
      </c>
      <c r="H43" s="57">
        <f>일위대가목록표!F17</f>
        <v>142736</v>
      </c>
      <c r="I43" s="12">
        <f>ROUNDDOWN(H43*D43,0)</f>
        <v>1998304</v>
      </c>
      <c r="J43" s="60">
        <f>일위대가목록표!G17</f>
        <v>16641</v>
      </c>
      <c r="K43" s="12">
        <f>ROUNDDOWN(J43*D43,0)</f>
        <v>232974</v>
      </c>
      <c r="L43" s="53">
        <f>일위대가목록표!H17</f>
        <v>24150</v>
      </c>
      <c r="M43" s="23">
        <f>ROUNDDOWN(L43*D43,0)</f>
        <v>338100</v>
      </c>
      <c r="N43" s="24" t="s">
        <v>870</v>
      </c>
      <c r="O43" s="16" t="s">
        <v>869</v>
      </c>
      <c r="P43" s="6" t="s">
        <v>868</v>
      </c>
      <c r="Q43" s="6" t="s">
        <v>518</v>
      </c>
      <c r="AC43" s="19" t="str">
        <f ca="1">HYPERLINK("#"&amp;일위대가목록표!J2&amp;"!A"&amp;ROW(일위대가목록표!A17),"대가   14 →")</f>
        <v>대가   14 →</v>
      </c>
    </row>
    <row r="44" spans="1:29" ht="30.6" customHeight="1" x14ac:dyDescent="0.3">
      <c r="A44" s="9"/>
      <c r="B44" s="9" t="s">
        <v>80</v>
      </c>
      <c r="C44" s="44" t="s">
        <v>67</v>
      </c>
      <c r="D44" s="46">
        <v>30</v>
      </c>
      <c r="E44" s="24" t="s">
        <v>68</v>
      </c>
      <c r="F44" s="53">
        <f t="shared" si="5"/>
        <v>111332</v>
      </c>
      <c r="G44" s="55">
        <f t="shared" si="5"/>
        <v>3339960</v>
      </c>
      <c r="H44" s="57">
        <f>일위대가목록표!F18</f>
        <v>81382</v>
      </c>
      <c r="I44" s="12">
        <f>ROUNDDOWN(H44*D44,0)</f>
        <v>2441460</v>
      </c>
      <c r="J44" s="60">
        <f>일위대가목록표!G18</f>
        <v>11174</v>
      </c>
      <c r="K44" s="12">
        <f>ROUNDDOWN(J44*D44,0)</f>
        <v>335220</v>
      </c>
      <c r="L44" s="53">
        <f>일위대가목록표!H18</f>
        <v>18776</v>
      </c>
      <c r="M44" s="23">
        <f>ROUNDDOWN(L44*D44,0)</f>
        <v>563280</v>
      </c>
      <c r="N44" s="24" t="s">
        <v>873</v>
      </c>
      <c r="O44" s="16" t="s">
        <v>872</v>
      </c>
      <c r="P44" s="6" t="s">
        <v>871</v>
      </c>
      <c r="Q44" s="6" t="s">
        <v>518</v>
      </c>
      <c r="AC44" s="19" t="str">
        <f ca="1">HYPERLINK("#"&amp;일위대가목록표!J2&amp;"!A"&amp;ROW(일위대가목록표!A18),"대가   15 →")</f>
        <v>대가   15 →</v>
      </c>
    </row>
    <row r="45" spans="1:29" ht="30.6" customHeight="1" x14ac:dyDescent="0.3">
      <c r="A45" s="9"/>
      <c r="B45" s="9" t="s">
        <v>80</v>
      </c>
      <c r="C45" s="44" t="s">
        <v>76</v>
      </c>
      <c r="D45" s="46">
        <v>20</v>
      </c>
      <c r="E45" s="24" t="s">
        <v>68</v>
      </c>
      <c r="F45" s="53">
        <f t="shared" si="5"/>
        <v>185055</v>
      </c>
      <c r="G45" s="55">
        <f t="shared" si="5"/>
        <v>3701100</v>
      </c>
      <c r="H45" s="57">
        <f>일위대가목록표!F19</f>
        <v>135267</v>
      </c>
      <c r="I45" s="12">
        <f>ROUNDDOWN(H45*D45,0)</f>
        <v>2705340</v>
      </c>
      <c r="J45" s="60">
        <f>일위대가목록표!G19</f>
        <v>18577</v>
      </c>
      <c r="K45" s="12">
        <f>ROUNDDOWN(J45*D45,0)</f>
        <v>371540</v>
      </c>
      <c r="L45" s="53">
        <f>일위대가목록표!H19</f>
        <v>31211</v>
      </c>
      <c r="M45" s="23">
        <f>ROUNDDOWN(L45*D45,0)</f>
        <v>624220</v>
      </c>
      <c r="N45" s="24" t="s">
        <v>876</v>
      </c>
      <c r="O45" s="16" t="s">
        <v>875</v>
      </c>
      <c r="P45" s="6" t="s">
        <v>874</v>
      </c>
      <c r="Q45" s="6" t="s">
        <v>518</v>
      </c>
      <c r="AC45" s="19" t="str">
        <f ca="1">HYPERLINK("#"&amp;일위대가목록표!J2&amp;"!A"&amp;ROW(일위대가목록표!A19),"대가   16 →")</f>
        <v>대가   16 →</v>
      </c>
    </row>
    <row r="46" spans="1:29" ht="30.6" customHeight="1" x14ac:dyDescent="0.3">
      <c r="A46" s="9"/>
      <c r="B46" s="9"/>
      <c r="C46" s="44"/>
      <c r="D46" s="45"/>
      <c r="E46" s="24"/>
      <c r="F46" s="10">
        <v>0</v>
      </c>
      <c r="G46" s="49"/>
      <c r="H46" s="58"/>
      <c r="I46" s="58"/>
      <c r="J46" s="58"/>
      <c r="K46" s="58"/>
      <c r="L46" s="58"/>
      <c r="M46" s="52"/>
      <c r="N46" s="24"/>
      <c r="O46" s="16" t="s">
        <v>796</v>
      </c>
      <c r="P46" s="6" t="s">
        <v>543</v>
      </c>
      <c r="Q46" s="6" t="s">
        <v>538</v>
      </c>
    </row>
    <row r="47" spans="1:29" ht="30.6" customHeight="1" x14ac:dyDescent="0.3">
      <c r="A47" s="41" t="s">
        <v>877</v>
      </c>
      <c r="B47" s="41" t="s">
        <v>878</v>
      </c>
      <c r="C47" s="43"/>
      <c r="D47" s="45"/>
      <c r="E47" s="24"/>
      <c r="F47" s="10">
        <v>0</v>
      </c>
      <c r="G47" s="54">
        <f>SUMIF(Q48:Q52,P47,G48:G52)</f>
        <v>8780032</v>
      </c>
      <c r="H47" s="12">
        <v>0</v>
      </c>
      <c r="I47" s="55">
        <f>SUMIF(Q48:Q52,P47,I48:I52)</f>
        <v>7049856</v>
      </c>
      <c r="J47" s="12">
        <v>0</v>
      </c>
      <c r="K47" s="61">
        <f>SUMIF(Q48:Q52,P47,K48:K52)</f>
        <v>737924</v>
      </c>
      <c r="L47" s="23">
        <v>0</v>
      </c>
      <c r="M47" s="61">
        <f>SUMIF(Q48:Q52,P47,M48:M52)</f>
        <v>992252</v>
      </c>
      <c r="N47" s="24"/>
      <c r="O47" s="36" t="str">
        <f>"_x0007_`COD|E2_x0005_`QTY1|1_x0005_`EXI|0_x0005_`ITT|0_x0005_`END|"&amp;ROW(M53)&amp;"_x0005_`"</f>
        <v>_x0007_`COD|E2_x0005_`QTY1|1_x0005_`EXI|0_x0005_`ITT|0_x0005_`END|53_x0005_`</v>
      </c>
      <c r="P47" s="6" t="s">
        <v>518</v>
      </c>
      <c r="Q47" s="6" t="s">
        <v>538</v>
      </c>
    </row>
    <row r="48" spans="1:29" ht="30.6" customHeight="1" x14ac:dyDescent="0.3">
      <c r="A48" s="9"/>
      <c r="B48" s="9" t="s">
        <v>87</v>
      </c>
      <c r="C48" s="44" t="s">
        <v>88</v>
      </c>
      <c r="D48" s="46">
        <v>52</v>
      </c>
      <c r="E48" s="24" t="s">
        <v>68</v>
      </c>
      <c r="F48" s="53">
        <f t="shared" ref="F48:G52" si="6">J48+H48+L48</f>
        <v>14159</v>
      </c>
      <c r="G48" s="55">
        <f t="shared" si="6"/>
        <v>736268</v>
      </c>
      <c r="H48" s="57">
        <f>일위대가목록표!F20</f>
        <v>13276</v>
      </c>
      <c r="I48" s="12">
        <f>ROUNDDOWN(H48*D48,0)</f>
        <v>690352</v>
      </c>
      <c r="J48" s="60">
        <f>일위대가목록표!G20</f>
        <v>516</v>
      </c>
      <c r="K48" s="12">
        <f>ROUNDDOWN(J48*D48,0)</f>
        <v>26832</v>
      </c>
      <c r="L48" s="53">
        <f>일위대가목록표!H20</f>
        <v>367</v>
      </c>
      <c r="M48" s="23">
        <f>ROUNDDOWN(L48*D48,0)</f>
        <v>19084</v>
      </c>
      <c r="N48" s="24" t="s">
        <v>881</v>
      </c>
      <c r="O48" s="16" t="s">
        <v>880</v>
      </c>
      <c r="P48" s="6" t="s">
        <v>879</v>
      </c>
      <c r="Q48" s="6" t="s">
        <v>518</v>
      </c>
      <c r="AC48" s="19" t="str">
        <f ca="1">HYPERLINK("#"&amp;일위대가목록표!J2&amp;"!A"&amp;ROW(일위대가목록표!A20),"대가   17 →")</f>
        <v>대가   17 →</v>
      </c>
    </row>
    <row r="49" spans="1:29" ht="30.6" customHeight="1" x14ac:dyDescent="0.3">
      <c r="A49" s="9"/>
      <c r="B49" s="9" t="s">
        <v>87</v>
      </c>
      <c r="C49" s="44" t="s">
        <v>92</v>
      </c>
      <c r="D49" s="46">
        <v>98</v>
      </c>
      <c r="E49" s="24" t="s">
        <v>68</v>
      </c>
      <c r="F49" s="53">
        <f t="shared" si="6"/>
        <v>18393</v>
      </c>
      <c r="G49" s="55">
        <f t="shared" si="6"/>
        <v>1802514</v>
      </c>
      <c r="H49" s="57">
        <f>일위대가목록표!F21</f>
        <v>17304</v>
      </c>
      <c r="I49" s="12">
        <f>ROUNDDOWN(H49*D49,0)</f>
        <v>1695792</v>
      </c>
      <c r="J49" s="60">
        <f>일위대가목록표!G21</f>
        <v>648</v>
      </c>
      <c r="K49" s="12">
        <f>ROUNDDOWN(J49*D49,0)</f>
        <v>63504</v>
      </c>
      <c r="L49" s="53">
        <f>일위대가목록표!H21</f>
        <v>441</v>
      </c>
      <c r="M49" s="23">
        <f>ROUNDDOWN(L49*D49,0)</f>
        <v>43218</v>
      </c>
      <c r="N49" s="24" t="s">
        <v>884</v>
      </c>
      <c r="O49" s="16" t="s">
        <v>883</v>
      </c>
      <c r="P49" s="6" t="s">
        <v>882</v>
      </c>
      <c r="Q49" s="6" t="s">
        <v>518</v>
      </c>
      <c r="AC49" s="19" t="str">
        <f ca="1">HYPERLINK("#"&amp;일위대가목록표!J2&amp;"!A"&amp;ROW(일위대가목록표!A21),"대가   18 →")</f>
        <v>대가   18 →</v>
      </c>
    </row>
    <row r="50" spans="1:29" ht="30.6" customHeight="1" x14ac:dyDescent="0.3">
      <c r="A50" s="9"/>
      <c r="B50" s="9" t="s">
        <v>96</v>
      </c>
      <c r="C50" s="44" t="s">
        <v>97</v>
      </c>
      <c r="D50" s="46">
        <v>3</v>
      </c>
      <c r="E50" s="24" t="s">
        <v>53</v>
      </c>
      <c r="F50" s="53">
        <f t="shared" si="6"/>
        <v>1714426</v>
      </c>
      <c r="G50" s="55">
        <f t="shared" si="6"/>
        <v>5143278</v>
      </c>
      <c r="H50" s="57">
        <f>일위대가목록표!F22</f>
        <v>1279338</v>
      </c>
      <c r="I50" s="12">
        <f>ROUNDDOWN(H50*D50,0)</f>
        <v>3838014</v>
      </c>
      <c r="J50" s="60">
        <f>일위대가목록표!G22</f>
        <v>178576</v>
      </c>
      <c r="K50" s="12">
        <f>ROUNDDOWN(J50*D50,0)</f>
        <v>535728</v>
      </c>
      <c r="L50" s="53">
        <f>일위대가목록표!H22</f>
        <v>256512</v>
      </c>
      <c r="M50" s="23">
        <f>ROUNDDOWN(L50*D50,0)</f>
        <v>769536</v>
      </c>
      <c r="N50" s="24" t="s">
        <v>887</v>
      </c>
      <c r="O50" s="16" t="s">
        <v>886</v>
      </c>
      <c r="P50" s="6" t="s">
        <v>885</v>
      </c>
      <c r="Q50" s="6" t="s">
        <v>518</v>
      </c>
      <c r="AC50" s="19" t="str">
        <f ca="1">HYPERLINK("#"&amp;일위대가목록표!J2&amp;"!A"&amp;ROW(일위대가목록표!A22),"대가   19 →")</f>
        <v>대가   19 →</v>
      </c>
    </row>
    <row r="51" spans="1:29" ht="30.6" customHeight="1" x14ac:dyDescent="0.3">
      <c r="A51" s="9"/>
      <c r="B51" s="9" t="s">
        <v>96</v>
      </c>
      <c r="C51" s="44" t="s">
        <v>101</v>
      </c>
      <c r="D51" s="46">
        <v>1</v>
      </c>
      <c r="E51" s="24" t="s">
        <v>53</v>
      </c>
      <c r="F51" s="53">
        <f t="shared" si="6"/>
        <v>1076900</v>
      </c>
      <c r="G51" s="55">
        <f t="shared" si="6"/>
        <v>1076900</v>
      </c>
      <c r="H51" s="57">
        <f>일위대가목록표!F23</f>
        <v>813572</v>
      </c>
      <c r="I51" s="12">
        <f>ROUNDDOWN(H51*D51,0)</f>
        <v>813572</v>
      </c>
      <c r="J51" s="60">
        <f>일위대가목록표!G23</f>
        <v>107942</v>
      </c>
      <c r="K51" s="12">
        <f>ROUNDDOWN(J51*D51,0)</f>
        <v>107942</v>
      </c>
      <c r="L51" s="53">
        <f>일위대가목록표!H23</f>
        <v>155386</v>
      </c>
      <c r="M51" s="23">
        <f>ROUNDDOWN(L51*D51,0)</f>
        <v>155386</v>
      </c>
      <c r="N51" s="24" t="s">
        <v>890</v>
      </c>
      <c r="O51" s="16" t="s">
        <v>889</v>
      </c>
      <c r="P51" s="6" t="s">
        <v>888</v>
      </c>
      <c r="Q51" s="6" t="s">
        <v>518</v>
      </c>
      <c r="AC51" s="19" t="str">
        <f ca="1">HYPERLINK("#"&amp;일위대가목록표!J2&amp;"!A"&amp;ROW(일위대가목록표!A23),"대가   20 →")</f>
        <v>대가   20 →</v>
      </c>
    </row>
    <row r="52" spans="1:29" ht="30.6" customHeight="1" x14ac:dyDescent="0.3">
      <c r="A52" s="9"/>
      <c r="B52" s="9" t="s">
        <v>105</v>
      </c>
      <c r="C52" s="44"/>
      <c r="D52" s="46">
        <v>6</v>
      </c>
      <c r="E52" s="24" t="s">
        <v>53</v>
      </c>
      <c r="F52" s="53">
        <f t="shared" si="6"/>
        <v>3512</v>
      </c>
      <c r="G52" s="55">
        <f t="shared" si="6"/>
        <v>21072</v>
      </c>
      <c r="H52" s="57">
        <f>일위대가목록표!F24</f>
        <v>2021</v>
      </c>
      <c r="I52" s="12">
        <f>ROUNDDOWN(H52*D52,0)</f>
        <v>12126</v>
      </c>
      <c r="J52" s="60">
        <f>일위대가목록표!G24</f>
        <v>653</v>
      </c>
      <c r="K52" s="12">
        <f>ROUNDDOWN(J52*D52,0)</f>
        <v>3918</v>
      </c>
      <c r="L52" s="53">
        <f>일위대가목록표!H24</f>
        <v>838</v>
      </c>
      <c r="M52" s="23">
        <f>ROUNDDOWN(L52*D52,0)</f>
        <v>5028</v>
      </c>
      <c r="N52" s="24" t="s">
        <v>893</v>
      </c>
      <c r="O52" s="16" t="s">
        <v>892</v>
      </c>
      <c r="P52" s="6" t="s">
        <v>891</v>
      </c>
      <c r="Q52" s="6" t="s">
        <v>518</v>
      </c>
      <c r="AC52" s="19" t="str">
        <f ca="1">HYPERLINK("#"&amp;일위대가목록표!J2&amp;"!A"&amp;ROW(일위대가목록표!A24),"대가   21 →")</f>
        <v>대가   21 →</v>
      </c>
    </row>
    <row r="53" spans="1:29" ht="30.6" customHeight="1" x14ac:dyDescent="0.3">
      <c r="A53" s="9"/>
      <c r="B53" s="9"/>
      <c r="C53" s="44"/>
      <c r="D53" s="45"/>
      <c r="E53" s="24"/>
      <c r="F53" s="10">
        <v>0</v>
      </c>
      <c r="G53" s="49"/>
      <c r="H53" s="58"/>
      <c r="I53" s="58"/>
      <c r="J53" s="58"/>
      <c r="K53" s="58"/>
      <c r="L53" s="58"/>
      <c r="M53" s="52"/>
      <c r="N53" s="24"/>
      <c r="O53" s="16" t="s">
        <v>796</v>
      </c>
      <c r="P53" s="6" t="s">
        <v>543</v>
      </c>
      <c r="Q53" s="6" t="s">
        <v>538</v>
      </c>
    </row>
    <row r="54" spans="1:29" ht="30.6" customHeight="1" x14ac:dyDescent="0.3">
      <c r="A54" s="41" t="s">
        <v>894</v>
      </c>
      <c r="B54" s="41" t="s">
        <v>895</v>
      </c>
      <c r="C54" s="43"/>
      <c r="D54" s="45"/>
      <c r="E54" s="24"/>
      <c r="F54" s="10">
        <v>0</v>
      </c>
      <c r="G54" s="54">
        <f>SUMIF(Q55:Q58,P54,G55:G58)</f>
        <v>30388318</v>
      </c>
      <c r="H54" s="12">
        <v>0</v>
      </c>
      <c r="I54" s="55">
        <f>SUMIF(Q55:Q58,P54,I55:I58)</f>
        <v>22014198</v>
      </c>
      <c r="J54" s="12">
        <v>0</v>
      </c>
      <c r="K54" s="61">
        <f>SUMIF(Q55:Q58,P54,K55:K58)</f>
        <v>3877783</v>
      </c>
      <c r="L54" s="23">
        <v>0</v>
      </c>
      <c r="M54" s="61">
        <f>SUMIF(Q55:Q58,P54,M55:M58)</f>
        <v>4496337</v>
      </c>
      <c r="N54" s="24"/>
      <c r="O54" s="36" t="str">
        <f>"_x0007_`COD|E2_x0005_`QTY1|1_x0005_`EXI|0_x0005_`ITT|0_x0005_`END|"&amp;ROW(M59)&amp;"_x0005_`"</f>
        <v>_x0007_`COD|E2_x0005_`QTY1|1_x0005_`EXI|0_x0005_`ITT|0_x0005_`END|59_x0005_`</v>
      </c>
      <c r="P54" s="6" t="s">
        <v>518</v>
      </c>
      <c r="Q54" s="6" t="s">
        <v>538</v>
      </c>
    </row>
    <row r="55" spans="1:29" ht="30.6" customHeight="1" x14ac:dyDescent="0.3">
      <c r="A55" s="9"/>
      <c r="B55" s="9" t="s">
        <v>109</v>
      </c>
      <c r="C55" s="44" t="s">
        <v>110</v>
      </c>
      <c r="D55" s="46">
        <v>70</v>
      </c>
      <c r="E55" s="24" t="s">
        <v>26</v>
      </c>
      <c r="F55" s="53">
        <f t="shared" ref="F55:G58" si="7">J55+H55+L55</f>
        <v>89846</v>
      </c>
      <c r="G55" s="55">
        <f t="shared" si="7"/>
        <v>6289220</v>
      </c>
      <c r="H55" s="57">
        <f>일위대가목록표!F25</f>
        <v>68813</v>
      </c>
      <c r="I55" s="12">
        <f>ROUNDDOWN(H55*D55,0)</f>
        <v>4816910</v>
      </c>
      <c r="J55" s="60">
        <f>일위대가목록표!G25</f>
        <v>8424</v>
      </c>
      <c r="K55" s="12">
        <f>ROUNDDOWN(J55*D55,0)</f>
        <v>589680</v>
      </c>
      <c r="L55" s="53">
        <f>일위대가목록표!H25</f>
        <v>12609</v>
      </c>
      <c r="M55" s="23">
        <f>ROUNDDOWN(L55*D55,0)</f>
        <v>882630</v>
      </c>
      <c r="N55" s="24" t="s">
        <v>898</v>
      </c>
      <c r="O55" s="16" t="s">
        <v>897</v>
      </c>
      <c r="P55" s="6" t="s">
        <v>896</v>
      </c>
      <c r="Q55" s="6" t="s">
        <v>518</v>
      </c>
      <c r="AC55" s="19" t="str">
        <f ca="1">HYPERLINK("#"&amp;일위대가목록표!J2&amp;"!A"&amp;ROW(일위대가목록표!A25),"대가   22 →")</f>
        <v>대가   22 →</v>
      </c>
    </row>
    <row r="56" spans="1:29" ht="30.6" customHeight="1" x14ac:dyDescent="0.3">
      <c r="A56" s="9"/>
      <c r="B56" s="9" t="s">
        <v>109</v>
      </c>
      <c r="C56" s="44" t="s">
        <v>114</v>
      </c>
      <c r="D56" s="46">
        <v>270</v>
      </c>
      <c r="E56" s="24" t="s">
        <v>26</v>
      </c>
      <c r="F56" s="53">
        <f t="shared" si="7"/>
        <v>84424</v>
      </c>
      <c r="G56" s="55">
        <f t="shared" si="7"/>
        <v>22794480</v>
      </c>
      <c r="H56" s="57">
        <f>일위대가목록표!F26</f>
        <v>62310</v>
      </c>
      <c r="I56" s="12">
        <f>ROUNDDOWN(H56*D56,0)</f>
        <v>16823700</v>
      </c>
      <c r="J56" s="60">
        <f>일위대가목록표!G26</f>
        <v>8731</v>
      </c>
      <c r="K56" s="12">
        <f>ROUNDDOWN(J56*D56,0)</f>
        <v>2357370</v>
      </c>
      <c r="L56" s="53">
        <f>일위대가목록표!H26</f>
        <v>13383</v>
      </c>
      <c r="M56" s="23">
        <f>ROUNDDOWN(L56*D56,0)</f>
        <v>3613410</v>
      </c>
      <c r="N56" s="24" t="s">
        <v>901</v>
      </c>
      <c r="O56" s="16" t="s">
        <v>900</v>
      </c>
      <c r="P56" s="6" t="s">
        <v>899</v>
      </c>
      <c r="Q56" s="6" t="s">
        <v>518</v>
      </c>
      <c r="AC56" s="19" t="str">
        <f ca="1">HYPERLINK("#"&amp;일위대가목록표!J2&amp;"!A"&amp;ROW(일위대가목록표!A26),"대가   23 →")</f>
        <v>대가   23 →</v>
      </c>
    </row>
    <row r="57" spans="1:29" ht="30.6" customHeight="1" x14ac:dyDescent="0.3">
      <c r="A57" s="9"/>
      <c r="B57" s="9" t="s">
        <v>616</v>
      </c>
      <c r="C57" s="44" t="s">
        <v>617</v>
      </c>
      <c r="D57" s="46">
        <v>2</v>
      </c>
      <c r="E57" s="24" t="s">
        <v>53</v>
      </c>
      <c r="F57" s="53">
        <f t="shared" si="7"/>
        <v>460200</v>
      </c>
      <c r="G57" s="55">
        <f t="shared" si="7"/>
        <v>920400</v>
      </c>
      <c r="H57" s="59">
        <v>0</v>
      </c>
      <c r="I57" s="23">
        <f>ROUNDDOWN(H57*D57,0)</f>
        <v>0</v>
      </c>
      <c r="J57" s="60">
        <f>재료비목록표!E43</f>
        <v>460200</v>
      </c>
      <c r="K57" s="12">
        <f>ROUNDDOWN(J57*D57,0)</f>
        <v>920400</v>
      </c>
      <c r="L57" s="62">
        <v>0</v>
      </c>
      <c r="M57" s="23">
        <f>ROUNDDOWN(L57*D57,0)</f>
        <v>0</v>
      </c>
      <c r="N57" s="24" t="s">
        <v>904</v>
      </c>
      <c r="O57" s="16" t="s">
        <v>903</v>
      </c>
      <c r="P57" s="6" t="s">
        <v>902</v>
      </c>
      <c r="Q57" s="6" t="s">
        <v>518</v>
      </c>
      <c r="AC57" s="19" t="str">
        <f ca="1">HYPERLINK("#"&amp;재료비목록표!G2&amp;"!A"&amp;ROW(재료비목록표!A43),"자재   40 →")</f>
        <v>자재   40 →</v>
      </c>
    </row>
    <row r="58" spans="1:29" ht="30.6" customHeight="1" x14ac:dyDescent="0.3">
      <c r="A58" s="9"/>
      <c r="B58" s="9" t="s">
        <v>118</v>
      </c>
      <c r="C58" s="44" t="s">
        <v>119</v>
      </c>
      <c r="D58" s="46">
        <v>1</v>
      </c>
      <c r="E58" s="24" t="s">
        <v>53</v>
      </c>
      <c r="F58" s="53">
        <f t="shared" si="7"/>
        <v>384218</v>
      </c>
      <c r="G58" s="55">
        <f t="shared" si="7"/>
        <v>384218</v>
      </c>
      <c r="H58" s="57">
        <f>일위대가목록표!F27</f>
        <v>373588</v>
      </c>
      <c r="I58" s="12">
        <f>ROUNDDOWN(H58*D58,0)</f>
        <v>373588</v>
      </c>
      <c r="J58" s="60">
        <f>일위대가목록표!G27</f>
        <v>10333</v>
      </c>
      <c r="K58" s="12">
        <f>ROUNDDOWN(J58*D58,0)</f>
        <v>10333</v>
      </c>
      <c r="L58" s="53">
        <f>일위대가목록표!H27</f>
        <v>297</v>
      </c>
      <c r="M58" s="23">
        <f>ROUNDDOWN(L58*D58,0)</f>
        <v>297</v>
      </c>
      <c r="N58" s="24" t="s">
        <v>907</v>
      </c>
      <c r="O58" s="16" t="s">
        <v>906</v>
      </c>
      <c r="P58" s="6" t="s">
        <v>905</v>
      </c>
      <c r="Q58" s="6" t="s">
        <v>518</v>
      </c>
      <c r="AC58" s="19" t="str">
        <f ca="1">HYPERLINK("#"&amp;일위대가목록표!J2&amp;"!A"&amp;ROW(일위대가목록표!A27),"대가   24 →")</f>
        <v>대가   24 →</v>
      </c>
    </row>
    <row r="59" spans="1:29" ht="30.6" customHeight="1" x14ac:dyDescent="0.3">
      <c r="A59" s="9"/>
      <c r="B59" s="9"/>
      <c r="C59" s="44"/>
      <c r="D59" s="45"/>
      <c r="E59" s="24"/>
      <c r="F59" s="10">
        <v>0</v>
      </c>
      <c r="G59" s="49"/>
      <c r="H59" s="58"/>
      <c r="I59" s="58"/>
      <c r="J59" s="58"/>
      <c r="K59" s="58"/>
      <c r="L59" s="58"/>
      <c r="M59" s="52"/>
      <c r="N59" s="24"/>
      <c r="O59" s="16" t="s">
        <v>796</v>
      </c>
      <c r="P59" s="6" t="s">
        <v>543</v>
      </c>
      <c r="Q59" s="6" t="s">
        <v>561</v>
      </c>
    </row>
    <row r="60" spans="1:29" ht="30.6" customHeight="1" x14ac:dyDescent="0.3">
      <c r="A60" s="41" t="s">
        <v>859</v>
      </c>
      <c r="B60" s="41" t="s">
        <v>858</v>
      </c>
      <c r="C60" s="43"/>
      <c r="D60" s="45"/>
      <c r="E60" s="24"/>
      <c r="F60" s="10">
        <v>0</v>
      </c>
      <c r="G60" s="54">
        <f>SUMIF(Q61:Q66,P60,G61:G66)</f>
        <v>10664743</v>
      </c>
      <c r="H60" s="12">
        <v>0</v>
      </c>
      <c r="I60" s="55">
        <f>SUMIF(Q61:Q66,P60,I61:I66)</f>
        <v>0</v>
      </c>
      <c r="J60" s="12">
        <v>0</v>
      </c>
      <c r="K60" s="61">
        <f>SUMIF(Q61:Q66,P60,K61:K66)</f>
        <v>0</v>
      </c>
      <c r="L60" s="23">
        <v>0</v>
      </c>
      <c r="M60" s="61">
        <f>SUMIF(Q61:Q66,P60,M61:M66)</f>
        <v>10664743</v>
      </c>
      <c r="N60" s="24"/>
      <c r="O60" s="36" t="str">
        <f>"_x0007_`COD|E3_x0005_`QTY1|1_x0005_`EXI|0_x0005_`ITT|0_x0005_`END|"&amp;ROW(M67)&amp;"_x0005_`"</f>
        <v>_x0007_`COD|E3_x0005_`QTY1|1_x0005_`EXI|0_x0005_`ITT|0_x0005_`END|67_x0005_`</v>
      </c>
      <c r="P60" s="6" t="s">
        <v>538</v>
      </c>
      <c r="Q60" s="6" t="s">
        <v>561</v>
      </c>
    </row>
    <row r="61" spans="1:29" ht="30.6" customHeight="1" x14ac:dyDescent="0.3">
      <c r="A61" s="9"/>
      <c r="B61" s="9" t="s">
        <v>277</v>
      </c>
      <c r="C61" s="44" t="s">
        <v>278</v>
      </c>
      <c r="D61" s="46">
        <v>1</v>
      </c>
      <c r="E61" s="24" t="s">
        <v>279</v>
      </c>
      <c r="F61" s="53">
        <f t="shared" ref="F61:G66" si="8">J61+H61+L61</f>
        <v>473554</v>
      </c>
      <c r="G61" s="55">
        <f t="shared" si="8"/>
        <v>473554</v>
      </c>
      <c r="H61" s="57">
        <f>단가산출근거목록표!F34</f>
        <v>0</v>
      </c>
      <c r="I61" s="12">
        <f>ROUNDDOWN(H61*D61,0)</f>
        <v>0</v>
      </c>
      <c r="J61" s="60">
        <f>단가산출근거목록표!G34</f>
        <v>0</v>
      </c>
      <c r="K61" s="12">
        <f>ROUNDDOWN(J61*D61,0)</f>
        <v>0</v>
      </c>
      <c r="L61" s="53">
        <f>단가산출근거목록표!H34</f>
        <v>473554</v>
      </c>
      <c r="M61" s="23">
        <f>ROUNDDOWN(L61*D61,0)</f>
        <v>473554</v>
      </c>
      <c r="N61" s="24" t="s">
        <v>910</v>
      </c>
      <c r="O61" s="16" t="s">
        <v>909</v>
      </c>
      <c r="P61" s="6" t="s">
        <v>908</v>
      </c>
      <c r="Q61" s="6" t="s">
        <v>538</v>
      </c>
      <c r="AC61" s="19" t="str">
        <f ca="1">HYPERLINK("#"&amp;단가산출근거목록표!J2&amp;"!A"&amp;ROW(단가산출근거목록표!A34),"산근   31 →")</f>
        <v>산근   31 →</v>
      </c>
    </row>
    <row r="62" spans="1:29" ht="30.6" customHeight="1" x14ac:dyDescent="0.3">
      <c r="A62" s="9"/>
      <c r="B62" s="9" t="s">
        <v>282</v>
      </c>
      <c r="C62" s="44" t="s">
        <v>278</v>
      </c>
      <c r="D62" s="46">
        <v>1</v>
      </c>
      <c r="E62" s="24" t="s">
        <v>279</v>
      </c>
      <c r="F62" s="53">
        <f t="shared" si="8"/>
        <v>49479</v>
      </c>
      <c r="G62" s="55">
        <f t="shared" si="8"/>
        <v>49479</v>
      </c>
      <c r="H62" s="57">
        <f>단가산출근거목록표!F35</f>
        <v>0</v>
      </c>
      <c r="I62" s="12">
        <f>ROUNDDOWN(H62*D62,0)</f>
        <v>0</v>
      </c>
      <c r="J62" s="60">
        <f>단가산출근거목록표!G35</f>
        <v>0</v>
      </c>
      <c r="K62" s="12">
        <f>ROUNDDOWN(J62*D62,0)</f>
        <v>0</v>
      </c>
      <c r="L62" s="53">
        <f>단가산출근거목록표!H35</f>
        <v>49479</v>
      </c>
      <c r="M62" s="23">
        <f>ROUNDDOWN(L62*D62,0)</f>
        <v>49479</v>
      </c>
      <c r="N62" s="24" t="s">
        <v>913</v>
      </c>
      <c r="O62" s="16" t="s">
        <v>912</v>
      </c>
      <c r="P62" s="6" t="s">
        <v>911</v>
      </c>
      <c r="Q62" s="6" t="s">
        <v>538</v>
      </c>
      <c r="AC62" s="19" t="str">
        <f ca="1">HYPERLINK("#"&amp;단가산출근거목록표!J2&amp;"!A"&amp;ROW(단가산출근거목록표!A35),"산근   32 →")</f>
        <v>산근   32 →</v>
      </c>
    </row>
    <row r="63" spans="1:29" ht="30.6" customHeight="1" x14ac:dyDescent="0.3">
      <c r="A63" s="9"/>
      <c r="B63" s="9" t="s">
        <v>285</v>
      </c>
      <c r="C63" s="44" t="s">
        <v>286</v>
      </c>
      <c r="D63" s="46">
        <v>36</v>
      </c>
      <c r="E63" s="24" t="s">
        <v>14</v>
      </c>
      <c r="F63" s="53">
        <f t="shared" si="8"/>
        <v>16268</v>
      </c>
      <c r="G63" s="55">
        <f t="shared" si="8"/>
        <v>585648</v>
      </c>
      <c r="H63" s="57">
        <f>단가산출근거목록표!F36</f>
        <v>0</v>
      </c>
      <c r="I63" s="12">
        <f>ROUNDDOWN(H63*D63,0)</f>
        <v>0</v>
      </c>
      <c r="J63" s="60">
        <f>단가산출근거목록표!G36</f>
        <v>0</v>
      </c>
      <c r="K63" s="12">
        <f>ROUNDDOWN(J63*D63,0)</f>
        <v>0</v>
      </c>
      <c r="L63" s="53">
        <f>단가산출근거목록표!H36</f>
        <v>16268</v>
      </c>
      <c r="M63" s="23">
        <f>ROUNDDOWN(L63*D63,0)</f>
        <v>585648</v>
      </c>
      <c r="N63" s="24" t="s">
        <v>916</v>
      </c>
      <c r="O63" s="16" t="s">
        <v>915</v>
      </c>
      <c r="P63" s="6" t="s">
        <v>914</v>
      </c>
      <c r="Q63" s="6" t="s">
        <v>538</v>
      </c>
      <c r="AC63" s="19" t="str">
        <f ca="1">HYPERLINK("#"&amp;단가산출근거목록표!J2&amp;"!A"&amp;ROW(단가산출근거목록표!A36),"산근   33 →")</f>
        <v>산근   33 →</v>
      </c>
    </row>
    <row r="64" spans="1:29" ht="30.6" customHeight="1" x14ac:dyDescent="0.3">
      <c r="A64" s="9"/>
      <c r="B64" s="9" t="s">
        <v>289</v>
      </c>
      <c r="C64" s="44" t="s">
        <v>286</v>
      </c>
      <c r="D64" s="46">
        <v>42</v>
      </c>
      <c r="E64" s="24" t="s">
        <v>14</v>
      </c>
      <c r="F64" s="53">
        <f t="shared" si="8"/>
        <v>17215</v>
      </c>
      <c r="G64" s="55">
        <f t="shared" si="8"/>
        <v>723030</v>
      </c>
      <c r="H64" s="57">
        <f>단가산출근거목록표!F37</f>
        <v>0</v>
      </c>
      <c r="I64" s="12">
        <f>ROUNDDOWN(H64*D64,0)</f>
        <v>0</v>
      </c>
      <c r="J64" s="60">
        <f>단가산출근거목록표!G37</f>
        <v>0</v>
      </c>
      <c r="K64" s="12">
        <f>ROUNDDOWN(J64*D64,0)</f>
        <v>0</v>
      </c>
      <c r="L64" s="53">
        <f>단가산출근거목록표!H37</f>
        <v>17215</v>
      </c>
      <c r="M64" s="23">
        <f>ROUNDDOWN(L64*D64,0)</f>
        <v>723030</v>
      </c>
      <c r="N64" s="24" t="s">
        <v>919</v>
      </c>
      <c r="O64" s="16" t="s">
        <v>918</v>
      </c>
      <c r="P64" s="6" t="s">
        <v>917</v>
      </c>
      <c r="Q64" s="6" t="s">
        <v>538</v>
      </c>
      <c r="AC64" s="19" t="str">
        <f ca="1">HYPERLINK("#"&amp;단가산출근거목록표!J2&amp;"!A"&amp;ROW(단가산출근거목록표!A37),"산근   34 →")</f>
        <v>산근   34 →</v>
      </c>
    </row>
    <row r="65" spans="1:29" ht="30.6" customHeight="1" x14ac:dyDescent="0.3">
      <c r="A65" s="9"/>
      <c r="B65" s="9" t="s">
        <v>293</v>
      </c>
      <c r="C65" s="44" t="s">
        <v>294</v>
      </c>
      <c r="D65" s="46">
        <v>243</v>
      </c>
      <c r="E65" s="24" t="s">
        <v>213</v>
      </c>
      <c r="F65" s="53">
        <f t="shared" si="8"/>
        <v>31382</v>
      </c>
      <c r="G65" s="55">
        <f t="shared" si="8"/>
        <v>7625826</v>
      </c>
      <c r="H65" s="57">
        <f>단가산출근거목록표!F38</f>
        <v>0</v>
      </c>
      <c r="I65" s="12">
        <f>ROUNDDOWN(H65*D65,0)</f>
        <v>0</v>
      </c>
      <c r="J65" s="60">
        <f>단가산출근거목록표!G38</f>
        <v>0</v>
      </c>
      <c r="K65" s="12">
        <f>ROUNDDOWN(J65*D65,0)</f>
        <v>0</v>
      </c>
      <c r="L65" s="53">
        <f>단가산출근거목록표!H38</f>
        <v>31382</v>
      </c>
      <c r="M65" s="23">
        <f>ROUNDDOWN(L65*D65,0)</f>
        <v>7625826</v>
      </c>
      <c r="N65" s="24" t="s">
        <v>922</v>
      </c>
      <c r="O65" s="16" t="s">
        <v>921</v>
      </c>
      <c r="P65" s="6" t="s">
        <v>920</v>
      </c>
      <c r="Q65" s="6" t="s">
        <v>538</v>
      </c>
      <c r="AC65" s="19" t="str">
        <f ca="1">HYPERLINK("#"&amp;단가산출근거목록표!J2&amp;"!A"&amp;ROW(단가산출근거목록표!A38),"산근   35 →")</f>
        <v>산근   35 →</v>
      </c>
    </row>
    <row r="66" spans="1:29" ht="30.6" customHeight="1" x14ac:dyDescent="0.3">
      <c r="A66" s="9"/>
      <c r="B66" s="9" t="s">
        <v>298</v>
      </c>
      <c r="C66" s="44" t="s">
        <v>278</v>
      </c>
      <c r="D66" s="46">
        <v>546</v>
      </c>
      <c r="E66" s="24" t="s">
        <v>279</v>
      </c>
      <c r="F66" s="53">
        <f t="shared" si="8"/>
        <v>2211</v>
      </c>
      <c r="G66" s="55">
        <f t="shared" si="8"/>
        <v>1207206</v>
      </c>
      <c r="H66" s="57">
        <f>단가산출근거목록표!F39</f>
        <v>0</v>
      </c>
      <c r="I66" s="12">
        <f>ROUNDDOWN(H66*D66,0)</f>
        <v>0</v>
      </c>
      <c r="J66" s="60">
        <f>단가산출근거목록표!G39</f>
        <v>0</v>
      </c>
      <c r="K66" s="12">
        <f>ROUNDDOWN(J66*D66,0)</f>
        <v>0</v>
      </c>
      <c r="L66" s="53">
        <f>단가산출근거목록표!H39</f>
        <v>2211</v>
      </c>
      <c r="M66" s="23">
        <f>ROUNDDOWN(L66*D66,0)</f>
        <v>1207206</v>
      </c>
      <c r="N66" s="24" t="s">
        <v>925</v>
      </c>
      <c r="O66" s="16" t="s">
        <v>924</v>
      </c>
      <c r="P66" s="6" t="s">
        <v>923</v>
      </c>
      <c r="Q66" s="6" t="s">
        <v>538</v>
      </c>
      <c r="AC66" s="19" t="str">
        <f ca="1">HYPERLINK("#"&amp;단가산출근거목록표!J2&amp;"!A"&amp;ROW(단가산출근거목록표!A39),"산근   36 →")</f>
        <v>산근   36 →</v>
      </c>
    </row>
    <row r="67" spans="1:29" ht="30.6" customHeight="1" x14ac:dyDescent="0.3">
      <c r="A67" s="9"/>
      <c r="B67" s="9"/>
      <c r="C67" s="44"/>
      <c r="D67" s="45"/>
      <c r="E67" s="24"/>
      <c r="F67" s="10">
        <v>0</v>
      </c>
      <c r="G67" s="49"/>
      <c r="H67" s="58"/>
      <c r="I67" s="58"/>
      <c r="J67" s="58"/>
      <c r="K67" s="58"/>
      <c r="L67" s="58"/>
      <c r="M67" s="52"/>
      <c r="N67" s="24"/>
      <c r="O67" s="16" t="s">
        <v>796</v>
      </c>
      <c r="P67" s="6" t="s">
        <v>543</v>
      </c>
      <c r="Q67" s="6" t="s">
        <v>561</v>
      </c>
    </row>
    <row r="68" spans="1:29" ht="30.6" customHeight="1" x14ac:dyDescent="0.3">
      <c r="A68" s="41" t="s">
        <v>926</v>
      </c>
      <c r="B68" s="41" t="s">
        <v>927</v>
      </c>
      <c r="C68" s="43"/>
      <c r="D68" s="45"/>
      <c r="E68" s="24"/>
      <c r="F68" s="10">
        <v>0</v>
      </c>
      <c r="G68" s="54">
        <f>SUMIF(Q69:Q72,P68,G69:G72)</f>
        <v>13582980</v>
      </c>
      <c r="H68" s="12">
        <v>0</v>
      </c>
      <c r="I68" s="55">
        <f>SUMIF(Q69:Q72,P68,I69:I72)</f>
        <v>0</v>
      </c>
      <c r="J68" s="12">
        <v>0</v>
      </c>
      <c r="K68" s="61">
        <f>SUMIF(Q69:Q72,P68,K69:K72)</f>
        <v>13582980</v>
      </c>
      <c r="L68" s="23">
        <v>0</v>
      </c>
      <c r="M68" s="61">
        <f>SUMIF(Q69:Q72,P68,M69:M72)</f>
        <v>0</v>
      </c>
      <c r="N68" s="24"/>
      <c r="O68" s="36" t="str">
        <f>"_x0007_`COD|E3_x0005_`QTY1|1_x0005_`EXI|0_x0005_`ITT|0_x0005_`END|"&amp;ROW(M73)&amp;"_x0005_`"</f>
        <v>_x0007_`COD|E3_x0005_`QTY1|1_x0005_`EXI|0_x0005_`ITT|0_x0005_`END|73_x0005_`</v>
      </c>
      <c r="P68" s="6" t="s">
        <v>538</v>
      </c>
      <c r="Q68" s="6" t="s">
        <v>561</v>
      </c>
    </row>
    <row r="69" spans="1:29" ht="30.6" customHeight="1" x14ac:dyDescent="0.3">
      <c r="A69" s="9"/>
      <c r="B69" s="9" t="s">
        <v>621</v>
      </c>
      <c r="C69" s="44" t="s">
        <v>622</v>
      </c>
      <c r="D69" s="46">
        <v>36</v>
      </c>
      <c r="E69" s="24" t="s">
        <v>445</v>
      </c>
      <c r="F69" s="53">
        <f t="shared" ref="F69:G72" si="9">J69+H69+L69</f>
        <v>25665</v>
      </c>
      <c r="G69" s="55">
        <f t="shared" si="9"/>
        <v>923940</v>
      </c>
      <c r="H69" s="59">
        <v>0</v>
      </c>
      <c r="I69" s="23">
        <f>ROUNDDOWN(H69*D69,0)</f>
        <v>0</v>
      </c>
      <c r="J69" s="60">
        <f>재료비목록표!E44</f>
        <v>25665</v>
      </c>
      <c r="K69" s="12">
        <f>ROUNDDOWN(J69*D69,0)</f>
        <v>923940</v>
      </c>
      <c r="L69" s="62">
        <v>0</v>
      </c>
      <c r="M69" s="23">
        <f>ROUNDDOWN(L69*D69,0)</f>
        <v>0</v>
      </c>
      <c r="N69" s="24" t="s">
        <v>930</v>
      </c>
      <c r="O69" s="16" t="s">
        <v>929</v>
      </c>
      <c r="P69" s="6" t="s">
        <v>928</v>
      </c>
      <c r="Q69" s="6" t="s">
        <v>538</v>
      </c>
      <c r="AC69" s="19" t="str">
        <f ca="1">HYPERLINK("#"&amp;재료비목록표!G2&amp;"!A"&amp;ROW(재료비목록표!A44),"자재   41 →")</f>
        <v>자재   41 →</v>
      </c>
    </row>
    <row r="70" spans="1:29" ht="30.6" customHeight="1" x14ac:dyDescent="0.3">
      <c r="A70" s="9"/>
      <c r="B70" s="9" t="s">
        <v>626</v>
      </c>
      <c r="C70" s="44" t="s">
        <v>622</v>
      </c>
      <c r="D70" s="46">
        <v>42</v>
      </c>
      <c r="E70" s="24" t="s">
        <v>445</v>
      </c>
      <c r="F70" s="53">
        <f t="shared" si="9"/>
        <v>18585</v>
      </c>
      <c r="G70" s="55">
        <f t="shared" si="9"/>
        <v>780570</v>
      </c>
      <c r="H70" s="59">
        <v>0</v>
      </c>
      <c r="I70" s="23">
        <f>ROUNDDOWN(H70*D70,0)</f>
        <v>0</v>
      </c>
      <c r="J70" s="60">
        <f>재료비목록표!E45</f>
        <v>18585</v>
      </c>
      <c r="K70" s="12">
        <f>ROUNDDOWN(J70*D70,0)</f>
        <v>780570</v>
      </c>
      <c r="L70" s="62">
        <v>0</v>
      </c>
      <c r="M70" s="23">
        <f>ROUNDDOWN(L70*D70,0)</f>
        <v>0</v>
      </c>
      <c r="N70" s="24" t="s">
        <v>933</v>
      </c>
      <c r="O70" s="16" t="s">
        <v>932</v>
      </c>
      <c r="P70" s="6" t="s">
        <v>931</v>
      </c>
      <c r="Q70" s="6" t="s">
        <v>538</v>
      </c>
      <c r="AC70" s="19" t="str">
        <f ca="1">HYPERLINK("#"&amp;재료비목록표!G2&amp;"!A"&amp;ROW(재료비목록표!A45),"자재   42 →")</f>
        <v>자재   42 →</v>
      </c>
    </row>
    <row r="71" spans="1:29" ht="30.6" customHeight="1" x14ac:dyDescent="0.3">
      <c r="A71" s="9"/>
      <c r="B71" s="9" t="s">
        <v>536</v>
      </c>
      <c r="C71" s="44" t="s">
        <v>630</v>
      </c>
      <c r="D71" s="46">
        <v>243</v>
      </c>
      <c r="E71" s="24" t="s">
        <v>213</v>
      </c>
      <c r="F71" s="53">
        <f t="shared" si="9"/>
        <v>38940</v>
      </c>
      <c r="G71" s="55">
        <f t="shared" si="9"/>
        <v>9462420</v>
      </c>
      <c r="H71" s="59">
        <v>0</v>
      </c>
      <c r="I71" s="23">
        <f>ROUNDDOWN(H71*D71,0)</f>
        <v>0</v>
      </c>
      <c r="J71" s="60">
        <f>재료비목록표!E46</f>
        <v>38940</v>
      </c>
      <c r="K71" s="12">
        <f>ROUNDDOWN(J71*D71,0)</f>
        <v>9462420</v>
      </c>
      <c r="L71" s="62">
        <v>0</v>
      </c>
      <c r="M71" s="23">
        <f>ROUNDDOWN(L71*D71,0)</f>
        <v>0</v>
      </c>
      <c r="N71" s="24" t="s">
        <v>936</v>
      </c>
      <c r="O71" s="16" t="s">
        <v>935</v>
      </c>
      <c r="P71" s="6" t="s">
        <v>934</v>
      </c>
      <c r="Q71" s="6" t="s">
        <v>538</v>
      </c>
      <c r="AC71" s="19" t="str">
        <f ca="1">HYPERLINK("#"&amp;재료비목록표!G2&amp;"!A"&amp;ROW(재료비목록표!A46),"자재   43 →")</f>
        <v>자재   43 →</v>
      </c>
    </row>
    <row r="72" spans="1:29" ht="30.6" customHeight="1" x14ac:dyDescent="0.3">
      <c r="A72" s="9"/>
      <c r="B72" s="9" t="s">
        <v>633</v>
      </c>
      <c r="C72" s="44" t="s">
        <v>634</v>
      </c>
      <c r="D72" s="46">
        <v>546</v>
      </c>
      <c r="E72" s="24" t="s">
        <v>279</v>
      </c>
      <c r="F72" s="53">
        <f t="shared" si="9"/>
        <v>4425</v>
      </c>
      <c r="G72" s="55">
        <f t="shared" si="9"/>
        <v>2416050</v>
      </c>
      <c r="H72" s="59">
        <v>0</v>
      </c>
      <c r="I72" s="23">
        <f>ROUNDDOWN(H72*D72,0)</f>
        <v>0</v>
      </c>
      <c r="J72" s="60">
        <f>재료비목록표!E47</f>
        <v>4425</v>
      </c>
      <c r="K72" s="12">
        <f>ROUNDDOWN(J72*D72,0)</f>
        <v>2416050</v>
      </c>
      <c r="L72" s="62">
        <v>0</v>
      </c>
      <c r="M72" s="23">
        <f>ROUNDDOWN(L72*D72,0)</f>
        <v>0</v>
      </c>
      <c r="N72" s="24" t="s">
        <v>939</v>
      </c>
      <c r="O72" s="16" t="s">
        <v>938</v>
      </c>
      <c r="P72" s="6" t="s">
        <v>937</v>
      </c>
      <c r="Q72" s="6" t="s">
        <v>538</v>
      </c>
      <c r="AC72" s="19" t="str">
        <f ca="1">HYPERLINK("#"&amp;재료비목록표!G2&amp;"!A"&amp;ROW(재료비목록표!A47),"자재   44 →")</f>
        <v>자재   44 →</v>
      </c>
    </row>
    <row r="73" spans="1:29" ht="30.6" customHeight="1" x14ac:dyDescent="0.3">
      <c r="A73" s="9"/>
      <c r="B73" s="9"/>
      <c r="C73" s="44"/>
      <c r="D73" s="45"/>
      <c r="E73" s="24"/>
      <c r="F73" s="10">
        <v>0</v>
      </c>
      <c r="G73" s="49"/>
      <c r="H73" s="58"/>
      <c r="I73" s="58"/>
      <c r="J73" s="58"/>
      <c r="K73" s="58"/>
      <c r="L73" s="58"/>
      <c r="M73" s="52"/>
      <c r="N73" s="24"/>
      <c r="O73" s="16" t="s">
        <v>596</v>
      </c>
      <c r="P73" s="6" t="s">
        <v>543</v>
      </c>
      <c r="Q73" s="6" t="s">
        <v>591</v>
      </c>
    </row>
    <row r="74" spans="1:29" ht="30.6" customHeight="1" x14ac:dyDescent="0.3">
      <c r="A74" s="9"/>
      <c r="B74" s="9"/>
      <c r="C74" s="9"/>
      <c r="D74" s="47"/>
      <c r="E74" s="33"/>
      <c r="F74" s="50"/>
      <c r="G74" s="50"/>
      <c r="H74" s="50"/>
      <c r="I74" s="50"/>
      <c r="J74" s="50"/>
      <c r="K74" s="50"/>
      <c r="L74" s="50"/>
      <c r="M74" s="50"/>
      <c r="N74" s="24"/>
    </row>
    <row r="75" spans="1:29" ht="30.6" customHeight="1" x14ac:dyDescent="0.3">
      <c r="A75" s="9"/>
      <c r="B75" s="9"/>
      <c r="C75" s="9"/>
      <c r="D75" s="47"/>
      <c r="E75" s="33"/>
      <c r="F75" s="50"/>
      <c r="G75" s="50"/>
      <c r="H75" s="50"/>
      <c r="I75" s="50"/>
      <c r="J75" s="50"/>
      <c r="K75" s="50"/>
      <c r="L75" s="50"/>
      <c r="M75" s="50"/>
      <c r="N75" s="24"/>
    </row>
    <row r="76" spans="1:29" ht="30.6" customHeight="1" x14ac:dyDescent="0.3">
      <c r="A76" s="9"/>
      <c r="B76" s="9"/>
      <c r="C76" s="9"/>
      <c r="D76" s="47"/>
      <c r="E76" s="33"/>
      <c r="F76" s="50"/>
      <c r="G76" s="50"/>
      <c r="H76" s="50"/>
      <c r="I76" s="50"/>
      <c r="J76" s="50"/>
      <c r="K76" s="50"/>
      <c r="L76" s="50"/>
      <c r="M76" s="50"/>
      <c r="N76" s="24"/>
    </row>
    <row r="77" spans="1:29" ht="30.6" customHeight="1" x14ac:dyDescent="0.3">
      <c r="A77" s="9"/>
      <c r="B77" s="9"/>
      <c r="C77" s="9"/>
      <c r="D77" s="47"/>
      <c r="E77" s="33"/>
      <c r="F77" s="50"/>
      <c r="G77" s="50"/>
      <c r="H77" s="50"/>
      <c r="I77" s="50"/>
      <c r="J77" s="50"/>
      <c r="K77" s="50"/>
      <c r="L77" s="50"/>
      <c r="M77" s="50"/>
      <c r="N77" s="24"/>
    </row>
    <row r="78" spans="1:29" ht="30.6" customHeight="1" x14ac:dyDescent="0.3">
      <c r="A78" s="9"/>
      <c r="B78" s="9"/>
      <c r="C78" s="9"/>
      <c r="D78" s="47"/>
      <c r="E78" s="33"/>
      <c r="F78" s="50"/>
      <c r="G78" s="50"/>
      <c r="H78" s="50"/>
      <c r="I78" s="50"/>
      <c r="J78" s="50"/>
      <c r="K78" s="50"/>
      <c r="L78" s="50"/>
      <c r="M78" s="50"/>
      <c r="N78" s="24"/>
    </row>
    <row r="79" spans="1:29" ht="30.6" customHeight="1" x14ac:dyDescent="0.3">
      <c r="A79" s="9"/>
      <c r="B79" s="9"/>
      <c r="C79" s="9"/>
      <c r="D79" s="47"/>
      <c r="E79" s="33"/>
      <c r="F79" s="50"/>
      <c r="G79" s="50"/>
      <c r="H79" s="50"/>
      <c r="I79" s="50"/>
      <c r="J79" s="50"/>
      <c r="K79" s="50"/>
      <c r="L79" s="50"/>
      <c r="M79" s="50"/>
      <c r="N79" s="24"/>
    </row>
    <row r="80" spans="1:29" ht="30.6" customHeight="1" x14ac:dyDescent="0.3">
      <c r="A80" s="9"/>
      <c r="B80" s="9"/>
      <c r="C80" s="9"/>
      <c r="D80" s="47"/>
      <c r="E80" s="33"/>
      <c r="F80" s="50"/>
      <c r="G80" s="50"/>
      <c r="H80" s="50"/>
      <c r="I80" s="50"/>
      <c r="J80" s="50"/>
      <c r="K80" s="50"/>
      <c r="L80" s="50"/>
      <c r="M80" s="50"/>
      <c r="N80" s="24"/>
    </row>
    <row r="81" spans="1:29" ht="30.6" customHeight="1" x14ac:dyDescent="0.3">
      <c r="A81" s="9"/>
      <c r="B81" s="9"/>
      <c r="C81" s="9"/>
      <c r="D81" s="47"/>
      <c r="E81" s="33"/>
      <c r="F81" s="50"/>
      <c r="G81" s="50"/>
      <c r="H81" s="50"/>
      <c r="I81" s="50"/>
      <c r="J81" s="50"/>
      <c r="K81" s="50"/>
      <c r="L81" s="50"/>
      <c r="M81" s="50"/>
      <c r="N81" s="24"/>
    </row>
    <row r="82" spans="1:29" ht="30.6" customHeight="1" x14ac:dyDescent="0.3">
      <c r="A82" s="9"/>
      <c r="B82" s="9"/>
      <c r="C82" s="9"/>
      <c r="D82" s="47"/>
      <c r="E82" s="33"/>
      <c r="F82" s="50"/>
      <c r="G82" s="50"/>
      <c r="H82" s="50"/>
      <c r="I82" s="50"/>
      <c r="J82" s="50"/>
      <c r="K82" s="50"/>
      <c r="L82" s="50"/>
      <c r="M82" s="50"/>
      <c r="N82" s="24"/>
    </row>
    <row r="83" spans="1:29" ht="30.6" customHeight="1" x14ac:dyDescent="0.3">
      <c r="A83" s="9"/>
      <c r="B83" s="9"/>
      <c r="C83" s="9"/>
      <c r="D83" s="47"/>
      <c r="E83" s="33"/>
      <c r="F83" s="50"/>
      <c r="G83" s="50"/>
      <c r="H83" s="50"/>
      <c r="I83" s="50"/>
      <c r="J83" s="50"/>
      <c r="K83" s="50"/>
      <c r="L83" s="50"/>
      <c r="M83" s="50"/>
      <c r="N83" s="24"/>
    </row>
    <row r="84" spans="1:29" ht="30.6" customHeight="1" x14ac:dyDescent="0.3">
      <c r="A84" s="9"/>
      <c r="B84" s="9"/>
      <c r="C84" s="9"/>
      <c r="D84" s="47"/>
      <c r="E84" s="33"/>
      <c r="F84" s="50"/>
      <c r="G84" s="50"/>
      <c r="H84" s="50"/>
      <c r="I84" s="50"/>
      <c r="J84" s="50"/>
      <c r="K84" s="50"/>
      <c r="L84" s="50"/>
      <c r="M84" s="50"/>
      <c r="N84" s="24"/>
    </row>
    <row r="85" spans="1:29" ht="30.6" customHeight="1" x14ac:dyDescent="0.3">
      <c r="A85" s="41" t="s">
        <v>587</v>
      </c>
      <c r="B85" s="41" t="s">
        <v>940</v>
      </c>
      <c r="C85" s="43" t="s">
        <v>575</v>
      </c>
      <c r="D85" s="45"/>
      <c r="E85" s="24"/>
      <c r="F85" s="10">
        <v>0</v>
      </c>
      <c r="G85" s="54">
        <f>SUMIF(Q86:Q149,P85,G86:G149)</f>
        <v>177998206</v>
      </c>
      <c r="H85" s="12">
        <v>0</v>
      </c>
      <c r="I85" s="55">
        <f>SUMIF(Q86:Q149,P85,I86:I149)</f>
        <v>98024005</v>
      </c>
      <c r="J85" s="12">
        <v>0</v>
      </c>
      <c r="K85" s="61">
        <f>SUMIF(Q86:Q149,P85,K86:K149)</f>
        <v>38326949</v>
      </c>
      <c r="L85" s="23">
        <v>0</v>
      </c>
      <c r="M85" s="61">
        <f>SUMIF(Q86:Q149,P85,M86:M149)</f>
        <v>41647252</v>
      </c>
      <c r="N85" s="24"/>
      <c r="O85" s="36" t="str">
        <f>"_x0007_`COD|E4_x0005_`QTY1|1_x0005_`EXI|0_x0005_`ITT|0_x0005_`END|"&amp;ROW(M150)&amp;"_x0005_`"</f>
        <v>_x0007_`COD|E4_x0005_`QTY1|1_x0005_`EXI|0_x0005_`ITT|0_x0005_`END|150_x0005_`</v>
      </c>
      <c r="P85" s="6" t="s">
        <v>561</v>
      </c>
      <c r="Q85" s="6" t="s">
        <v>591</v>
      </c>
    </row>
    <row r="86" spans="1:29" ht="30.6" customHeight="1" x14ac:dyDescent="0.3">
      <c r="A86" s="41" t="s">
        <v>557</v>
      </c>
      <c r="B86" s="41" t="s">
        <v>548</v>
      </c>
      <c r="C86" s="43"/>
      <c r="D86" s="45"/>
      <c r="E86" s="24"/>
      <c r="F86" s="10">
        <v>0</v>
      </c>
      <c r="G86" s="54">
        <f>SUMIF(Q87:Q116,P86,G87:G116)</f>
        <v>130206585</v>
      </c>
      <c r="H86" s="12">
        <v>0</v>
      </c>
      <c r="I86" s="55">
        <f>SUMIF(Q87:Q116,P86,I87:I116)</f>
        <v>68242609</v>
      </c>
      <c r="J86" s="12">
        <v>0</v>
      </c>
      <c r="K86" s="61">
        <f>SUMIF(Q87:Q116,P86,K87:K116)</f>
        <v>29415558</v>
      </c>
      <c r="L86" s="23">
        <v>0</v>
      </c>
      <c r="M86" s="61">
        <f>SUMIF(Q87:Q116,P86,M87:M116)</f>
        <v>32548418</v>
      </c>
      <c r="N86" s="24"/>
      <c r="O86" s="36" t="str">
        <f>"_x0007_`COD|E3_x0005_`QTY1|1_x0005_`EXI|0_x0005_`ITT|0_x0005_`END|"&amp;ROW(M117)&amp;"_x0005_`"</f>
        <v>_x0007_`COD|E3_x0005_`QTY1|1_x0005_`EXI|0_x0005_`ITT|0_x0005_`END|117_x0005_`</v>
      </c>
      <c r="P86" s="6" t="s">
        <v>538</v>
      </c>
      <c r="Q86" s="6" t="s">
        <v>561</v>
      </c>
    </row>
    <row r="87" spans="1:29" ht="30.6" customHeight="1" x14ac:dyDescent="0.3">
      <c r="A87" s="41" t="s">
        <v>533</v>
      </c>
      <c r="B87" s="41" t="s">
        <v>530</v>
      </c>
      <c r="C87" s="43"/>
      <c r="D87" s="45"/>
      <c r="E87" s="24"/>
      <c r="F87" s="10">
        <v>0</v>
      </c>
      <c r="G87" s="54">
        <f>SUMIF(Q88:Q90,P87,G88:G90)</f>
        <v>2893770</v>
      </c>
      <c r="H87" s="12">
        <v>0</v>
      </c>
      <c r="I87" s="55">
        <f>SUMIF(Q88:Q90,P87,I88:I90)</f>
        <v>1997264</v>
      </c>
      <c r="J87" s="12">
        <v>0</v>
      </c>
      <c r="K87" s="61">
        <f>SUMIF(Q88:Q90,P87,K88:K90)</f>
        <v>481582</v>
      </c>
      <c r="L87" s="23">
        <v>0</v>
      </c>
      <c r="M87" s="61">
        <f>SUMIF(Q88:Q90,P87,M88:M90)</f>
        <v>414924</v>
      </c>
      <c r="N87" s="24"/>
      <c r="O87" s="36" t="str">
        <f>"_x0007_`COD|E2_x0005_`QTY1|1_x0005_`EXI|0_x0005_`ITT|0_x0005_`END|"&amp;ROW(M91)&amp;"_x0005_`"</f>
        <v>_x0007_`COD|E2_x0005_`QTY1|1_x0005_`EXI|0_x0005_`ITT|0_x0005_`END|91_x0005_`</v>
      </c>
      <c r="P87" s="6" t="s">
        <v>518</v>
      </c>
      <c r="Q87" s="6" t="s">
        <v>538</v>
      </c>
    </row>
    <row r="88" spans="1:29" ht="30.6" customHeight="1" x14ac:dyDescent="0.3">
      <c r="A88" s="9"/>
      <c r="B88" s="9" t="s">
        <v>51</v>
      </c>
      <c r="C88" s="44" t="s">
        <v>52</v>
      </c>
      <c r="D88" s="46">
        <v>10</v>
      </c>
      <c r="E88" s="24" t="s">
        <v>53</v>
      </c>
      <c r="F88" s="53">
        <f t="shared" ref="F88:G90" si="10">J88+H88+L88</f>
        <v>22851</v>
      </c>
      <c r="G88" s="55">
        <f t="shared" si="10"/>
        <v>228510</v>
      </c>
      <c r="H88" s="57">
        <f>일위대가목록표!F12</f>
        <v>19413</v>
      </c>
      <c r="I88" s="12">
        <f>ROUNDDOWN(H88*D88,0)</f>
        <v>194130</v>
      </c>
      <c r="J88" s="60">
        <f>일위대가목록표!G12</f>
        <v>3438</v>
      </c>
      <c r="K88" s="12">
        <f>ROUNDDOWN(J88*D88,0)</f>
        <v>34380</v>
      </c>
      <c r="L88" s="53">
        <f>일위대가목록표!H12</f>
        <v>0</v>
      </c>
      <c r="M88" s="23">
        <f>ROUNDDOWN(L88*D88,0)</f>
        <v>0</v>
      </c>
      <c r="N88" s="24" t="s">
        <v>498</v>
      </c>
      <c r="O88" s="16" t="s">
        <v>513</v>
      </c>
      <c r="P88" s="6" t="s">
        <v>522</v>
      </c>
      <c r="Q88" s="6" t="s">
        <v>518</v>
      </c>
      <c r="AC88" s="19" t="str">
        <f ca="1">HYPERLINK("#"&amp;일위대가목록표!J2&amp;"!A"&amp;ROW(일위대가목록표!A12),"대가    9 →")</f>
        <v>대가    9 →</v>
      </c>
    </row>
    <row r="89" spans="1:29" ht="30.6" customHeight="1" x14ac:dyDescent="0.3">
      <c r="A89" s="9"/>
      <c r="B89" s="9" t="s">
        <v>51</v>
      </c>
      <c r="C89" s="44" t="s">
        <v>57</v>
      </c>
      <c r="D89" s="46">
        <v>20</v>
      </c>
      <c r="E89" s="24" t="s">
        <v>53</v>
      </c>
      <c r="F89" s="53">
        <f t="shared" si="10"/>
        <v>35376</v>
      </c>
      <c r="G89" s="55">
        <f t="shared" si="10"/>
        <v>707520</v>
      </c>
      <c r="H89" s="57">
        <f>일위대가목록표!F13</f>
        <v>29233</v>
      </c>
      <c r="I89" s="12">
        <f>ROUNDDOWN(H89*D89,0)</f>
        <v>584660</v>
      </c>
      <c r="J89" s="60">
        <f>일위대가목록표!G13</f>
        <v>6143</v>
      </c>
      <c r="K89" s="12">
        <f>ROUNDDOWN(J89*D89,0)</f>
        <v>122860</v>
      </c>
      <c r="L89" s="53">
        <f>일위대가목록표!H13</f>
        <v>0</v>
      </c>
      <c r="M89" s="23">
        <f>ROUNDDOWN(L89*D89,0)</f>
        <v>0</v>
      </c>
      <c r="N89" s="24" t="s">
        <v>484</v>
      </c>
      <c r="O89" s="16" t="s">
        <v>489</v>
      </c>
      <c r="P89" s="6" t="s">
        <v>494</v>
      </c>
      <c r="Q89" s="6" t="s">
        <v>518</v>
      </c>
      <c r="AC89" s="19" t="str">
        <f ca="1">HYPERLINK("#"&amp;일위대가목록표!J2&amp;"!A"&amp;ROW(일위대가목록표!A13),"대가   10 →")</f>
        <v>대가   10 →</v>
      </c>
    </row>
    <row r="90" spans="1:29" ht="30.6" customHeight="1" x14ac:dyDescent="0.3">
      <c r="A90" s="9"/>
      <c r="B90" s="9" t="s">
        <v>61</v>
      </c>
      <c r="C90" s="44" t="s">
        <v>62</v>
      </c>
      <c r="D90" s="46">
        <v>2922</v>
      </c>
      <c r="E90" s="24" t="s">
        <v>26</v>
      </c>
      <c r="F90" s="53">
        <f t="shared" si="10"/>
        <v>670</v>
      </c>
      <c r="G90" s="55">
        <f t="shared" si="10"/>
        <v>1957740</v>
      </c>
      <c r="H90" s="57">
        <f>일위대가목록표!F14</f>
        <v>417</v>
      </c>
      <c r="I90" s="12">
        <f>ROUNDDOWN(H90*D90,0)</f>
        <v>1218474</v>
      </c>
      <c r="J90" s="60">
        <f>일위대가목록표!G14</f>
        <v>111</v>
      </c>
      <c r="K90" s="12">
        <f>ROUNDDOWN(J90*D90,0)</f>
        <v>324342</v>
      </c>
      <c r="L90" s="53">
        <f>일위대가목록표!H14</f>
        <v>142</v>
      </c>
      <c r="M90" s="23">
        <f>ROUNDDOWN(L90*D90,0)</f>
        <v>414924</v>
      </c>
      <c r="N90" s="24" t="s">
        <v>795</v>
      </c>
      <c r="O90" s="16" t="s">
        <v>794</v>
      </c>
      <c r="P90" s="6" t="s">
        <v>478</v>
      </c>
      <c r="Q90" s="6" t="s">
        <v>518</v>
      </c>
      <c r="AC90" s="19" t="str">
        <f ca="1">HYPERLINK("#"&amp;일위대가목록표!J2&amp;"!A"&amp;ROW(일위대가목록표!A14),"대가   11 →")</f>
        <v>대가   11 →</v>
      </c>
    </row>
    <row r="91" spans="1:29" ht="30.6" customHeight="1" x14ac:dyDescent="0.3">
      <c r="A91" s="9"/>
      <c r="B91" s="9"/>
      <c r="C91" s="44"/>
      <c r="D91" s="45"/>
      <c r="E91" s="24"/>
      <c r="F91" s="10">
        <v>0</v>
      </c>
      <c r="G91" s="49"/>
      <c r="H91" s="58"/>
      <c r="I91" s="58"/>
      <c r="J91" s="58"/>
      <c r="K91" s="58"/>
      <c r="L91" s="58"/>
      <c r="M91" s="52"/>
      <c r="N91" s="24"/>
      <c r="O91" s="16" t="s">
        <v>796</v>
      </c>
      <c r="P91" s="6" t="s">
        <v>543</v>
      </c>
      <c r="Q91" s="6" t="s">
        <v>538</v>
      </c>
    </row>
    <row r="92" spans="1:29" ht="30.6" customHeight="1" x14ac:dyDescent="0.3">
      <c r="A92" s="41" t="s">
        <v>799</v>
      </c>
      <c r="B92" s="41" t="s">
        <v>800</v>
      </c>
      <c r="C92" s="43"/>
      <c r="D92" s="45"/>
      <c r="E92" s="24"/>
      <c r="F92" s="10">
        <v>0</v>
      </c>
      <c r="G92" s="54">
        <f>SUMIF(Q93:Q95,P92,G93:G95)</f>
        <v>83799350</v>
      </c>
      <c r="H92" s="12">
        <v>0</v>
      </c>
      <c r="I92" s="55">
        <f>SUMIF(Q93:Q95,P92,I93:I95)</f>
        <v>41196975</v>
      </c>
      <c r="J92" s="12">
        <v>0</v>
      </c>
      <c r="K92" s="61">
        <f>SUMIF(Q93:Q95,P92,K93:K95)</f>
        <v>21624033</v>
      </c>
      <c r="L92" s="23">
        <v>0</v>
      </c>
      <c r="M92" s="61">
        <f>SUMIF(Q93:Q95,P92,M93:M95)</f>
        <v>20978342</v>
      </c>
      <c r="N92" s="24"/>
      <c r="O92" s="36" t="str">
        <f>"_x0007_`COD|E2_x0005_`QTY1|1_x0005_`EXI|0_x0005_`ITT|0_x0005_`END|"&amp;ROW(M96)&amp;"_x0005_`"</f>
        <v>_x0007_`COD|E2_x0005_`QTY1|1_x0005_`EXI|0_x0005_`ITT|0_x0005_`END|96_x0005_`</v>
      </c>
      <c r="P92" s="6" t="s">
        <v>518</v>
      </c>
      <c r="Q92" s="6" t="s">
        <v>538</v>
      </c>
    </row>
    <row r="93" spans="1:29" ht="30.6" customHeight="1" x14ac:dyDescent="0.3">
      <c r="A93" s="9"/>
      <c r="B93" s="9" t="s">
        <v>220</v>
      </c>
      <c r="C93" s="44" t="s">
        <v>188</v>
      </c>
      <c r="D93" s="46">
        <v>8483</v>
      </c>
      <c r="E93" s="24" t="s">
        <v>14</v>
      </c>
      <c r="F93" s="53">
        <f t="shared" ref="F93:G95" si="11">J93+H93+L93</f>
        <v>1714</v>
      </c>
      <c r="G93" s="55">
        <f t="shared" si="11"/>
        <v>14539862</v>
      </c>
      <c r="H93" s="57">
        <f>단가산출근거목록표!F18</f>
        <v>987</v>
      </c>
      <c r="I93" s="12">
        <f>ROUNDDOWN(H93*D93,0)</f>
        <v>8372721</v>
      </c>
      <c r="J93" s="60">
        <f>단가산출근거목록표!G18</f>
        <v>318</v>
      </c>
      <c r="K93" s="12">
        <f>ROUNDDOWN(J93*D93,0)</f>
        <v>2697594</v>
      </c>
      <c r="L93" s="53">
        <f>단가산출근거목록표!H18</f>
        <v>409</v>
      </c>
      <c r="M93" s="23">
        <f>ROUNDDOWN(L93*D93,0)</f>
        <v>3469547</v>
      </c>
      <c r="N93" s="24" t="s">
        <v>803</v>
      </c>
      <c r="O93" s="16" t="s">
        <v>802</v>
      </c>
      <c r="P93" s="6" t="s">
        <v>801</v>
      </c>
      <c r="Q93" s="6" t="s">
        <v>518</v>
      </c>
      <c r="AC93" s="19" t="str">
        <f ca="1">HYPERLINK("#"&amp;단가산출근거목록표!J2&amp;"!A"&amp;ROW(단가산출근거목록표!A18),"산근   15 →")</f>
        <v>산근   15 →</v>
      </c>
    </row>
    <row r="94" spans="1:29" ht="30.6" customHeight="1" x14ac:dyDescent="0.3">
      <c r="A94" s="9"/>
      <c r="B94" s="9" t="s">
        <v>223</v>
      </c>
      <c r="C94" s="44" t="s">
        <v>224</v>
      </c>
      <c r="D94" s="46">
        <v>2229</v>
      </c>
      <c r="E94" s="24" t="s">
        <v>14</v>
      </c>
      <c r="F94" s="53">
        <f t="shared" si="11"/>
        <v>21128</v>
      </c>
      <c r="G94" s="55">
        <f t="shared" si="11"/>
        <v>47094312</v>
      </c>
      <c r="H94" s="57">
        <f>단가산출근거목록표!F19</f>
        <v>10971</v>
      </c>
      <c r="I94" s="12">
        <f>ROUNDDOWN(H94*D94,0)</f>
        <v>24454359</v>
      </c>
      <c r="J94" s="60">
        <f>단가산출근거목록표!G19</f>
        <v>3625</v>
      </c>
      <c r="K94" s="12">
        <f>ROUNDDOWN(J94*D94,0)</f>
        <v>8080125</v>
      </c>
      <c r="L94" s="53">
        <f>단가산출근거목록표!H19</f>
        <v>6532</v>
      </c>
      <c r="M94" s="23">
        <f>ROUNDDOWN(L94*D94,0)</f>
        <v>14559828</v>
      </c>
      <c r="N94" s="24" t="s">
        <v>806</v>
      </c>
      <c r="O94" s="16" t="s">
        <v>805</v>
      </c>
      <c r="P94" s="6" t="s">
        <v>804</v>
      </c>
      <c r="Q94" s="6" t="s">
        <v>518</v>
      </c>
      <c r="AC94" s="19" t="str">
        <f ca="1">HYPERLINK("#"&amp;단가산출근거목록표!J2&amp;"!A"&amp;ROW(단가산출근거목록표!A19),"산근   16 →")</f>
        <v>산근   16 →</v>
      </c>
    </row>
    <row r="95" spans="1:29" ht="30.6" customHeight="1" x14ac:dyDescent="0.3">
      <c r="A95" s="9"/>
      <c r="B95" s="9" t="s">
        <v>227</v>
      </c>
      <c r="C95" s="44" t="s">
        <v>228</v>
      </c>
      <c r="D95" s="46">
        <v>2229</v>
      </c>
      <c r="E95" s="24" t="s">
        <v>14</v>
      </c>
      <c r="F95" s="53">
        <f t="shared" si="11"/>
        <v>9944</v>
      </c>
      <c r="G95" s="55">
        <f t="shared" si="11"/>
        <v>22165176</v>
      </c>
      <c r="H95" s="57">
        <f>단가산출근거목록표!F20</f>
        <v>3755</v>
      </c>
      <c r="I95" s="12">
        <f>ROUNDDOWN(H95*D95,0)</f>
        <v>8369895</v>
      </c>
      <c r="J95" s="60">
        <f>단가산출근거목록표!G20</f>
        <v>4866</v>
      </c>
      <c r="K95" s="12">
        <f>ROUNDDOWN(J95*D95,0)</f>
        <v>10846314</v>
      </c>
      <c r="L95" s="53">
        <f>단가산출근거목록표!H20</f>
        <v>1323</v>
      </c>
      <c r="M95" s="23">
        <f>ROUNDDOWN(L95*D95,0)</f>
        <v>2948967</v>
      </c>
      <c r="N95" s="24" t="s">
        <v>809</v>
      </c>
      <c r="O95" s="16" t="s">
        <v>808</v>
      </c>
      <c r="P95" s="6" t="s">
        <v>807</v>
      </c>
      <c r="Q95" s="6" t="s">
        <v>518</v>
      </c>
      <c r="AC95" s="19" t="str">
        <f ca="1">HYPERLINK("#"&amp;단가산출근거목록표!J2&amp;"!A"&amp;ROW(단가산출근거목록표!A20),"산근   17 →")</f>
        <v>산근   17 →</v>
      </c>
    </row>
    <row r="96" spans="1:29" ht="30.6" customHeight="1" x14ac:dyDescent="0.3">
      <c r="A96" s="9"/>
      <c r="B96" s="9"/>
      <c r="C96" s="44"/>
      <c r="D96" s="45"/>
      <c r="E96" s="24"/>
      <c r="F96" s="10">
        <v>0</v>
      </c>
      <c r="G96" s="49"/>
      <c r="H96" s="58"/>
      <c r="I96" s="58"/>
      <c r="J96" s="58"/>
      <c r="K96" s="58"/>
      <c r="L96" s="58"/>
      <c r="M96" s="52"/>
      <c r="N96" s="24"/>
      <c r="O96" s="16" t="s">
        <v>796</v>
      </c>
      <c r="P96" s="6" t="s">
        <v>543</v>
      </c>
      <c r="Q96" s="6" t="s">
        <v>538</v>
      </c>
    </row>
    <row r="97" spans="1:29" ht="30.6" customHeight="1" x14ac:dyDescent="0.3">
      <c r="A97" s="41" t="s">
        <v>810</v>
      </c>
      <c r="B97" s="41" t="s">
        <v>811</v>
      </c>
      <c r="C97" s="43"/>
      <c r="D97" s="45"/>
      <c r="E97" s="24"/>
      <c r="F97" s="10">
        <v>0</v>
      </c>
      <c r="G97" s="54">
        <f>SUMIF(Q98:Q100,P97,G98:G100)</f>
        <v>7681720</v>
      </c>
      <c r="H97" s="12">
        <v>0</v>
      </c>
      <c r="I97" s="55">
        <f>SUMIF(Q98:Q100,P97,I98:I100)</f>
        <v>4111610</v>
      </c>
      <c r="J97" s="12">
        <v>0</v>
      </c>
      <c r="K97" s="61">
        <f>SUMIF(Q98:Q100,P97,K98:K100)</f>
        <v>1348146</v>
      </c>
      <c r="L97" s="23">
        <v>0</v>
      </c>
      <c r="M97" s="61">
        <f>SUMIF(Q98:Q100,P97,M98:M100)</f>
        <v>2221964</v>
      </c>
      <c r="N97" s="24"/>
      <c r="O97" s="36" t="str">
        <f>"_x0007_`COD|E2_x0005_`QTY1|1_x0005_`EXI|0_x0005_`ITT|0_x0005_`END|"&amp;ROW(M101)&amp;"_x0005_`"</f>
        <v>_x0007_`COD|E2_x0005_`QTY1|1_x0005_`EXI|0_x0005_`ITT|0_x0005_`END|101_x0005_`</v>
      </c>
      <c r="P97" s="6" t="s">
        <v>518</v>
      </c>
      <c r="Q97" s="6" t="s">
        <v>538</v>
      </c>
    </row>
    <row r="98" spans="1:29" ht="30.6" customHeight="1" x14ac:dyDescent="0.3">
      <c r="A98" s="9"/>
      <c r="B98" s="9" t="s">
        <v>187</v>
      </c>
      <c r="C98" s="44" t="s">
        <v>188</v>
      </c>
      <c r="D98" s="46">
        <v>854</v>
      </c>
      <c r="E98" s="24" t="s">
        <v>14</v>
      </c>
      <c r="F98" s="53">
        <f t="shared" ref="F98:G100" si="12">J98+H98+L98</f>
        <v>1450</v>
      </c>
      <c r="G98" s="55">
        <f t="shared" si="12"/>
        <v>1238300</v>
      </c>
      <c r="H98" s="57">
        <f>단가산출근거목록표!F21</f>
        <v>835</v>
      </c>
      <c r="I98" s="12">
        <f>ROUNDDOWN(H98*D98,0)</f>
        <v>713090</v>
      </c>
      <c r="J98" s="60">
        <f>단가산출근거목록표!G21</f>
        <v>269</v>
      </c>
      <c r="K98" s="12">
        <f>ROUNDDOWN(J98*D98,0)</f>
        <v>229726</v>
      </c>
      <c r="L98" s="53">
        <f>단가산출근거목록표!H21</f>
        <v>346</v>
      </c>
      <c r="M98" s="23">
        <f>ROUNDDOWN(L98*D98,0)</f>
        <v>295484</v>
      </c>
      <c r="N98" s="24" t="s">
        <v>814</v>
      </c>
      <c r="O98" s="16" t="s">
        <v>813</v>
      </c>
      <c r="P98" s="6" t="s">
        <v>812</v>
      </c>
      <c r="Q98" s="6" t="s">
        <v>518</v>
      </c>
      <c r="AC98" s="19" t="str">
        <f ca="1">HYPERLINK("#"&amp;단가산출근거목록표!J2&amp;"!A"&amp;ROW(단가산출근거목록표!A21),"산근   18 →")</f>
        <v>산근   18 →</v>
      </c>
    </row>
    <row r="99" spans="1:29" ht="30.6" customHeight="1" x14ac:dyDescent="0.3">
      <c r="A99" s="9"/>
      <c r="B99" s="9" t="s">
        <v>233</v>
      </c>
      <c r="C99" s="44" t="s">
        <v>234</v>
      </c>
      <c r="D99" s="46">
        <v>180</v>
      </c>
      <c r="E99" s="24" t="s">
        <v>14</v>
      </c>
      <c r="F99" s="53">
        <f t="shared" si="12"/>
        <v>31331</v>
      </c>
      <c r="G99" s="55">
        <f t="shared" si="12"/>
        <v>5639580</v>
      </c>
      <c r="H99" s="57">
        <f>단가산출근거목록표!F22</f>
        <v>16310</v>
      </c>
      <c r="I99" s="12">
        <f>ROUNDDOWN(H99*D99,0)</f>
        <v>2935800</v>
      </c>
      <c r="J99" s="60">
        <f>단가산출근거목록표!G22</f>
        <v>5385</v>
      </c>
      <c r="K99" s="12">
        <f>ROUNDDOWN(J99*D99,0)</f>
        <v>969300</v>
      </c>
      <c r="L99" s="53">
        <f>단가산출근거목록표!H22</f>
        <v>9636</v>
      </c>
      <c r="M99" s="23">
        <f>ROUNDDOWN(L99*D99,0)</f>
        <v>1734480</v>
      </c>
      <c r="N99" s="24" t="s">
        <v>817</v>
      </c>
      <c r="O99" s="16" t="s">
        <v>816</v>
      </c>
      <c r="P99" s="6" t="s">
        <v>815</v>
      </c>
      <c r="Q99" s="6" t="s">
        <v>518</v>
      </c>
      <c r="AC99" s="19" t="str">
        <f ca="1">HYPERLINK("#"&amp;단가산출근거목록표!J2&amp;"!A"&amp;ROW(단가산출근거목록표!A22),"산근   19 →")</f>
        <v>산근   19 →</v>
      </c>
    </row>
    <row r="100" spans="1:29" ht="30.6" customHeight="1" x14ac:dyDescent="0.3">
      <c r="A100" s="9"/>
      <c r="B100" s="9" t="s">
        <v>237</v>
      </c>
      <c r="C100" s="44" t="s">
        <v>188</v>
      </c>
      <c r="D100" s="46">
        <v>640</v>
      </c>
      <c r="E100" s="24" t="s">
        <v>14</v>
      </c>
      <c r="F100" s="53">
        <f t="shared" si="12"/>
        <v>1256</v>
      </c>
      <c r="G100" s="55">
        <f t="shared" si="12"/>
        <v>803840</v>
      </c>
      <c r="H100" s="57">
        <f>단가산출근거목록표!F23</f>
        <v>723</v>
      </c>
      <c r="I100" s="12">
        <f>ROUNDDOWN(H100*D100,0)</f>
        <v>462720</v>
      </c>
      <c r="J100" s="60">
        <f>단가산출근거목록표!G23</f>
        <v>233</v>
      </c>
      <c r="K100" s="12">
        <f>ROUNDDOWN(J100*D100,0)</f>
        <v>149120</v>
      </c>
      <c r="L100" s="53">
        <f>단가산출근거목록표!H23</f>
        <v>300</v>
      </c>
      <c r="M100" s="23">
        <f>ROUNDDOWN(L100*D100,0)</f>
        <v>192000</v>
      </c>
      <c r="N100" s="24" t="s">
        <v>820</v>
      </c>
      <c r="O100" s="16" t="s">
        <v>819</v>
      </c>
      <c r="P100" s="6" t="s">
        <v>818</v>
      </c>
      <c r="Q100" s="6" t="s">
        <v>518</v>
      </c>
      <c r="AC100" s="19" t="str">
        <f ca="1">HYPERLINK("#"&amp;단가산출근거목록표!J2&amp;"!A"&amp;ROW(단가산출근거목록표!A23),"산근   20 →")</f>
        <v>산근   20 →</v>
      </c>
    </row>
    <row r="101" spans="1:29" ht="30.6" customHeight="1" x14ac:dyDescent="0.3">
      <c r="A101" s="9"/>
      <c r="B101" s="9"/>
      <c r="C101" s="44"/>
      <c r="D101" s="45"/>
      <c r="E101" s="24"/>
      <c r="F101" s="10">
        <v>0</v>
      </c>
      <c r="G101" s="49"/>
      <c r="H101" s="58"/>
      <c r="I101" s="58"/>
      <c r="J101" s="58"/>
      <c r="K101" s="58"/>
      <c r="L101" s="58"/>
      <c r="M101" s="52"/>
      <c r="N101" s="24"/>
      <c r="O101" s="16" t="s">
        <v>796</v>
      </c>
      <c r="P101" s="6" t="s">
        <v>543</v>
      </c>
      <c r="Q101" s="6" t="s">
        <v>538</v>
      </c>
    </row>
    <row r="102" spans="1:29" ht="30.6" customHeight="1" x14ac:dyDescent="0.3">
      <c r="A102" s="41" t="s">
        <v>821</v>
      </c>
      <c r="B102" s="41" t="s">
        <v>822</v>
      </c>
      <c r="C102" s="43"/>
      <c r="D102" s="45"/>
      <c r="E102" s="24"/>
      <c r="F102" s="10">
        <v>0</v>
      </c>
      <c r="G102" s="54">
        <f>SUMIF(Q103:Q104,P102,G103:G104)</f>
        <v>4658909</v>
      </c>
      <c r="H102" s="12">
        <v>0</v>
      </c>
      <c r="I102" s="55">
        <f>SUMIF(Q103:Q104,P102,I103:I104)</f>
        <v>2435175</v>
      </c>
      <c r="J102" s="12">
        <v>0</v>
      </c>
      <c r="K102" s="61">
        <f>SUMIF(Q103:Q104,P102,K103:K104)</f>
        <v>801052</v>
      </c>
      <c r="L102" s="23">
        <v>0</v>
      </c>
      <c r="M102" s="61">
        <f>SUMIF(Q103:Q104,P102,M103:M104)</f>
        <v>1422682</v>
      </c>
      <c r="N102" s="24"/>
      <c r="O102" s="36" t="str">
        <f>"_x0007_`COD|E2_x0005_`QTY1|1_x0005_`EXI|0_x0005_`ITT|0_x0005_`END|"&amp;ROW(M105)&amp;"_x0005_`"</f>
        <v>_x0007_`COD|E2_x0005_`QTY1|1_x0005_`EXI|0_x0005_`ITT|0_x0005_`END|105_x0005_`</v>
      </c>
      <c r="P102" s="6" t="s">
        <v>518</v>
      </c>
      <c r="Q102" s="6" t="s">
        <v>538</v>
      </c>
    </row>
    <row r="103" spans="1:29" ht="30.6" customHeight="1" x14ac:dyDescent="0.3">
      <c r="A103" s="9"/>
      <c r="B103" s="9" t="s">
        <v>240</v>
      </c>
      <c r="C103" s="44" t="s">
        <v>241</v>
      </c>
      <c r="D103" s="46">
        <v>41</v>
      </c>
      <c r="E103" s="24" t="s">
        <v>14</v>
      </c>
      <c r="F103" s="53">
        <f>J103+H103+L103</f>
        <v>2063</v>
      </c>
      <c r="G103" s="55">
        <f>K103+I103+M103</f>
        <v>84583</v>
      </c>
      <c r="H103" s="57">
        <f>단가산출근거목록표!F24</f>
        <v>1315</v>
      </c>
      <c r="I103" s="12">
        <f>ROUNDDOWN(H103*D103,0)</f>
        <v>53915</v>
      </c>
      <c r="J103" s="60">
        <f>단가산출근거목록표!G24</f>
        <v>362</v>
      </c>
      <c r="K103" s="12">
        <f>ROUNDDOWN(J103*D103,0)</f>
        <v>14842</v>
      </c>
      <c r="L103" s="53">
        <f>단가산출근거목록표!H24</f>
        <v>386</v>
      </c>
      <c r="M103" s="23">
        <f>ROUNDDOWN(L103*D103,0)</f>
        <v>15826</v>
      </c>
      <c r="N103" s="24" t="s">
        <v>825</v>
      </c>
      <c r="O103" s="16" t="s">
        <v>824</v>
      </c>
      <c r="P103" s="6" t="s">
        <v>823</v>
      </c>
      <c r="Q103" s="6" t="s">
        <v>518</v>
      </c>
      <c r="AC103" s="19" t="str">
        <f ca="1">HYPERLINK("#"&amp;단가산출근거목록표!J2&amp;"!A"&amp;ROW(단가산출근거목록표!A24),"산근   21 →")</f>
        <v>산근   21 →</v>
      </c>
    </row>
    <row r="104" spans="1:29" ht="30.6" customHeight="1" x14ac:dyDescent="0.3">
      <c r="A104" s="9"/>
      <c r="B104" s="9" t="s">
        <v>244</v>
      </c>
      <c r="C104" s="44" t="s">
        <v>234</v>
      </c>
      <c r="D104" s="46">
        <v>146</v>
      </c>
      <c r="E104" s="24" t="s">
        <v>14</v>
      </c>
      <c r="F104" s="53">
        <f>J104+H104+L104</f>
        <v>31331</v>
      </c>
      <c r="G104" s="55">
        <f>K104+I104+M104</f>
        <v>4574326</v>
      </c>
      <c r="H104" s="57">
        <f>단가산출근거목록표!F25</f>
        <v>16310</v>
      </c>
      <c r="I104" s="12">
        <f>ROUNDDOWN(H104*D104,0)</f>
        <v>2381260</v>
      </c>
      <c r="J104" s="60">
        <f>단가산출근거목록표!G25</f>
        <v>5385</v>
      </c>
      <c r="K104" s="12">
        <f>ROUNDDOWN(J104*D104,0)</f>
        <v>786210</v>
      </c>
      <c r="L104" s="53">
        <f>단가산출근거목록표!H25</f>
        <v>9636</v>
      </c>
      <c r="M104" s="23">
        <f>ROUNDDOWN(L104*D104,0)</f>
        <v>1406856</v>
      </c>
      <c r="N104" s="24" t="s">
        <v>828</v>
      </c>
      <c r="O104" s="16" t="s">
        <v>827</v>
      </c>
      <c r="P104" s="6" t="s">
        <v>826</v>
      </c>
      <c r="Q104" s="6" t="s">
        <v>518</v>
      </c>
      <c r="AC104" s="19" t="str">
        <f ca="1">HYPERLINK("#"&amp;단가산출근거목록표!J2&amp;"!A"&amp;ROW(단가산출근거목록표!A25),"산근   22 →")</f>
        <v>산근   22 →</v>
      </c>
    </row>
    <row r="105" spans="1:29" ht="30.6" customHeight="1" x14ac:dyDescent="0.3">
      <c r="A105" s="9"/>
      <c r="B105" s="9"/>
      <c r="C105" s="44"/>
      <c r="D105" s="45"/>
      <c r="E105" s="24"/>
      <c r="F105" s="10">
        <v>0</v>
      </c>
      <c r="G105" s="49"/>
      <c r="H105" s="58"/>
      <c r="I105" s="58"/>
      <c r="J105" s="58"/>
      <c r="K105" s="58"/>
      <c r="L105" s="58"/>
      <c r="M105" s="52"/>
      <c r="N105" s="24"/>
      <c r="O105" s="16" t="s">
        <v>796</v>
      </c>
      <c r="P105" s="6" t="s">
        <v>543</v>
      </c>
      <c r="Q105" s="6" t="s">
        <v>538</v>
      </c>
    </row>
    <row r="106" spans="1:29" ht="30.6" customHeight="1" x14ac:dyDescent="0.3">
      <c r="A106" s="41" t="s">
        <v>829</v>
      </c>
      <c r="B106" s="41" t="s">
        <v>830</v>
      </c>
      <c r="C106" s="43"/>
      <c r="D106" s="45"/>
      <c r="E106" s="24"/>
      <c r="F106" s="10">
        <v>0</v>
      </c>
      <c r="G106" s="54">
        <f>SUMIF(Q107:Q111,P106,G107:G111)</f>
        <v>23650802</v>
      </c>
      <c r="H106" s="12">
        <v>0</v>
      </c>
      <c r="I106" s="55">
        <f>SUMIF(Q107:Q111,P106,I107:I111)</f>
        <v>14039690</v>
      </c>
      <c r="J106" s="12">
        <v>0</v>
      </c>
      <c r="K106" s="61">
        <f>SUMIF(Q107:Q111,P106,K107:K111)</f>
        <v>3878564</v>
      </c>
      <c r="L106" s="23">
        <v>0</v>
      </c>
      <c r="M106" s="61">
        <f>SUMIF(Q107:Q111,P106,M107:M111)</f>
        <v>5732548</v>
      </c>
      <c r="N106" s="24"/>
      <c r="O106" s="36" t="str">
        <f>"_x0007_`COD|E2_x0005_`QTY1|1_x0005_`EXI|0_x0005_`ITT|0_x0005_`END|"&amp;ROW(M112)&amp;"_x0005_`"</f>
        <v>_x0007_`COD|E2_x0005_`QTY1|1_x0005_`EXI|0_x0005_`ITT|0_x0005_`END|112_x0005_`</v>
      </c>
      <c r="P106" s="6" t="s">
        <v>518</v>
      </c>
      <c r="Q106" s="6" t="s">
        <v>538</v>
      </c>
    </row>
    <row r="107" spans="1:29" ht="30.6" customHeight="1" x14ac:dyDescent="0.3">
      <c r="A107" s="9"/>
      <c r="B107" s="9" t="s">
        <v>247</v>
      </c>
      <c r="C107" s="44" t="s">
        <v>248</v>
      </c>
      <c r="D107" s="46">
        <v>6429</v>
      </c>
      <c r="E107" s="24" t="s">
        <v>14</v>
      </c>
      <c r="F107" s="53">
        <f t="shared" ref="F107:G111" si="13">J107+H107+L107</f>
        <v>0</v>
      </c>
      <c r="G107" s="55">
        <f t="shared" si="13"/>
        <v>0</v>
      </c>
      <c r="H107" s="57">
        <f>단가산출근거목록표!F26</f>
        <v>0</v>
      </c>
      <c r="I107" s="12">
        <f>ROUNDDOWN(H107*D107,0)</f>
        <v>0</v>
      </c>
      <c r="J107" s="60">
        <f>단가산출근거목록표!G26</f>
        <v>0</v>
      </c>
      <c r="K107" s="12">
        <f>ROUNDDOWN(J107*D107,0)</f>
        <v>0</v>
      </c>
      <c r="L107" s="53">
        <f>단가산출근거목록표!H26</f>
        <v>0</v>
      </c>
      <c r="M107" s="23">
        <f>ROUNDDOWN(L107*D107,0)</f>
        <v>0</v>
      </c>
      <c r="N107" s="24" t="s">
        <v>833</v>
      </c>
      <c r="O107" s="16" t="s">
        <v>832</v>
      </c>
      <c r="P107" s="6" t="s">
        <v>831</v>
      </c>
      <c r="Q107" s="6" t="s">
        <v>518</v>
      </c>
      <c r="AC107" s="19" t="str">
        <f ca="1">HYPERLINK("#"&amp;단가산출근거목록표!J2&amp;"!A"&amp;ROW(단가산출근거목록표!A26),"산근   23 →")</f>
        <v>산근   23 →</v>
      </c>
    </row>
    <row r="108" spans="1:29" ht="30.6" customHeight="1" x14ac:dyDescent="0.3">
      <c r="A108" s="9"/>
      <c r="B108" s="9" t="s">
        <v>251</v>
      </c>
      <c r="C108" s="44" t="s">
        <v>302</v>
      </c>
      <c r="D108" s="46">
        <v>1155</v>
      </c>
      <c r="E108" s="24" t="s">
        <v>14</v>
      </c>
      <c r="F108" s="53">
        <f t="shared" si="13"/>
        <v>1636</v>
      </c>
      <c r="G108" s="55">
        <f t="shared" si="13"/>
        <v>1889580</v>
      </c>
      <c r="H108" s="57">
        <f>단가산출근거목록표!F40</f>
        <v>723</v>
      </c>
      <c r="I108" s="12">
        <f>ROUNDDOWN(H108*D108,0)</f>
        <v>835065</v>
      </c>
      <c r="J108" s="60">
        <f>단가산출근거목록표!G40</f>
        <v>479</v>
      </c>
      <c r="K108" s="12">
        <f>ROUNDDOWN(J108*D108,0)</f>
        <v>553245</v>
      </c>
      <c r="L108" s="53">
        <f>단가산출근거목록표!H40</f>
        <v>434</v>
      </c>
      <c r="M108" s="23">
        <f>ROUNDDOWN(L108*D108,0)</f>
        <v>501270</v>
      </c>
      <c r="N108" s="24" t="s">
        <v>947</v>
      </c>
      <c r="O108" s="16" t="s">
        <v>946</v>
      </c>
      <c r="P108" s="6" t="s">
        <v>945</v>
      </c>
      <c r="Q108" s="6" t="s">
        <v>518</v>
      </c>
      <c r="AC108" s="19" t="str">
        <f ca="1">HYPERLINK("#"&amp;단가산출근거목록표!J2&amp;"!A"&amp;ROW(단가산출근거목록표!A40),"산근   37 →")</f>
        <v>산근   37 →</v>
      </c>
    </row>
    <row r="109" spans="1:29" ht="30.6" customHeight="1" x14ac:dyDescent="0.3">
      <c r="A109" s="9"/>
      <c r="B109" s="9" t="s">
        <v>255</v>
      </c>
      <c r="C109" s="44" t="s">
        <v>306</v>
      </c>
      <c r="D109" s="46">
        <v>996</v>
      </c>
      <c r="E109" s="24" t="s">
        <v>14</v>
      </c>
      <c r="F109" s="53">
        <f t="shared" si="13"/>
        <v>2035</v>
      </c>
      <c r="G109" s="55">
        <f t="shared" si="13"/>
        <v>2026860</v>
      </c>
      <c r="H109" s="57">
        <f>단가산출근거목록표!F41</f>
        <v>866</v>
      </c>
      <c r="I109" s="12">
        <f>ROUNDDOWN(H109*D109,0)</f>
        <v>862536</v>
      </c>
      <c r="J109" s="60">
        <f>단가산출근거목록표!G41</f>
        <v>573</v>
      </c>
      <c r="K109" s="12">
        <f>ROUNDDOWN(J109*D109,0)</f>
        <v>570708</v>
      </c>
      <c r="L109" s="53">
        <f>단가산출근거목록표!H41</f>
        <v>596</v>
      </c>
      <c r="M109" s="23">
        <f>ROUNDDOWN(L109*D109,0)</f>
        <v>593616</v>
      </c>
      <c r="N109" s="24" t="s">
        <v>950</v>
      </c>
      <c r="O109" s="16" t="s">
        <v>949</v>
      </c>
      <c r="P109" s="6" t="s">
        <v>948</v>
      </c>
      <c r="Q109" s="6" t="s">
        <v>518</v>
      </c>
      <c r="AC109" s="19" t="str">
        <f ca="1">HYPERLINK("#"&amp;단가산출근거목록표!J2&amp;"!A"&amp;ROW(단가산출근거목록표!A41),"산근   38 →")</f>
        <v>산근   38 →</v>
      </c>
    </row>
    <row r="110" spans="1:29" ht="30.6" customHeight="1" x14ac:dyDescent="0.3">
      <c r="A110" s="9"/>
      <c r="B110" s="9" t="s">
        <v>259</v>
      </c>
      <c r="C110" s="44" t="s">
        <v>310</v>
      </c>
      <c r="D110" s="46">
        <v>1742</v>
      </c>
      <c r="E110" s="24" t="s">
        <v>14</v>
      </c>
      <c r="F110" s="53">
        <f t="shared" si="13"/>
        <v>7139</v>
      </c>
      <c r="G110" s="55">
        <f t="shared" si="13"/>
        <v>12436138</v>
      </c>
      <c r="H110" s="57">
        <f>단가산출근거목록표!F42</f>
        <v>4450</v>
      </c>
      <c r="I110" s="12">
        <f>ROUNDDOWN(H110*D110,0)</f>
        <v>7751900</v>
      </c>
      <c r="J110" s="60">
        <f>단가산출근거목록표!G42</f>
        <v>1008</v>
      </c>
      <c r="K110" s="12">
        <f>ROUNDDOWN(J110*D110,0)</f>
        <v>1755936</v>
      </c>
      <c r="L110" s="53">
        <f>단가산출근거목록표!H42</f>
        <v>1681</v>
      </c>
      <c r="M110" s="23">
        <f>ROUNDDOWN(L110*D110,0)</f>
        <v>2928302</v>
      </c>
      <c r="N110" s="24" t="s">
        <v>953</v>
      </c>
      <c r="O110" s="16" t="s">
        <v>952</v>
      </c>
      <c r="P110" s="6" t="s">
        <v>951</v>
      </c>
      <c r="Q110" s="6" t="s">
        <v>518</v>
      </c>
      <c r="AC110" s="19" t="str">
        <f ca="1">HYPERLINK("#"&amp;단가산출근거목록표!J2&amp;"!A"&amp;ROW(단가산출근거목록표!A42),"산근   39 →")</f>
        <v>산근   39 →</v>
      </c>
    </row>
    <row r="111" spans="1:29" ht="30.6" customHeight="1" x14ac:dyDescent="0.3">
      <c r="A111" s="9"/>
      <c r="B111" s="9" t="s">
        <v>263</v>
      </c>
      <c r="C111" s="44" t="s">
        <v>314</v>
      </c>
      <c r="D111" s="46">
        <v>929</v>
      </c>
      <c r="E111" s="24" t="s">
        <v>14</v>
      </c>
      <c r="F111" s="53">
        <f t="shared" si="13"/>
        <v>7856</v>
      </c>
      <c r="G111" s="55">
        <f t="shared" si="13"/>
        <v>7298224</v>
      </c>
      <c r="H111" s="57">
        <f>단가산출근거목록표!F43</f>
        <v>4941</v>
      </c>
      <c r="I111" s="12">
        <f>ROUNDDOWN(H111*D111,0)</f>
        <v>4590189</v>
      </c>
      <c r="J111" s="60">
        <f>단가산출근거목록표!G43</f>
        <v>1075</v>
      </c>
      <c r="K111" s="12">
        <f>ROUNDDOWN(J111*D111,0)</f>
        <v>998675</v>
      </c>
      <c r="L111" s="53">
        <f>단가산출근거목록표!H43</f>
        <v>1840</v>
      </c>
      <c r="M111" s="23">
        <f>ROUNDDOWN(L111*D111,0)</f>
        <v>1709360</v>
      </c>
      <c r="N111" s="24" t="s">
        <v>956</v>
      </c>
      <c r="O111" s="16" t="s">
        <v>955</v>
      </c>
      <c r="P111" s="6" t="s">
        <v>954</v>
      </c>
      <c r="Q111" s="6" t="s">
        <v>518</v>
      </c>
      <c r="AC111" s="19" t="str">
        <f ca="1">HYPERLINK("#"&amp;단가산출근거목록표!J2&amp;"!A"&amp;ROW(단가산출근거목록표!A43),"산근   40 →")</f>
        <v>산근   40 →</v>
      </c>
    </row>
    <row r="112" spans="1:29" ht="30.6" customHeight="1" x14ac:dyDescent="0.3">
      <c r="A112" s="9"/>
      <c r="B112" s="9"/>
      <c r="C112" s="44"/>
      <c r="D112" s="45"/>
      <c r="E112" s="24"/>
      <c r="F112" s="10">
        <v>0</v>
      </c>
      <c r="G112" s="49"/>
      <c r="H112" s="58"/>
      <c r="I112" s="58"/>
      <c r="J112" s="58"/>
      <c r="K112" s="58"/>
      <c r="L112" s="58"/>
      <c r="M112" s="52"/>
      <c r="N112" s="24"/>
      <c r="O112" s="16" t="s">
        <v>796</v>
      </c>
      <c r="P112" s="6" t="s">
        <v>543</v>
      </c>
      <c r="Q112" s="6" t="s">
        <v>538</v>
      </c>
    </row>
    <row r="113" spans="1:29" ht="30.6" customHeight="1" x14ac:dyDescent="0.3">
      <c r="A113" s="41" t="s">
        <v>846</v>
      </c>
      <c r="B113" s="41" t="s">
        <v>847</v>
      </c>
      <c r="C113" s="43"/>
      <c r="D113" s="45"/>
      <c r="E113" s="24"/>
      <c r="F113" s="10">
        <v>0</v>
      </c>
      <c r="G113" s="54">
        <f>SUMIF(Q114:Q116,P113,G114:G116)</f>
        <v>7522034</v>
      </c>
      <c r="H113" s="12">
        <v>0</v>
      </c>
      <c r="I113" s="55">
        <f>SUMIF(Q114:Q116,P113,I114:I116)</f>
        <v>4461895</v>
      </c>
      <c r="J113" s="12">
        <v>0</v>
      </c>
      <c r="K113" s="61">
        <f>SUMIF(Q114:Q116,P113,K114:K116)</f>
        <v>1282181</v>
      </c>
      <c r="L113" s="23">
        <v>0</v>
      </c>
      <c r="M113" s="61">
        <f>SUMIF(Q114:Q116,P113,M114:M116)</f>
        <v>1777958</v>
      </c>
      <c r="N113" s="24"/>
      <c r="O113" s="36" t="str">
        <f>"_x0007_`COD|E2_x0005_`QTY1|1_x0005_`EXI|0_x0005_`ITT|0_x0005_`END|"&amp;ROW(M117)&amp;"_x0005_`"</f>
        <v>_x0007_`COD|E2_x0005_`QTY1|1_x0005_`EXI|0_x0005_`ITT|0_x0005_`END|117_x0005_`</v>
      </c>
      <c r="P113" s="6" t="s">
        <v>518</v>
      </c>
      <c r="Q113" s="6" t="s">
        <v>538</v>
      </c>
    </row>
    <row r="114" spans="1:29" ht="30.6" customHeight="1" x14ac:dyDescent="0.3">
      <c r="A114" s="9"/>
      <c r="B114" s="9" t="s">
        <v>267</v>
      </c>
      <c r="C114" s="44" t="s">
        <v>318</v>
      </c>
      <c r="D114" s="46">
        <v>779</v>
      </c>
      <c r="E114" s="24" t="s">
        <v>14</v>
      </c>
      <c r="F114" s="53">
        <f t="shared" ref="F114:G116" si="14">J114+H114+L114</f>
        <v>3457</v>
      </c>
      <c r="G114" s="55">
        <f t="shared" si="14"/>
        <v>2693003</v>
      </c>
      <c r="H114" s="57">
        <f>단가산출근거목록표!F44</f>
        <v>2213</v>
      </c>
      <c r="I114" s="12">
        <f>ROUNDDOWN(H114*D114,0)</f>
        <v>1723927</v>
      </c>
      <c r="J114" s="60">
        <f>단가산출근거목록표!G44</f>
        <v>519</v>
      </c>
      <c r="K114" s="12">
        <f>ROUNDDOWN(J114*D114,0)</f>
        <v>404301</v>
      </c>
      <c r="L114" s="53">
        <f>단가산출근거목록표!H44</f>
        <v>725</v>
      </c>
      <c r="M114" s="23">
        <f>ROUNDDOWN(L114*D114,0)</f>
        <v>564775</v>
      </c>
      <c r="N114" s="24" t="s">
        <v>959</v>
      </c>
      <c r="O114" s="16" t="s">
        <v>958</v>
      </c>
      <c r="P114" s="6" t="s">
        <v>957</v>
      </c>
      <c r="Q114" s="6" t="s">
        <v>518</v>
      </c>
      <c r="AC114" s="19" t="str">
        <f ca="1">HYPERLINK("#"&amp;단가산출근거목록표!J2&amp;"!A"&amp;ROW(단가산출근거목록표!A44),"산근   41 →")</f>
        <v>산근   41 →</v>
      </c>
    </row>
    <row r="115" spans="1:29" ht="30.6" customHeight="1" x14ac:dyDescent="0.3">
      <c r="A115" s="9"/>
      <c r="B115" s="9" t="s">
        <v>270</v>
      </c>
      <c r="C115" s="44" t="s">
        <v>188</v>
      </c>
      <c r="D115" s="46">
        <v>1977</v>
      </c>
      <c r="E115" s="24" t="s">
        <v>26</v>
      </c>
      <c r="F115" s="53">
        <f t="shared" si="14"/>
        <v>1140</v>
      </c>
      <c r="G115" s="55">
        <f t="shared" si="14"/>
        <v>2253780</v>
      </c>
      <c r="H115" s="57">
        <f>단가산출근거목록표!F32</f>
        <v>633</v>
      </c>
      <c r="I115" s="12">
        <f>ROUNDDOWN(H115*D115,0)</f>
        <v>1251441</v>
      </c>
      <c r="J115" s="60">
        <f>단가산출근거목록표!G32</f>
        <v>204</v>
      </c>
      <c r="K115" s="12">
        <f>ROUNDDOWN(J115*D115,0)</f>
        <v>403308</v>
      </c>
      <c r="L115" s="53">
        <f>단가산출근거목록표!H32</f>
        <v>303</v>
      </c>
      <c r="M115" s="23">
        <f>ROUNDDOWN(L115*D115,0)</f>
        <v>599031</v>
      </c>
      <c r="N115" s="24" t="s">
        <v>853</v>
      </c>
      <c r="O115" s="16" t="s">
        <v>852</v>
      </c>
      <c r="P115" s="6" t="s">
        <v>851</v>
      </c>
      <c r="Q115" s="6" t="s">
        <v>518</v>
      </c>
      <c r="AC115" s="19" t="str">
        <f ca="1">HYPERLINK("#"&amp;단가산출근거목록표!J2&amp;"!A"&amp;ROW(단가산출근거목록표!A32),"산근   29 →")</f>
        <v>산근   29 →</v>
      </c>
    </row>
    <row r="116" spans="1:29" ht="30.6" customHeight="1" x14ac:dyDescent="0.3">
      <c r="A116" s="9"/>
      <c r="B116" s="9" t="s">
        <v>273</v>
      </c>
      <c r="C116" s="44" t="s">
        <v>274</v>
      </c>
      <c r="D116" s="46">
        <v>6979</v>
      </c>
      <c r="E116" s="24" t="s">
        <v>26</v>
      </c>
      <c r="F116" s="53">
        <f t="shared" si="14"/>
        <v>369</v>
      </c>
      <c r="G116" s="55">
        <f t="shared" si="14"/>
        <v>2575251</v>
      </c>
      <c r="H116" s="57">
        <f>단가산출근거목록표!F33</f>
        <v>213</v>
      </c>
      <c r="I116" s="12">
        <f>ROUNDDOWN(H116*D116,0)</f>
        <v>1486527</v>
      </c>
      <c r="J116" s="60">
        <f>단가산출근거목록표!G33</f>
        <v>68</v>
      </c>
      <c r="K116" s="12">
        <f>ROUNDDOWN(J116*D116,0)</f>
        <v>474572</v>
      </c>
      <c r="L116" s="53">
        <f>단가산출근거목록표!H33</f>
        <v>88</v>
      </c>
      <c r="M116" s="23">
        <f>ROUNDDOWN(L116*D116,0)</f>
        <v>614152</v>
      </c>
      <c r="N116" s="24" t="s">
        <v>856</v>
      </c>
      <c r="O116" s="16" t="s">
        <v>855</v>
      </c>
      <c r="P116" s="6" t="s">
        <v>854</v>
      </c>
      <c r="Q116" s="6" t="s">
        <v>518</v>
      </c>
      <c r="AC116" s="19" t="str">
        <f ca="1">HYPERLINK("#"&amp;단가산출근거목록표!J2&amp;"!A"&amp;ROW(단가산출근거목록표!A33),"산근   30 →")</f>
        <v>산근   30 →</v>
      </c>
    </row>
    <row r="117" spans="1:29" ht="30.6" customHeight="1" x14ac:dyDescent="0.3">
      <c r="A117" s="9"/>
      <c r="B117" s="9"/>
      <c r="C117" s="44"/>
      <c r="D117" s="45"/>
      <c r="E117" s="24"/>
      <c r="F117" s="10">
        <v>0</v>
      </c>
      <c r="G117" s="49"/>
      <c r="H117" s="58"/>
      <c r="I117" s="58"/>
      <c r="J117" s="58"/>
      <c r="K117" s="58"/>
      <c r="L117" s="58"/>
      <c r="M117" s="52"/>
      <c r="N117" s="24"/>
      <c r="O117" s="16" t="s">
        <v>796</v>
      </c>
      <c r="P117" s="6" t="s">
        <v>543</v>
      </c>
      <c r="Q117" s="6" t="s">
        <v>561</v>
      </c>
    </row>
    <row r="118" spans="1:29" ht="30.6" customHeight="1" x14ac:dyDescent="0.3">
      <c r="A118" s="41" t="s">
        <v>797</v>
      </c>
      <c r="B118" s="41" t="s">
        <v>857</v>
      </c>
      <c r="C118" s="43"/>
      <c r="D118" s="45"/>
      <c r="E118" s="24"/>
      <c r="F118" s="10">
        <v>0</v>
      </c>
      <c r="G118" s="54">
        <f>SUMIF(Q119:Q135,P118,G119:G135)</f>
        <v>40500888</v>
      </c>
      <c r="H118" s="12">
        <v>0</v>
      </c>
      <c r="I118" s="55">
        <f>SUMIF(Q119:Q135,P118,I119:I135)</f>
        <v>29781396</v>
      </c>
      <c r="J118" s="12">
        <v>0</v>
      </c>
      <c r="K118" s="61">
        <f>SUMIF(Q119:Q135,P118,K119:K135)</f>
        <v>4965176</v>
      </c>
      <c r="L118" s="23">
        <v>0</v>
      </c>
      <c r="M118" s="61">
        <f>SUMIF(Q119:Q135,P118,M119:M135)</f>
        <v>5754316</v>
      </c>
      <c r="N118" s="24"/>
      <c r="O118" s="36" t="str">
        <f>"_x0007_`COD|E3_x0005_`QTY1|1_x0005_`EXI|0_x0005_`ITT|0_x0005_`END|"&amp;ROW(M136)&amp;"_x0005_`"</f>
        <v>_x0007_`COD|E3_x0005_`QTY1|1_x0005_`EXI|0_x0005_`ITT|0_x0005_`END|136_x0005_`</v>
      </c>
      <c r="P118" s="6" t="s">
        <v>538</v>
      </c>
      <c r="Q118" s="6" t="s">
        <v>561</v>
      </c>
    </row>
    <row r="119" spans="1:29" ht="30.6" customHeight="1" x14ac:dyDescent="0.3">
      <c r="A119" s="41" t="s">
        <v>860</v>
      </c>
      <c r="B119" s="41" t="s">
        <v>861</v>
      </c>
      <c r="C119" s="43"/>
      <c r="D119" s="45"/>
      <c r="E119" s="24"/>
      <c r="F119" s="10">
        <v>0</v>
      </c>
      <c r="G119" s="54">
        <f>SUMIF(Q120:Q122,P119,G120:G122)</f>
        <v>21761020</v>
      </c>
      <c r="H119" s="12">
        <v>0</v>
      </c>
      <c r="I119" s="55">
        <f>SUMIF(Q120:Q122,P119,I120:I122)</f>
        <v>15937400</v>
      </c>
      <c r="J119" s="12">
        <v>0</v>
      </c>
      <c r="K119" s="61">
        <f>SUMIF(Q120:Q122,P119,K120:K122)</f>
        <v>2430500</v>
      </c>
      <c r="L119" s="23">
        <v>0</v>
      </c>
      <c r="M119" s="61">
        <f>SUMIF(Q120:Q122,P119,M120:M122)</f>
        <v>3393120</v>
      </c>
      <c r="N119" s="24"/>
      <c r="O119" s="36" t="str">
        <f>"_x0007_`COD|E2_x0005_`QTY1|1_x0005_`EXI|0_x0005_`ITT|0_x0005_`END|"&amp;ROW(M123)&amp;"_x0005_`"</f>
        <v>_x0007_`COD|E2_x0005_`QTY1|1_x0005_`EXI|0_x0005_`ITT|0_x0005_`END|123_x0005_`</v>
      </c>
      <c r="P119" s="6" t="s">
        <v>518</v>
      </c>
      <c r="Q119" s="6" t="s">
        <v>538</v>
      </c>
    </row>
    <row r="120" spans="1:29" ht="30.6" customHeight="1" x14ac:dyDescent="0.3">
      <c r="A120" s="9"/>
      <c r="B120" s="9" t="s">
        <v>123</v>
      </c>
      <c r="C120" s="44" t="s">
        <v>124</v>
      </c>
      <c r="D120" s="46">
        <v>20</v>
      </c>
      <c r="E120" s="24" t="s">
        <v>68</v>
      </c>
      <c r="F120" s="53">
        <f t="shared" ref="F120:G122" si="15">J120+H120+L120</f>
        <v>182023</v>
      </c>
      <c r="G120" s="55">
        <f t="shared" si="15"/>
        <v>3640460</v>
      </c>
      <c r="H120" s="57">
        <f>일위대가목록표!F28</f>
        <v>144365</v>
      </c>
      <c r="I120" s="12">
        <f>ROUNDDOWN(H120*D120,0)</f>
        <v>2887300</v>
      </c>
      <c r="J120" s="60">
        <f>일위대가목록표!G28</f>
        <v>16734</v>
      </c>
      <c r="K120" s="12">
        <f>ROUNDDOWN(J120*D120,0)</f>
        <v>334680</v>
      </c>
      <c r="L120" s="53">
        <f>일위대가목록표!H28</f>
        <v>20924</v>
      </c>
      <c r="M120" s="23">
        <f>ROUNDDOWN(L120*D120,0)</f>
        <v>418480</v>
      </c>
      <c r="N120" s="24" t="s">
        <v>962</v>
      </c>
      <c r="O120" s="16" t="s">
        <v>961</v>
      </c>
      <c r="P120" s="6" t="s">
        <v>960</v>
      </c>
      <c r="Q120" s="6" t="s">
        <v>518</v>
      </c>
      <c r="AC120" s="19" t="str">
        <f ca="1">HYPERLINK("#"&amp;일위대가목록표!J2&amp;"!A"&amp;ROW(일위대가목록표!A28),"대가   25 →")</f>
        <v>대가   25 →</v>
      </c>
    </row>
    <row r="121" spans="1:29" ht="30.6" customHeight="1" x14ac:dyDescent="0.3">
      <c r="A121" s="9"/>
      <c r="B121" s="9" t="s">
        <v>128</v>
      </c>
      <c r="C121" s="44" t="s">
        <v>129</v>
      </c>
      <c r="D121" s="46">
        <v>20</v>
      </c>
      <c r="E121" s="24" t="s">
        <v>68</v>
      </c>
      <c r="F121" s="53">
        <f t="shared" si="15"/>
        <v>188452</v>
      </c>
      <c r="G121" s="55">
        <f t="shared" si="15"/>
        <v>3769040</v>
      </c>
      <c r="H121" s="57">
        <f>일위대가목록표!F29</f>
        <v>136667</v>
      </c>
      <c r="I121" s="12">
        <f>ROUNDDOWN(H121*D121,0)</f>
        <v>2733340</v>
      </c>
      <c r="J121" s="60">
        <f>일위대가목록표!G29</f>
        <v>21670</v>
      </c>
      <c r="K121" s="12">
        <f>ROUNDDOWN(J121*D121,0)</f>
        <v>433400</v>
      </c>
      <c r="L121" s="53">
        <f>일위대가목록표!H29</f>
        <v>30115</v>
      </c>
      <c r="M121" s="23">
        <f>ROUNDDOWN(L121*D121,0)</f>
        <v>602300</v>
      </c>
      <c r="N121" s="24" t="s">
        <v>965</v>
      </c>
      <c r="O121" s="16" t="s">
        <v>964</v>
      </c>
      <c r="P121" s="6" t="s">
        <v>963</v>
      </c>
      <c r="Q121" s="6" t="s">
        <v>518</v>
      </c>
      <c r="AC121" s="19" t="str">
        <f ca="1">HYPERLINK("#"&amp;일위대가목록표!J2&amp;"!A"&amp;ROW(일위대가목록표!A29),"대가   26 →")</f>
        <v>대가   26 →</v>
      </c>
    </row>
    <row r="122" spans="1:29" ht="30.6" customHeight="1" x14ac:dyDescent="0.3">
      <c r="A122" s="9"/>
      <c r="B122" s="9" t="s">
        <v>133</v>
      </c>
      <c r="C122" s="44" t="s">
        <v>129</v>
      </c>
      <c r="D122" s="46">
        <v>60</v>
      </c>
      <c r="E122" s="24" t="s">
        <v>68</v>
      </c>
      <c r="F122" s="53">
        <f t="shared" si="15"/>
        <v>239192</v>
      </c>
      <c r="G122" s="55">
        <f t="shared" si="15"/>
        <v>14351520</v>
      </c>
      <c r="H122" s="57">
        <f>일위대가목록표!F30</f>
        <v>171946</v>
      </c>
      <c r="I122" s="12">
        <f>ROUNDDOWN(H122*D122,0)</f>
        <v>10316760</v>
      </c>
      <c r="J122" s="60">
        <f>일위대가목록표!G30</f>
        <v>27707</v>
      </c>
      <c r="K122" s="12">
        <f>ROUNDDOWN(J122*D122,0)</f>
        <v>1662420</v>
      </c>
      <c r="L122" s="53">
        <f>일위대가목록표!H30</f>
        <v>39539</v>
      </c>
      <c r="M122" s="23">
        <f>ROUNDDOWN(L122*D122,0)</f>
        <v>2372340</v>
      </c>
      <c r="N122" s="24" t="s">
        <v>968</v>
      </c>
      <c r="O122" s="16" t="s">
        <v>967</v>
      </c>
      <c r="P122" s="6" t="s">
        <v>966</v>
      </c>
      <c r="Q122" s="6" t="s">
        <v>518</v>
      </c>
      <c r="AC122" s="19" t="str">
        <f ca="1">HYPERLINK("#"&amp;일위대가목록표!J2&amp;"!A"&amp;ROW(일위대가목록표!A30),"대가   27 →")</f>
        <v>대가   27 →</v>
      </c>
    </row>
    <row r="123" spans="1:29" ht="30.6" customHeight="1" x14ac:dyDescent="0.3">
      <c r="A123" s="9"/>
      <c r="B123" s="9"/>
      <c r="C123" s="44"/>
      <c r="D123" s="45"/>
      <c r="E123" s="24"/>
      <c r="F123" s="10">
        <v>0</v>
      </c>
      <c r="G123" s="49"/>
      <c r="H123" s="58"/>
      <c r="I123" s="58"/>
      <c r="J123" s="58"/>
      <c r="K123" s="58"/>
      <c r="L123" s="58"/>
      <c r="M123" s="52"/>
      <c r="N123" s="24"/>
      <c r="O123" s="16" t="s">
        <v>796</v>
      </c>
      <c r="P123" s="6" t="s">
        <v>543</v>
      </c>
      <c r="Q123" s="6" t="s">
        <v>538</v>
      </c>
    </row>
    <row r="124" spans="1:29" ht="30.6" customHeight="1" x14ac:dyDescent="0.3">
      <c r="A124" s="41" t="s">
        <v>877</v>
      </c>
      <c r="B124" s="41" t="s">
        <v>878</v>
      </c>
      <c r="C124" s="43"/>
      <c r="D124" s="45"/>
      <c r="E124" s="24"/>
      <c r="F124" s="10">
        <v>0</v>
      </c>
      <c r="G124" s="54">
        <f>SUMIF(Q125:Q130,P124,G125:G130)</f>
        <v>8670038</v>
      </c>
      <c r="H124" s="12">
        <v>0</v>
      </c>
      <c r="I124" s="55">
        <f>SUMIF(Q125:Q130,P124,I125:I130)</f>
        <v>6875036</v>
      </c>
      <c r="J124" s="12">
        <v>0</v>
      </c>
      <c r="K124" s="61">
        <f>SUMIF(Q125:Q130,P124,K125:K130)</f>
        <v>758226</v>
      </c>
      <c r="L124" s="23">
        <v>0</v>
      </c>
      <c r="M124" s="61">
        <f>SUMIF(Q125:Q130,P124,M125:M130)</f>
        <v>1036776</v>
      </c>
      <c r="N124" s="24"/>
      <c r="O124" s="36" t="str">
        <f>"_x0007_`COD|E2_x0005_`QTY1|1_x0005_`EXI|0_x0005_`ITT|0_x0005_`END|"&amp;ROW(M131)&amp;"_x0005_`"</f>
        <v>_x0007_`COD|E2_x0005_`QTY1|1_x0005_`EXI|0_x0005_`ITT|0_x0005_`END|131_x0005_`</v>
      </c>
      <c r="P124" s="6" t="s">
        <v>518</v>
      </c>
      <c r="Q124" s="6" t="s">
        <v>538</v>
      </c>
    </row>
    <row r="125" spans="1:29" ht="30.6" customHeight="1" x14ac:dyDescent="0.3">
      <c r="A125" s="9"/>
      <c r="B125" s="9" t="s">
        <v>87</v>
      </c>
      <c r="C125" s="44" t="s">
        <v>88</v>
      </c>
      <c r="D125" s="46">
        <v>84</v>
      </c>
      <c r="E125" s="24" t="s">
        <v>68</v>
      </c>
      <c r="F125" s="53">
        <f t="shared" ref="F125:G130" si="16">J125+H125+L125</f>
        <v>14159</v>
      </c>
      <c r="G125" s="55">
        <f t="shared" si="16"/>
        <v>1189356</v>
      </c>
      <c r="H125" s="57">
        <f>일위대가목록표!F20</f>
        <v>13276</v>
      </c>
      <c r="I125" s="12">
        <f>ROUNDDOWN(H125*D125,0)</f>
        <v>1115184</v>
      </c>
      <c r="J125" s="60">
        <f>일위대가목록표!G20</f>
        <v>516</v>
      </c>
      <c r="K125" s="12">
        <f>ROUNDDOWN(J125*D125,0)</f>
        <v>43344</v>
      </c>
      <c r="L125" s="53">
        <f>일위대가목록표!H20</f>
        <v>367</v>
      </c>
      <c r="M125" s="23">
        <f>ROUNDDOWN(L125*D125,0)</f>
        <v>30828</v>
      </c>
      <c r="N125" s="24" t="s">
        <v>881</v>
      </c>
      <c r="O125" s="16" t="s">
        <v>880</v>
      </c>
      <c r="P125" s="6" t="s">
        <v>879</v>
      </c>
      <c r="Q125" s="6" t="s">
        <v>518</v>
      </c>
      <c r="AC125" s="19" t="str">
        <f ca="1">HYPERLINK("#"&amp;일위대가목록표!J2&amp;"!A"&amp;ROW(일위대가목록표!A20),"대가   17 →")</f>
        <v>대가   17 →</v>
      </c>
    </row>
    <row r="126" spans="1:29" ht="30.6" customHeight="1" x14ac:dyDescent="0.3">
      <c r="A126" s="9"/>
      <c r="B126" s="9" t="s">
        <v>87</v>
      </c>
      <c r="C126" s="44" t="s">
        <v>92</v>
      </c>
      <c r="D126" s="46">
        <v>16</v>
      </c>
      <c r="E126" s="24" t="s">
        <v>68</v>
      </c>
      <c r="F126" s="53">
        <f t="shared" si="16"/>
        <v>18393</v>
      </c>
      <c r="G126" s="55">
        <f t="shared" si="16"/>
        <v>294288</v>
      </c>
      <c r="H126" s="57">
        <f>일위대가목록표!F21</f>
        <v>17304</v>
      </c>
      <c r="I126" s="12">
        <f>ROUNDDOWN(H126*D126,0)</f>
        <v>276864</v>
      </c>
      <c r="J126" s="60">
        <f>일위대가목록표!G21</f>
        <v>648</v>
      </c>
      <c r="K126" s="12">
        <f>ROUNDDOWN(J126*D126,0)</f>
        <v>10368</v>
      </c>
      <c r="L126" s="53">
        <f>일위대가목록표!H21</f>
        <v>441</v>
      </c>
      <c r="M126" s="23">
        <f>ROUNDDOWN(L126*D126,0)</f>
        <v>7056</v>
      </c>
      <c r="N126" s="24" t="s">
        <v>884</v>
      </c>
      <c r="O126" s="16" t="s">
        <v>883</v>
      </c>
      <c r="P126" s="6" t="s">
        <v>882</v>
      </c>
      <c r="Q126" s="6" t="s">
        <v>518</v>
      </c>
      <c r="AC126" s="19" t="str">
        <f ca="1">HYPERLINK("#"&amp;일위대가목록표!J2&amp;"!A"&amp;ROW(일위대가목록표!A21),"대가   18 →")</f>
        <v>대가   18 →</v>
      </c>
    </row>
    <row r="127" spans="1:29" ht="30.6" customHeight="1" x14ac:dyDescent="0.3">
      <c r="A127" s="9"/>
      <c r="B127" s="9" t="s">
        <v>87</v>
      </c>
      <c r="C127" s="44" t="s">
        <v>137</v>
      </c>
      <c r="D127" s="46">
        <v>22</v>
      </c>
      <c r="E127" s="24" t="s">
        <v>68</v>
      </c>
      <c r="F127" s="53">
        <f t="shared" si="16"/>
        <v>22351</v>
      </c>
      <c r="G127" s="55">
        <f t="shared" si="16"/>
        <v>491722</v>
      </c>
      <c r="H127" s="57">
        <f>일위대가목록표!F31</f>
        <v>21063</v>
      </c>
      <c r="I127" s="12">
        <f>ROUNDDOWN(H127*D127,0)</f>
        <v>463386</v>
      </c>
      <c r="J127" s="60">
        <f>일위대가목록표!G31</f>
        <v>773</v>
      </c>
      <c r="K127" s="12">
        <f>ROUNDDOWN(J127*D127,0)</f>
        <v>17006</v>
      </c>
      <c r="L127" s="53">
        <f>일위대가목록표!H31</f>
        <v>515</v>
      </c>
      <c r="M127" s="23">
        <f>ROUNDDOWN(L127*D127,0)</f>
        <v>11330</v>
      </c>
      <c r="N127" s="24" t="s">
        <v>971</v>
      </c>
      <c r="O127" s="16" t="s">
        <v>970</v>
      </c>
      <c r="P127" s="6" t="s">
        <v>969</v>
      </c>
      <c r="Q127" s="6" t="s">
        <v>518</v>
      </c>
      <c r="AC127" s="19" t="str">
        <f ca="1">HYPERLINK("#"&amp;일위대가목록표!J2&amp;"!A"&amp;ROW(일위대가목록표!A31),"대가   28 →")</f>
        <v>대가   28 →</v>
      </c>
    </row>
    <row r="128" spans="1:29" ht="30.6" customHeight="1" x14ac:dyDescent="0.3">
      <c r="A128" s="9"/>
      <c r="B128" s="9" t="s">
        <v>96</v>
      </c>
      <c r="C128" s="44" t="s">
        <v>97</v>
      </c>
      <c r="D128" s="46">
        <v>2</v>
      </c>
      <c r="E128" s="24" t="s">
        <v>53</v>
      </c>
      <c r="F128" s="53">
        <f t="shared" si="16"/>
        <v>1714426</v>
      </c>
      <c r="G128" s="55">
        <f t="shared" si="16"/>
        <v>3428852</v>
      </c>
      <c r="H128" s="57">
        <f>일위대가목록표!F22</f>
        <v>1279338</v>
      </c>
      <c r="I128" s="12">
        <f>ROUNDDOWN(H128*D128,0)</f>
        <v>2558676</v>
      </c>
      <c r="J128" s="60">
        <f>일위대가목록표!G22</f>
        <v>178576</v>
      </c>
      <c r="K128" s="12">
        <f>ROUNDDOWN(J128*D128,0)</f>
        <v>357152</v>
      </c>
      <c r="L128" s="53">
        <f>일위대가목록표!H22</f>
        <v>256512</v>
      </c>
      <c r="M128" s="23">
        <f>ROUNDDOWN(L128*D128,0)</f>
        <v>513024</v>
      </c>
      <c r="N128" s="24" t="s">
        <v>887</v>
      </c>
      <c r="O128" s="16" t="s">
        <v>886</v>
      </c>
      <c r="P128" s="6" t="s">
        <v>885</v>
      </c>
      <c r="Q128" s="6" t="s">
        <v>518</v>
      </c>
      <c r="AC128" s="19" t="str">
        <f ca="1">HYPERLINK("#"&amp;일위대가목록표!J2&amp;"!A"&amp;ROW(일위대가목록표!A22),"대가   19 →")</f>
        <v>대가   19 →</v>
      </c>
    </row>
    <row r="129" spans="1:29" ht="30.6" customHeight="1" x14ac:dyDescent="0.3">
      <c r="A129" s="9"/>
      <c r="B129" s="9" t="s">
        <v>96</v>
      </c>
      <c r="C129" s="44" t="s">
        <v>101</v>
      </c>
      <c r="D129" s="46">
        <v>3</v>
      </c>
      <c r="E129" s="24" t="s">
        <v>53</v>
      </c>
      <c r="F129" s="53">
        <f t="shared" si="16"/>
        <v>1076900</v>
      </c>
      <c r="G129" s="55">
        <f t="shared" si="16"/>
        <v>3230700</v>
      </c>
      <c r="H129" s="57">
        <f>일위대가목록표!F23</f>
        <v>813572</v>
      </c>
      <c r="I129" s="12">
        <f>ROUNDDOWN(H129*D129,0)</f>
        <v>2440716</v>
      </c>
      <c r="J129" s="60">
        <f>일위대가목록표!G23</f>
        <v>107942</v>
      </c>
      <c r="K129" s="12">
        <f>ROUNDDOWN(J129*D129,0)</f>
        <v>323826</v>
      </c>
      <c r="L129" s="53">
        <f>일위대가목록표!H23</f>
        <v>155386</v>
      </c>
      <c r="M129" s="23">
        <f>ROUNDDOWN(L129*D129,0)</f>
        <v>466158</v>
      </c>
      <c r="N129" s="24" t="s">
        <v>890</v>
      </c>
      <c r="O129" s="16" t="s">
        <v>889</v>
      </c>
      <c r="P129" s="6" t="s">
        <v>888</v>
      </c>
      <c r="Q129" s="6" t="s">
        <v>518</v>
      </c>
      <c r="AC129" s="19" t="str">
        <f ca="1">HYPERLINK("#"&amp;일위대가목록표!J2&amp;"!A"&amp;ROW(일위대가목록표!A23),"대가   20 →")</f>
        <v>대가   20 →</v>
      </c>
    </row>
    <row r="130" spans="1:29" ht="30.6" customHeight="1" x14ac:dyDescent="0.3">
      <c r="A130" s="9"/>
      <c r="B130" s="9" t="s">
        <v>105</v>
      </c>
      <c r="C130" s="44"/>
      <c r="D130" s="46">
        <v>10</v>
      </c>
      <c r="E130" s="24" t="s">
        <v>53</v>
      </c>
      <c r="F130" s="53">
        <f t="shared" si="16"/>
        <v>3512</v>
      </c>
      <c r="G130" s="55">
        <f t="shared" si="16"/>
        <v>35120</v>
      </c>
      <c r="H130" s="57">
        <f>일위대가목록표!F24</f>
        <v>2021</v>
      </c>
      <c r="I130" s="12">
        <f>ROUNDDOWN(H130*D130,0)</f>
        <v>20210</v>
      </c>
      <c r="J130" s="60">
        <f>일위대가목록표!G24</f>
        <v>653</v>
      </c>
      <c r="K130" s="12">
        <f>ROUNDDOWN(J130*D130,0)</f>
        <v>6530</v>
      </c>
      <c r="L130" s="53">
        <f>일위대가목록표!H24</f>
        <v>838</v>
      </c>
      <c r="M130" s="23">
        <f>ROUNDDOWN(L130*D130,0)</f>
        <v>8380</v>
      </c>
      <c r="N130" s="24" t="s">
        <v>893</v>
      </c>
      <c r="O130" s="16" t="s">
        <v>892</v>
      </c>
      <c r="P130" s="6" t="s">
        <v>891</v>
      </c>
      <c r="Q130" s="6" t="s">
        <v>518</v>
      </c>
      <c r="AC130" s="19" t="str">
        <f ca="1">HYPERLINK("#"&amp;일위대가목록표!J2&amp;"!A"&amp;ROW(일위대가목록표!A24),"대가   21 →")</f>
        <v>대가   21 →</v>
      </c>
    </row>
    <row r="131" spans="1:29" ht="30.6" customHeight="1" x14ac:dyDescent="0.3">
      <c r="A131" s="9"/>
      <c r="B131" s="9"/>
      <c r="C131" s="44"/>
      <c r="D131" s="45"/>
      <c r="E131" s="24"/>
      <c r="F131" s="10">
        <v>0</v>
      </c>
      <c r="G131" s="49"/>
      <c r="H131" s="58"/>
      <c r="I131" s="58"/>
      <c r="J131" s="58"/>
      <c r="K131" s="58"/>
      <c r="L131" s="58"/>
      <c r="M131" s="52"/>
      <c r="N131" s="24"/>
      <c r="O131" s="16" t="s">
        <v>796</v>
      </c>
      <c r="P131" s="6" t="s">
        <v>543</v>
      </c>
      <c r="Q131" s="6" t="s">
        <v>538</v>
      </c>
    </row>
    <row r="132" spans="1:29" ht="30.6" customHeight="1" x14ac:dyDescent="0.3">
      <c r="A132" s="41" t="s">
        <v>894</v>
      </c>
      <c r="B132" s="41" t="s">
        <v>895</v>
      </c>
      <c r="C132" s="43"/>
      <c r="D132" s="45"/>
      <c r="E132" s="24"/>
      <c r="F132" s="10">
        <v>0</v>
      </c>
      <c r="G132" s="54">
        <f>SUMIF(Q133:Q135,P132,G133:G135)</f>
        <v>10069830</v>
      </c>
      <c r="H132" s="12">
        <v>0</v>
      </c>
      <c r="I132" s="55">
        <f>SUMIF(Q133:Q135,P132,I133:I135)</f>
        <v>6968960</v>
      </c>
      <c r="J132" s="12">
        <v>0</v>
      </c>
      <c r="K132" s="61">
        <f>SUMIF(Q133:Q135,P132,K133:K135)</f>
        <v>1776450</v>
      </c>
      <c r="L132" s="23">
        <v>0</v>
      </c>
      <c r="M132" s="61">
        <f>SUMIF(Q133:Q135,P132,M133:M135)</f>
        <v>1324420</v>
      </c>
      <c r="N132" s="24"/>
      <c r="O132" s="36" t="str">
        <f>"_x0007_`COD|E2_x0005_`QTY1|1_x0005_`EXI|0_x0005_`ITT|0_x0005_`END|"&amp;ROW(M136)&amp;"_x0005_`"</f>
        <v>_x0007_`COD|E2_x0005_`QTY1|1_x0005_`EXI|0_x0005_`ITT|0_x0005_`END|136_x0005_`</v>
      </c>
      <c r="P132" s="6" t="s">
        <v>518</v>
      </c>
      <c r="Q132" s="6" t="s">
        <v>538</v>
      </c>
    </row>
    <row r="133" spans="1:29" ht="30.6" customHeight="1" x14ac:dyDescent="0.3">
      <c r="A133" s="9"/>
      <c r="B133" s="9" t="s">
        <v>141</v>
      </c>
      <c r="C133" s="44" t="s">
        <v>142</v>
      </c>
      <c r="D133" s="46">
        <v>20</v>
      </c>
      <c r="E133" s="24" t="s">
        <v>26</v>
      </c>
      <c r="F133" s="53">
        <f t="shared" ref="F133:G135" si="17">J133+H133+L133</f>
        <v>64590</v>
      </c>
      <c r="G133" s="55">
        <f t="shared" si="17"/>
        <v>1291800</v>
      </c>
      <c r="H133" s="57">
        <f>일위대가목록표!F32</f>
        <v>54058</v>
      </c>
      <c r="I133" s="12">
        <f>ROUNDDOWN(H133*D133,0)</f>
        <v>1081160</v>
      </c>
      <c r="J133" s="60">
        <f>일위대가목록표!G32</f>
        <v>3972</v>
      </c>
      <c r="K133" s="12">
        <f>ROUNDDOWN(J133*D133,0)</f>
        <v>79440</v>
      </c>
      <c r="L133" s="53">
        <f>일위대가목록표!H32</f>
        <v>6560</v>
      </c>
      <c r="M133" s="23">
        <f>ROUNDDOWN(L133*D133,0)</f>
        <v>131200</v>
      </c>
      <c r="N133" s="24" t="s">
        <v>974</v>
      </c>
      <c r="O133" s="16" t="s">
        <v>973</v>
      </c>
      <c r="P133" s="6" t="s">
        <v>972</v>
      </c>
      <c r="Q133" s="6" t="s">
        <v>518</v>
      </c>
      <c r="AC133" s="19" t="str">
        <f ca="1">HYPERLINK("#"&amp;일위대가목록표!J2&amp;"!A"&amp;ROW(일위대가목록표!A32),"대가   29 →")</f>
        <v>대가   29 →</v>
      </c>
    </row>
    <row r="134" spans="1:29" ht="30.6" customHeight="1" x14ac:dyDescent="0.3">
      <c r="A134" s="9"/>
      <c r="B134" s="9" t="s">
        <v>109</v>
      </c>
      <c r="C134" s="44" t="s">
        <v>146</v>
      </c>
      <c r="D134" s="46">
        <v>90</v>
      </c>
      <c r="E134" s="24" t="s">
        <v>26</v>
      </c>
      <c r="F134" s="53">
        <f t="shared" si="17"/>
        <v>87307</v>
      </c>
      <c r="G134" s="55">
        <f t="shared" si="17"/>
        <v>7857630</v>
      </c>
      <c r="H134" s="57">
        <f>일위대가목록표!F33</f>
        <v>65420</v>
      </c>
      <c r="I134" s="12">
        <f>ROUNDDOWN(H134*D134,0)</f>
        <v>5887800</v>
      </c>
      <c r="J134" s="60">
        <f>일위대가목록표!G33</f>
        <v>8629</v>
      </c>
      <c r="K134" s="12">
        <f>ROUNDDOWN(J134*D134,0)</f>
        <v>776610</v>
      </c>
      <c r="L134" s="53">
        <f>일위대가목록표!H33</f>
        <v>13258</v>
      </c>
      <c r="M134" s="23">
        <f>ROUNDDOWN(L134*D134,0)</f>
        <v>1193220</v>
      </c>
      <c r="N134" s="24" t="s">
        <v>977</v>
      </c>
      <c r="O134" s="16" t="s">
        <v>976</v>
      </c>
      <c r="P134" s="6" t="s">
        <v>975</v>
      </c>
      <c r="Q134" s="6" t="s">
        <v>518</v>
      </c>
      <c r="AC134" s="19" t="str">
        <f ca="1">HYPERLINK("#"&amp;일위대가목록표!J2&amp;"!A"&amp;ROW(일위대가목록표!A33),"대가   30 →")</f>
        <v>대가   30 →</v>
      </c>
    </row>
    <row r="135" spans="1:29" ht="30.6" customHeight="1" x14ac:dyDescent="0.3">
      <c r="A135" s="9"/>
      <c r="B135" s="9" t="s">
        <v>616</v>
      </c>
      <c r="C135" s="44" t="s">
        <v>617</v>
      </c>
      <c r="D135" s="46">
        <v>2</v>
      </c>
      <c r="E135" s="24" t="s">
        <v>53</v>
      </c>
      <c r="F135" s="53">
        <f t="shared" si="17"/>
        <v>460200</v>
      </c>
      <c r="G135" s="55">
        <f t="shared" si="17"/>
        <v>920400</v>
      </c>
      <c r="H135" s="59">
        <v>0</v>
      </c>
      <c r="I135" s="23">
        <f>ROUNDDOWN(H135*D135,0)</f>
        <v>0</v>
      </c>
      <c r="J135" s="60">
        <f>재료비목록표!E43</f>
        <v>460200</v>
      </c>
      <c r="K135" s="12">
        <f>ROUNDDOWN(J135*D135,0)</f>
        <v>920400</v>
      </c>
      <c r="L135" s="62">
        <v>0</v>
      </c>
      <c r="M135" s="23">
        <f>ROUNDDOWN(L135*D135,0)</f>
        <v>0</v>
      </c>
      <c r="N135" s="24" t="s">
        <v>904</v>
      </c>
      <c r="O135" s="16" t="s">
        <v>903</v>
      </c>
      <c r="P135" s="6" t="s">
        <v>902</v>
      </c>
      <c r="Q135" s="6" t="s">
        <v>518</v>
      </c>
      <c r="AC135" s="19" t="str">
        <f ca="1">HYPERLINK("#"&amp;재료비목록표!G2&amp;"!A"&amp;ROW(재료비목록표!A43),"자재   40 →")</f>
        <v>자재   40 →</v>
      </c>
    </row>
    <row r="136" spans="1:29" ht="30.6" customHeight="1" x14ac:dyDescent="0.3">
      <c r="A136" s="9"/>
      <c r="B136" s="9"/>
      <c r="C136" s="44"/>
      <c r="D136" s="45"/>
      <c r="E136" s="24"/>
      <c r="F136" s="10">
        <v>0</v>
      </c>
      <c r="G136" s="49"/>
      <c r="H136" s="58"/>
      <c r="I136" s="58"/>
      <c r="J136" s="58"/>
      <c r="K136" s="58"/>
      <c r="L136" s="58"/>
      <c r="M136" s="52"/>
      <c r="N136" s="24"/>
      <c r="O136" s="16" t="s">
        <v>796</v>
      </c>
      <c r="P136" s="6" t="s">
        <v>543</v>
      </c>
      <c r="Q136" s="6" t="s">
        <v>561</v>
      </c>
    </row>
    <row r="137" spans="1:29" ht="30.6" customHeight="1" x14ac:dyDescent="0.3">
      <c r="A137" s="41" t="s">
        <v>859</v>
      </c>
      <c r="B137" s="41" t="s">
        <v>858</v>
      </c>
      <c r="C137" s="43"/>
      <c r="D137" s="45"/>
      <c r="E137" s="24"/>
      <c r="F137" s="10">
        <v>0</v>
      </c>
      <c r="G137" s="54">
        <f>SUMIF(Q138:Q143,P137,G138:G143)</f>
        <v>3344518</v>
      </c>
      <c r="H137" s="12">
        <v>0</v>
      </c>
      <c r="I137" s="55">
        <f>SUMIF(Q138:Q143,P137,I138:I143)</f>
        <v>0</v>
      </c>
      <c r="J137" s="12">
        <v>0</v>
      </c>
      <c r="K137" s="61">
        <f>SUMIF(Q138:Q143,P137,K138:K143)</f>
        <v>0</v>
      </c>
      <c r="L137" s="23">
        <v>0</v>
      </c>
      <c r="M137" s="61">
        <f>SUMIF(Q138:Q143,P137,M138:M143)</f>
        <v>3344518</v>
      </c>
      <c r="N137" s="24"/>
      <c r="O137" s="36" t="str">
        <f>"_x0007_`COD|E3_x0005_`QTY1|1_x0005_`EXI|0_x0005_`ITT|0_x0005_`END|"&amp;ROW(M144)&amp;"_x0005_`"</f>
        <v>_x0007_`COD|E3_x0005_`QTY1|1_x0005_`EXI|0_x0005_`ITT|0_x0005_`END|144_x0005_`</v>
      </c>
      <c r="P137" s="6" t="s">
        <v>538</v>
      </c>
      <c r="Q137" s="6" t="s">
        <v>561</v>
      </c>
    </row>
    <row r="138" spans="1:29" ht="30.6" customHeight="1" x14ac:dyDescent="0.3">
      <c r="A138" s="9"/>
      <c r="B138" s="9" t="s">
        <v>277</v>
      </c>
      <c r="C138" s="44" t="s">
        <v>278</v>
      </c>
      <c r="D138" s="46">
        <v>1</v>
      </c>
      <c r="E138" s="24" t="s">
        <v>279</v>
      </c>
      <c r="F138" s="53">
        <f t="shared" ref="F138:G143" si="18">J138+H138+L138</f>
        <v>473554</v>
      </c>
      <c r="G138" s="55">
        <f t="shared" si="18"/>
        <v>473554</v>
      </c>
      <c r="H138" s="57">
        <f>단가산출근거목록표!F34</f>
        <v>0</v>
      </c>
      <c r="I138" s="12">
        <f>ROUNDDOWN(H138*D138,0)</f>
        <v>0</v>
      </c>
      <c r="J138" s="60">
        <f>단가산출근거목록표!G34</f>
        <v>0</v>
      </c>
      <c r="K138" s="12">
        <f>ROUNDDOWN(J138*D138,0)</f>
        <v>0</v>
      </c>
      <c r="L138" s="53">
        <f>단가산출근거목록표!H34</f>
        <v>473554</v>
      </c>
      <c r="M138" s="23">
        <f>ROUNDDOWN(L138*D138,0)</f>
        <v>473554</v>
      </c>
      <c r="N138" s="24" t="s">
        <v>910</v>
      </c>
      <c r="O138" s="16" t="s">
        <v>909</v>
      </c>
      <c r="P138" s="6" t="s">
        <v>908</v>
      </c>
      <c r="Q138" s="6" t="s">
        <v>538</v>
      </c>
      <c r="AC138" s="19" t="str">
        <f ca="1">HYPERLINK("#"&amp;단가산출근거목록표!J2&amp;"!A"&amp;ROW(단가산출근거목록표!A34),"산근   31 →")</f>
        <v>산근   31 →</v>
      </c>
    </row>
    <row r="139" spans="1:29" ht="30.6" customHeight="1" x14ac:dyDescent="0.3">
      <c r="A139" s="9"/>
      <c r="B139" s="9" t="s">
        <v>282</v>
      </c>
      <c r="C139" s="44" t="s">
        <v>278</v>
      </c>
      <c r="D139" s="46">
        <v>1</v>
      </c>
      <c r="E139" s="24" t="s">
        <v>279</v>
      </c>
      <c r="F139" s="53">
        <f t="shared" si="18"/>
        <v>49479</v>
      </c>
      <c r="G139" s="55">
        <f t="shared" si="18"/>
        <v>49479</v>
      </c>
      <c r="H139" s="57">
        <f>단가산출근거목록표!F35</f>
        <v>0</v>
      </c>
      <c r="I139" s="12">
        <f>ROUNDDOWN(H139*D139,0)</f>
        <v>0</v>
      </c>
      <c r="J139" s="60">
        <f>단가산출근거목록표!G35</f>
        <v>0</v>
      </c>
      <c r="K139" s="12">
        <f>ROUNDDOWN(J139*D139,0)</f>
        <v>0</v>
      </c>
      <c r="L139" s="53">
        <f>단가산출근거목록표!H35</f>
        <v>49479</v>
      </c>
      <c r="M139" s="23">
        <f>ROUNDDOWN(L139*D139,0)</f>
        <v>49479</v>
      </c>
      <c r="N139" s="24" t="s">
        <v>913</v>
      </c>
      <c r="O139" s="16" t="s">
        <v>912</v>
      </c>
      <c r="P139" s="6" t="s">
        <v>911</v>
      </c>
      <c r="Q139" s="6" t="s">
        <v>538</v>
      </c>
      <c r="AC139" s="19" t="str">
        <f ca="1">HYPERLINK("#"&amp;단가산출근거목록표!J2&amp;"!A"&amp;ROW(단가산출근거목록표!A35),"산근   32 →")</f>
        <v>산근   32 →</v>
      </c>
    </row>
    <row r="140" spans="1:29" ht="30.6" customHeight="1" x14ac:dyDescent="0.3">
      <c r="A140" s="9"/>
      <c r="B140" s="9" t="s">
        <v>285</v>
      </c>
      <c r="C140" s="44" t="s">
        <v>286</v>
      </c>
      <c r="D140" s="46">
        <v>16</v>
      </c>
      <c r="E140" s="24" t="s">
        <v>14</v>
      </c>
      <c r="F140" s="53">
        <f t="shared" si="18"/>
        <v>16268</v>
      </c>
      <c r="G140" s="55">
        <f t="shared" si="18"/>
        <v>260288</v>
      </c>
      <c r="H140" s="57">
        <f>단가산출근거목록표!F36</f>
        <v>0</v>
      </c>
      <c r="I140" s="12">
        <f>ROUNDDOWN(H140*D140,0)</f>
        <v>0</v>
      </c>
      <c r="J140" s="60">
        <f>단가산출근거목록표!G36</f>
        <v>0</v>
      </c>
      <c r="K140" s="12">
        <f>ROUNDDOWN(J140*D140,0)</f>
        <v>0</v>
      </c>
      <c r="L140" s="53">
        <f>단가산출근거목록표!H36</f>
        <v>16268</v>
      </c>
      <c r="M140" s="23">
        <f>ROUNDDOWN(L140*D140,0)</f>
        <v>260288</v>
      </c>
      <c r="N140" s="24" t="s">
        <v>916</v>
      </c>
      <c r="O140" s="16" t="s">
        <v>915</v>
      </c>
      <c r="P140" s="6" t="s">
        <v>914</v>
      </c>
      <c r="Q140" s="6" t="s">
        <v>538</v>
      </c>
      <c r="AC140" s="19" t="str">
        <f ca="1">HYPERLINK("#"&amp;단가산출근거목록표!J2&amp;"!A"&amp;ROW(단가산출근거목록표!A36),"산근   33 →")</f>
        <v>산근   33 →</v>
      </c>
    </row>
    <row r="141" spans="1:29" ht="30.6" customHeight="1" x14ac:dyDescent="0.3">
      <c r="A141" s="9"/>
      <c r="B141" s="9" t="s">
        <v>289</v>
      </c>
      <c r="C141" s="44" t="s">
        <v>286</v>
      </c>
      <c r="D141" s="46">
        <v>19</v>
      </c>
      <c r="E141" s="24" t="s">
        <v>14</v>
      </c>
      <c r="F141" s="53">
        <f t="shared" si="18"/>
        <v>17215</v>
      </c>
      <c r="G141" s="55">
        <f t="shared" si="18"/>
        <v>327085</v>
      </c>
      <c r="H141" s="57">
        <f>단가산출근거목록표!F37</f>
        <v>0</v>
      </c>
      <c r="I141" s="12">
        <f>ROUNDDOWN(H141*D141,0)</f>
        <v>0</v>
      </c>
      <c r="J141" s="60">
        <f>단가산출근거목록표!G37</f>
        <v>0</v>
      </c>
      <c r="K141" s="12">
        <f>ROUNDDOWN(J141*D141,0)</f>
        <v>0</v>
      </c>
      <c r="L141" s="53">
        <f>단가산출근거목록표!H37</f>
        <v>17215</v>
      </c>
      <c r="M141" s="23">
        <f>ROUNDDOWN(L141*D141,0)</f>
        <v>327085</v>
      </c>
      <c r="N141" s="24" t="s">
        <v>919</v>
      </c>
      <c r="O141" s="16" t="s">
        <v>918</v>
      </c>
      <c r="P141" s="6" t="s">
        <v>917</v>
      </c>
      <c r="Q141" s="6" t="s">
        <v>538</v>
      </c>
      <c r="AC141" s="19" t="str">
        <f ca="1">HYPERLINK("#"&amp;단가산출근거목록표!J2&amp;"!A"&amp;ROW(단가산출근거목록표!A37),"산근   34 →")</f>
        <v>산근   34 →</v>
      </c>
    </row>
    <row r="142" spans="1:29" ht="30.6" customHeight="1" x14ac:dyDescent="0.3">
      <c r="A142" s="9"/>
      <c r="B142" s="9" t="s">
        <v>293</v>
      </c>
      <c r="C142" s="44" t="s">
        <v>294</v>
      </c>
      <c r="D142" s="46">
        <v>54</v>
      </c>
      <c r="E142" s="24" t="s">
        <v>213</v>
      </c>
      <c r="F142" s="53">
        <f t="shared" si="18"/>
        <v>31382</v>
      </c>
      <c r="G142" s="55">
        <f t="shared" si="18"/>
        <v>1694628</v>
      </c>
      <c r="H142" s="57">
        <f>단가산출근거목록표!F38</f>
        <v>0</v>
      </c>
      <c r="I142" s="12">
        <f>ROUNDDOWN(H142*D142,0)</f>
        <v>0</v>
      </c>
      <c r="J142" s="60">
        <f>단가산출근거목록표!G38</f>
        <v>0</v>
      </c>
      <c r="K142" s="12">
        <f>ROUNDDOWN(J142*D142,0)</f>
        <v>0</v>
      </c>
      <c r="L142" s="53">
        <f>단가산출근거목록표!H38</f>
        <v>31382</v>
      </c>
      <c r="M142" s="23">
        <f>ROUNDDOWN(L142*D142,0)</f>
        <v>1694628</v>
      </c>
      <c r="N142" s="24" t="s">
        <v>922</v>
      </c>
      <c r="O142" s="16" t="s">
        <v>921</v>
      </c>
      <c r="P142" s="6" t="s">
        <v>920</v>
      </c>
      <c r="Q142" s="6" t="s">
        <v>538</v>
      </c>
      <c r="AC142" s="19" t="str">
        <f ca="1">HYPERLINK("#"&amp;단가산출근거목록표!J2&amp;"!A"&amp;ROW(단가산출근거목록표!A38),"산근   35 →")</f>
        <v>산근   35 →</v>
      </c>
    </row>
    <row r="143" spans="1:29" ht="30.6" customHeight="1" x14ac:dyDescent="0.3">
      <c r="A143" s="9"/>
      <c r="B143" s="9" t="s">
        <v>298</v>
      </c>
      <c r="C143" s="44" t="s">
        <v>278</v>
      </c>
      <c r="D143" s="46">
        <v>244</v>
      </c>
      <c r="E143" s="24" t="s">
        <v>279</v>
      </c>
      <c r="F143" s="53">
        <f t="shared" si="18"/>
        <v>2211</v>
      </c>
      <c r="G143" s="55">
        <f t="shared" si="18"/>
        <v>539484</v>
      </c>
      <c r="H143" s="57">
        <f>단가산출근거목록표!F39</f>
        <v>0</v>
      </c>
      <c r="I143" s="12">
        <f>ROUNDDOWN(H143*D143,0)</f>
        <v>0</v>
      </c>
      <c r="J143" s="60">
        <f>단가산출근거목록표!G39</f>
        <v>0</v>
      </c>
      <c r="K143" s="12">
        <f>ROUNDDOWN(J143*D143,0)</f>
        <v>0</v>
      </c>
      <c r="L143" s="53">
        <f>단가산출근거목록표!H39</f>
        <v>2211</v>
      </c>
      <c r="M143" s="23">
        <f>ROUNDDOWN(L143*D143,0)</f>
        <v>539484</v>
      </c>
      <c r="N143" s="24" t="s">
        <v>925</v>
      </c>
      <c r="O143" s="16" t="s">
        <v>924</v>
      </c>
      <c r="P143" s="6" t="s">
        <v>923</v>
      </c>
      <c r="Q143" s="6" t="s">
        <v>538</v>
      </c>
      <c r="AC143" s="19" t="str">
        <f ca="1">HYPERLINK("#"&amp;단가산출근거목록표!J2&amp;"!A"&amp;ROW(단가산출근거목록표!A39),"산근   36 →")</f>
        <v>산근   36 →</v>
      </c>
    </row>
    <row r="144" spans="1:29" ht="30.6" customHeight="1" x14ac:dyDescent="0.3">
      <c r="A144" s="9"/>
      <c r="B144" s="9"/>
      <c r="C144" s="44"/>
      <c r="D144" s="45"/>
      <c r="E144" s="24"/>
      <c r="F144" s="10">
        <v>0</v>
      </c>
      <c r="G144" s="49"/>
      <c r="H144" s="58"/>
      <c r="I144" s="58"/>
      <c r="J144" s="58"/>
      <c r="K144" s="58"/>
      <c r="L144" s="58"/>
      <c r="M144" s="52"/>
      <c r="N144" s="24"/>
      <c r="O144" s="16" t="s">
        <v>796</v>
      </c>
      <c r="P144" s="6" t="s">
        <v>543</v>
      </c>
      <c r="Q144" s="6" t="s">
        <v>561</v>
      </c>
    </row>
    <row r="145" spans="1:29" ht="30.6" customHeight="1" x14ac:dyDescent="0.3">
      <c r="A145" s="41" t="s">
        <v>926</v>
      </c>
      <c r="B145" s="41" t="s">
        <v>927</v>
      </c>
      <c r="C145" s="43"/>
      <c r="D145" s="45"/>
      <c r="E145" s="24"/>
      <c r="F145" s="10">
        <v>0</v>
      </c>
      <c r="G145" s="54">
        <f>SUMIF(Q146:Q149,P145,G146:G149)</f>
        <v>3946215</v>
      </c>
      <c r="H145" s="12">
        <v>0</v>
      </c>
      <c r="I145" s="55">
        <f>SUMIF(Q146:Q149,P145,I146:I149)</f>
        <v>0</v>
      </c>
      <c r="J145" s="12">
        <v>0</v>
      </c>
      <c r="K145" s="61">
        <f>SUMIF(Q146:Q149,P145,K146:K149)</f>
        <v>3946215</v>
      </c>
      <c r="L145" s="23">
        <v>0</v>
      </c>
      <c r="M145" s="61">
        <f>SUMIF(Q146:Q149,P145,M146:M149)</f>
        <v>0</v>
      </c>
      <c r="N145" s="24"/>
      <c r="O145" s="36" t="str">
        <f>"_x0007_`COD|E3_x0005_`QTY1|1_x0005_`EXI|0_x0005_`ITT|0_x0005_`END|"&amp;ROW(M150)&amp;"_x0005_`"</f>
        <v>_x0007_`COD|E3_x0005_`QTY1|1_x0005_`EXI|0_x0005_`ITT|0_x0005_`END|150_x0005_`</v>
      </c>
      <c r="P145" s="6" t="s">
        <v>538</v>
      </c>
      <c r="Q145" s="6" t="s">
        <v>561</v>
      </c>
    </row>
    <row r="146" spans="1:29" ht="30.6" customHeight="1" x14ac:dyDescent="0.3">
      <c r="A146" s="9"/>
      <c r="B146" s="9" t="s">
        <v>621</v>
      </c>
      <c r="C146" s="44" t="s">
        <v>622</v>
      </c>
      <c r="D146" s="46">
        <v>16</v>
      </c>
      <c r="E146" s="24" t="s">
        <v>445</v>
      </c>
      <c r="F146" s="53">
        <f t="shared" ref="F146:G149" si="19">J146+H146+L146</f>
        <v>25665</v>
      </c>
      <c r="G146" s="55">
        <f t="shared" si="19"/>
        <v>410640</v>
      </c>
      <c r="H146" s="59">
        <v>0</v>
      </c>
      <c r="I146" s="23">
        <f>ROUNDDOWN(H146*D146,0)</f>
        <v>0</v>
      </c>
      <c r="J146" s="60">
        <f>재료비목록표!E44</f>
        <v>25665</v>
      </c>
      <c r="K146" s="12">
        <f>ROUNDDOWN(J146*D146,0)</f>
        <v>410640</v>
      </c>
      <c r="L146" s="62">
        <v>0</v>
      </c>
      <c r="M146" s="23">
        <f>ROUNDDOWN(L146*D146,0)</f>
        <v>0</v>
      </c>
      <c r="N146" s="24" t="s">
        <v>930</v>
      </c>
      <c r="O146" s="16" t="s">
        <v>929</v>
      </c>
      <c r="P146" s="6" t="s">
        <v>928</v>
      </c>
      <c r="Q146" s="6" t="s">
        <v>538</v>
      </c>
      <c r="AC146" s="19" t="str">
        <f ca="1">HYPERLINK("#"&amp;재료비목록표!G2&amp;"!A"&amp;ROW(재료비목록표!A44),"자재   41 →")</f>
        <v>자재   41 →</v>
      </c>
    </row>
    <row r="147" spans="1:29" ht="30.6" customHeight="1" x14ac:dyDescent="0.3">
      <c r="A147" s="9"/>
      <c r="B147" s="9" t="s">
        <v>626</v>
      </c>
      <c r="C147" s="44" t="s">
        <v>622</v>
      </c>
      <c r="D147" s="46">
        <v>19</v>
      </c>
      <c r="E147" s="24" t="s">
        <v>445</v>
      </c>
      <c r="F147" s="53">
        <f t="shared" si="19"/>
        <v>18585</v>
      </c>
      <c r="G147" s="55">
        <f t="shared" si="19"/>
        <v>353115</v>
      </c>
      <c r="H147" s="59">
        <v>0</v>
      </c>
      <c r="I147" s="23">
        <f>ROUNDDOWN(H147*D147,0)</f>
        <v>0</v>
      </c>
      <c r="J147" s="60">
        <f>재료비목록표!E45</f>
        <v>18585</v>
      </c>
      <c r="K147" s="12">
        <f>ROUNDDOWN(J147*D147,0)</f>
        <v>353115</v>
      </c>
      <c r="L147" s="62">
        <v>0</v>
      </c>
      <c r="M147" s="23">
        <f>ROUNDDOWN(L147*D147,0)</f>
        <v>0</v>
      </c>
      <c r="N147" s="24" t="s">
        <v>933</v>
      </c>
      <c r="O147" s="16" t="s">
        <v>932</v>
      </c>
      <c r="P147" s="6" t="s">
        <v>931</v>
      </c>
      <c r="Q147" s="6" t="s">
        <v>538</v>
      </c>
      <c r="AC147" s="19" t="str">
        <f ca="1">HYPERLINK("#"&amp;재료비목록표!G2&amp;"!A"&amp;ROW(재료비목록표!A45),"자재   42 →")</f>
        <v>자재   42 →</v>
      </c>
    </row>
    <row r="148" spans="1:29" ht="30.6" customHeight="1" x14ac:dyDescent="0.3">
      <c r="A148" s="9"/>
      <c r="B148" s="9" t="s">
        <v>536</v>
      </c>
      <c r="C148" s="44" t="s">
        <v>630</v>
      </c>
      <c r="D148" s="46">
        <v>54</v>
      </c>
      <c r="E148" s="24" t="s">
        <v>213</v>
      </c>
      <c r="F148" s="53">
        <f t="shared" si="19"/>
        <v>38940</v>
      </c>
      <c r="G148" s="55">
        <f t="shared" si="19"/>
        <v>2102760</v>
      </c>
      <c r="H148" s="59">
        <v>0</v>
      </c>
      <c r="I148" s="23">
        <f>ROUNDDOWN(H148*D148,0)</f>
        <v>0</v>
      </c>
      <c r="J148" s="60">
        <f>재료비목록표!E46</f>
        <v>38940</v>
      </c>
      <c r="K148" s="12">
        <f>ROUNDDOWN(J148*D148,0)</f>
        <v>2102760</v>
      </c>
      <c r="L148" s="62">
        <v>0</v>
      </c>
      <c r="M148" s="23">
        <f>ROUNDDOWN(L148*D148,0)</f>
        <v>0</v>
      </c>
      <c r="N148" s="24" t="s">
        <v>936</v>
      </c>
      <c r="O148" s="16" t="s">
        <v>935</v>
      </c>
      <c r="P148" s="6" t="s">
        <v>934</v>
      </c>
      <c r="Q148" s="6" t="s">
        <v>538</v>
      </c>
      <c r="AC148" s="19" t="str">
        <f ca="1">HYPERLINK("#"&amp;재료비목록표!G2&amp;"!A"&amp;ROW(재료비목록표!A46),"자재   43 →")</f>
        <v>자재   43 →</v>
      </c>
    </row>
    <row r="149" spans="1:29" ht="30.6" customHeight="1" x14ac:dyDescent="0.3">
      <c r="A149" s="9"/>
      <c r="B149" s="9" t="s">
        <v>633</v>
      </c>
      <c r="C149" s="44" t="s">
        <v>634</v>
      </c>
      <c r="D149" s="46">
        <v>244</v>
      </c>
      <c r="E149" s="24" t="s">
        <v>279</v>
      </c>
      <c r="F149" s="53">
        <f t="shared" si="19"/>
        <v>4425</v>
      </c>
      <c r="G149" s="55">
        <f t="shared" si="19"/>
        <v>1079700</v>
      </c>
      <c r="H149" s="59">
        <v>0</v>
      </c>
      <c r="I149" s="23">
        <f>ROUNDDOWN(H149*D149,0)</f>
        <v>0</v>
      </c>
      <c r="J149" s="60">
        <f>재료비목록표!E47</f>
        <v>4425</v>
      </c>
      <c r="K149" s="12">
        <f>ROUNDDOWN(J149*D149,0)</f>
        <v>1079700</v>
      </c>
      <c r="L149" s="62">
        <v>0</v>
      </c>
      <c r="M149" s="23">
        <f>ROUNDDOWN(L149*D149,0)</f>
        <v>0</v>
      </c>
      <c r="N149" s="24" t="s">
        <v>939</v>
      </c>
      <c r="O149" s="16" t="s">
        <v>938</v>
      </c>
      <c r="P149" s="6" t="s">
        <v>937</v>
      </c>
      <c r="Q149" s="6" t="s">
        <v>538</v>
      </c>
      <c r="AC149" s="19" t="str">
        <f ca="1">HYPERLINK("#"&amp;재료비목록표!G2&amp;"!A"&amp;ROW(재료비목록표!A47),"자재   44 →")</f>
        <v>자재   44 →</v>
      </c>
    </row>
    <row r="150" spans="1:29" ht="30.6" customHeight="1" x14ac:dyDescent="0.3">
      <c r="A150" s="9"/>
      <c r="B150" s="9"/>
      <c r="C150" s="44"/>
      <c r="D150" s="45"/>
      <c r="E150" s="24"/>
      <c r="F150" s="10">
        <v>0</v>
      </c>
      <c r="G150" s="49"/>
      <c r="H150" s="58"/>
      <c r="I150" s="58"/>
      <c r="J150" s="58"/>
      <c r="K150" s="58"/>
      <c r="L150" s="58"/>
      <c r="M150" s="52"/>
      <c r="N150" s="24"/>
      <c r="O150" s="16" t="s">
        <v>596</v>
      </c>
      <c r="P150" s="6" t="s">
        <v>543</v>
      </c>
      <c r="Q150" s="6" t="s">
        <v>591</v>
      </c>
    </row>
    <row r="151" spans="1:29" ht="30.6" customHeight="1" x14ac:dyDescent="0.3">
      <c r="A151" s="9"/>
      <c r="B151" s="9"/>
      <c r="C151" s="9"/>
      <c r="D151" s="47"/>
      <c r="E151" s="33"/>
      <c r="F151" s="50"/>
      <c r="G151" s="50"/>
      <c r="H151" s="50"/>
      <c r="I151" s="50"/>
      <c r="J151" s="50"/>
      <c r="K151" s="50"/>
      <c r="L151" s="50"/>
      <c r="M151" s="50"/>
      <c r="N151" s="24"/>
    </row>
    <row r="152" spans="1:29" ht="30.6" customHeight="1" x14ac:dyDescent="0.3">
      <c r="A152" s="9"/>
      <c r="B152" s="9"/>
      <c r="C152" s="9"/>
      <c r="D152" s="47"/>
      <c r="E152" s="33"/>
      <c r="F152" s="50"/>
      <c r="G152" s="50"/>
      <c r="H152" s="50"/>
      <c r="I152" s="50"/>
      <c r="J152" s="50"/>
      <c r="K152" s="50"/>
      <c r="L152" s="50"/>
      <c r="M152" s="50"/>
      <c r="N152" s="24"/>
    </row>
    <row r="153" spans="1:29" ht="30.6" customHeight="1" x14ac:dyDescent="0.3">
      <c r="A153" s="9"/>
      <c r="B153" s="9"/>
      <c r="C153" s="9"/>
      <c r="D153" s="47"/>
      <c r="E153" s="33"/>
      <c r="F153" s="50"/>
      <c r="G153" s="50"/>
      <c r="H153" s="50"/>
      <c r="I153" s="50"/>
      <c r="J153" s="50"/>
      <c r="K153" s="50"/>
      <c r="L153" s="50"/>
      <c r="M153" s="50"/>
      <c r="N153" s="24"/>
    </row>
    <row r="154" spans="1:29" ht="30.6" customHeight="1" x14ac:dyDescent="0.3">
      <c r="A154" s="9"/>
      <c r="B154" s="9"/>
      <c r="C154" s="9"/>
      <c r="D154" s="47"/>
      <c r="E154" s="33"/>
      <c r="F154" s="50"/>
      <c r="G154" s="50"/>
      <c r="H154" s="50"/>
      <c r="I154" s="50"/>
      <c r="J154" s="50"/>
      <c r="K154" s="50"/>
      <c r="L154" s="50"/>
      <c r="M154" s="50"/>
      <c r="N154" s="24"/>
    </row>
    <row r="155" spans="1:29" ht="30.6" customHeight="1" x14ac:dyDescent="0.3">
      <c r="A155" s="9"/>
      <c r="B155" s="9"/>
      <c r="C155" s="9"/>
      <c r="D155" s="47"/>
      <c r="E155" s="33"/>
      <c r="F155" s="50"/>
      <c r="G155" s="50"/>
      <c r="H155" s="50"/>
      <c r="I155" s="50"/>
      <c r="J155" s="50"/>
      <c r="K155" s="50"/>
      <c r="L155" s="50"/>
      <c r="M155" s="50"/>
      <c r="N155" s="24"/>
    </row>
    <row r="156" spans="1:29" ht="30.6" customHeight="1" x14ac:dyDescent="0.3">
      <c r="A156" s="9"/>
      <c r="B156" s="9"/>
      <c r="C156" s="9"/>
      <c r="D156" s="47"/>
      <c r="E156" s="33"/>
      <c r="F156" s="50"/>
      <c r="G156" s="50"/>
      <c r="H156" s="50"/>
      <c r="I156" s="50"/>
      <c r="J156" s="50"/>
      <c r="K156" s="50"/>
      <c r="L156" s="50"/>
      <c r="M156" s="50"/>
      <c r="N156" s="24"/>
    </row>
    <row r="157" spans="1:29" ht="30.6" customHeight="1" x14ac:dyDescent="0.3">
      <c r="A157" s="9"/>
      <c r="B157" s="9"/>
      <c r="C157" s="9"/>
      <c r="D157" s="47"/>
      <c r="E157" s="33"/>
      <c r="F157" s="50"/>
      <c r="G157" s="50"/>
      <c r="H157" s="50"/>
      <c r="I157" s="50"/>
      <c r="J157" s="50"/>
      <c r="K157" s="50"/>
      <c r="L157" s="50"/>
      <c r="M157" s="50"/>
      <c r="N157" s="24"/>
    </row>
    <row r="158" spans="1:29" ht="30.6" customHeight="1" x14ac:dyDescent="0.3">
      <c r="A158" s="9"/>
      <c r="B158" s="9"/>
      <c r="C158" s="9"/>
      <c r="D158" s="47"/>
      <c r="E158" s="33"/>
      <c r="F158" s="50"/>
      <c r="G158" s="50"/>
      <c r="H158" s="50"/>
      <c r="I158" s="50"/>
      <c r="J158" s="50"/>
      <c r="K158" s="50"/>
      <c r="L158" s="50"/>
      <c r="M158" s="50"/>
      <c r="N158" s="24"/>
    </row>
    <row r="159" spans="1:29" ht="30.6" customHeight="1" x14ac:dyDescent="0.3">
      <c r="A159" s="9"/>
      <c r="B159" s="9"/>
      <c r="C159" s="9"/>
      <c r="D159" s="47"/>
      <c r="E159" s="33"/>
      <c r="F159" s="50"/>
      <c r="G159" s="50"/>
      <c r="H159" s="50"/>
      <c r="I159" s="50"/>
      <c r="J159" s="50"/>
      <c r="K159" s="50"/>
      <c r="L159" s="50"/>
      <c r="M159" s="50"/>
      <c r="N159" s="24"/>
    </row>
    <row r="160" spans="1:29" ht="30.6" customHeight="1" x14ac:dyDescent="0.3">
      <c r="A160" s="9"/>
      <c r="B160" s="9"/>
      <c r="C160" s="9"/>
      <c r="D160" s="47"/>
      <c r="E160" s="33"/>
      <c r="F160" s="50"/>
      <c r="G160" s="50"/>
      <c r="H160" s="50"/>
      <c r="I160" s="50"/>
      <c r="J160" s="50"/>
      <c r="K160" s="50"/>
      <c r="L160" s="50"/>
      <c r="M160" s="50"/>
      <c r="N160" s="24"/>
    </row>
    <row r="161" spans="1:29" ht="30.6" customHeight="1" x14ac:dyDescent="0.3">
      <c r="A161" s="9"/>
      <c r="B161" s="9"/>
      <c r="C161" s="9"/>
      <c r="D161" s="47"/>
      <c r="E161" s="33"/>
      <c r="F161" s="50"/>
      <c r="G161" s="50"/>
      <c r="H161" s="50"/>
      <c r="I161" s="50"/>
      <c r="J161" s="50"/>
      <c r="K161" s="50"/>
      <c r="L161" s="50"/>
      <c r="M161" s="50"/>
      <c r="N161" s="24"/>
    </row>
    <row r="162" spans="1:29" ht="30.6" customHeight="1" x14ac:dyDescent="0.3">
      <c r="A162" s="9"/>
      <c r="B162" s="9"/>
      <c r="C162" s="9"/>
      <c r="D162" s="47"/>
      <c r="E162" s="33"/>
      <c r="F162" s="50"/>
      <c r="G162" s="50"/>
      <c r="H162" s="50"/>
      <c r="I162" s="50"/>
      <c r="J162" s="50"/>
      <c r="K162" s="50"/>
      <c r="L162" s="50"/>
      <c r="M162" s="50"/>
      <c r="N162" s="24"/>
    </row>
    <row r="163" spans="1:29" ht="30.6" customHeight="1" x14ac:dyDescent="0.3">
      <c r="A163" s="9"/>
      <c r="B163" s="9"/>
      <c r="C163" s="9"/>
      <c r="D163" s="47"/>
      <c r="E163" s="33"/>
      <c r="F163" s="50"/>
      <c r="G163" s="50"/>
      <c r="H163" s="50"/>
      <c r="I163" s="50"/>
      <c r="J163" s="50"/>
      <c r="K163" s="50"/>
      <c r="L163" s="50"/>
      <c r="M163" s="50"/>
      <c r="N163" s="24"/>
    </row>
    <row r="164" spans="1:29" ht="30.6" customHeight="1" x14ac:dyDescent="0.3">
      <c r="A164" s="9"/>
      <c r="B164" s="9"/>
      <c r="C164" s="9"/>
      <c r="D164" s="47"/>
      <c r="E164" s="33"/>
      <c r="F164" s="50"/>
      <c r="G164" s="50"/>
      <c r="H164" s="50"/>
      <c r="I164" s="50"/>
      <c r="J164" s="50"/>
      <c r="K164" s="50"/>
      <c r="L164" s="50"/>
      <c r="M164" s="50"/>
      <c r="N164" s="24"/>
    </row>
    <row r="165" spans="1:29" ht="30.6" customHeight="1" x14ac:dyDescent="0.3">
      <c r="A165" s="41" t="s">
        <v>587</v>
      </c>
      <c r="B165" s="41" t="s">
        <v>941</v>
      </c>
      <c r="C165" s="43" t="s">
        <v>942</v>
      </c>
      <c r="D165" s="45"/>
      <c r="E165" s="24"/>
      <c r="F165" s="10">
        <v>0</v>
      </c>
      <c r="G165" s="54">
        <f>SUMIF(Q166:Q233,P165,G166:G233)</f>
        <v>247342168</v>
      </c>
      <c r="H165" s="12">
        <v>0</v>
      </c>
      <c r="I165" s="55">
        <f>SUMIF(Q166:Q233,P165,I166:I233)</f>
        <v>104163116</v>
      </c>
      <c r="J165" s="12">
        <v>0</v>
      </c>
      <c r="K165" s="61">
        <f>SUMIF(Q166:Q233,P165,K166:K233)</f>
        <v>80521626</v>
      </c>
      <c r="L165" s="23">
        <v>0</v>
      </c>
      <c r="M165" s="61">
        <f>SUMIF(Q166:Q233,P165,M166:M233)</f>
        <v>62657426</v>
      </c>
      <c r="N165" s="24"/>
      <c r="O165" s="36" t="str">
        <f>"_x0007_`COD|E4_x0005_`QTY1|1_x0005_`EXI|0_x0005_`ITT|0_x0005_`END|"&amp;ROW(M234)&amp;"_x0005_`"</f>
        <v>_x0007_`COD|E4_x0005_`QTY1|1_x0005_`EXI|0_x0005_`ITT|0_x0005_`END|234_x0005_`</v>
      </c>
      <c r="P165" s="6" t="s">
        <v>561</v>
      </c>
      <c r="Q165" s="6" t="s">
        <v>591</v>
      </c>
    </row>
    <row r="166" spans="1:29" ht="30.6" customHeight="1" x14ac:dyDescent="0.3">
      <c r="A166" s="41" t="s">
        <v>557</v>
      </c>
      <c r="B166" s="41" t="s">
        <v>548</v>
      </c>
      <c r="C166" s="43"/>
      <c r="D166" s="45"/>
      <c r="E166" s="24"/>
      <c r="F166" s="10">
        <v>0</v>
      </c>
      <c r="G166" s="54">
        <f>SUMIF(Q167:Q196,P166,G167:G196)</f>
        <v>168038060</v>
      </c>
      <c r="H166" s="12">
        <v>0</v>
      </c>
      <c r="I166" s="55">
        <f>SUMIF(Q167:Q196,P166,I167:I196)</f>
        <v>79378663</v>
      </c>
      <c r="J166" s="12">
        <v>0</v>
      </c>
      <c r="K166" s="61">
        <f>SUMIF(Q167:Q196,P166,K167:K196)</f>
        <v>51069107</v>
      </c>
      <c r="L166" s="23">
        <v>0</v>
      </c>
      <c r="M166" s="61">
        <f>SUMIF(Q167:Q196,P166,M167:M196)</f>
        <v>37590290</v>
      </c>
      <c r="N166" s="24"/>
      <c r="O166" s="36" t="str">
        <f>"_x0007_`COD|E3_x0005_`QTY1|1_x0005_`EXI|0_x0005_`ITT|0_x0005_`END|"&amp;ROW(M197)&amp;"_x0005_`"</f>
        <v>_x0007_`COD|E3_x0005_`QTY1|1_x0005_`EXI|0_x0005_`ITT|0_x0005_`END|197_x0005_`</v>
      </c>
      <c r="P166" s="6" t="s">
        <v>538</v>
      </c>
      <c r="Q166" s="6" t="s">
        <v>561</v>
      </c>
    </row>
    <row r="167" spans="1:29" ht="30.6" customHeight="1" x14ac:dyDescent="0.3">
      <c r="A167" s="41" t="s">
        <v>533</v>
      </c>
      <c r="B167" s="41" t="s">
        <v>530</v>
      </c>
      <c r="C167" s="43"/>
      <c r="D167" s="45"/>
      <c r="E167" s="24"/>
      <c r="F167" s="10">
        <v>0</v>
      </c>
      <c r="G167" s="54">
        <f>SUMIF(Q168:Q170,P167,G168:G170)</f>
        <v>1944546</v>
      </c>
      <c r="H167" s="12">
        <v>0</v>
      </c>
      <c r="I167" s="55">
        <f>SUMIF(Q168:Q170,P167,I168:I170)</f>
        <v>1505728</v>
      </c>
      <c r="J167" s="12">
        <v>0</v>
      </c>
      <c r="K167" s="61">
        <f>SUMIF(Q168:Q170,P167,K168:K170)</f>
        <v>323798</v>
      </c>
      <c r="L167" s="23">
        <v>0</v>
      </c>
      <c r="M167" s="61">
        <f>SUMIF(Q168:Q170,P167,M168:M170)</f>
        <v>115020</v>
      </c>
      <c r="N167" s="24"/>
      <c r="O167" s="36" t="str">
        <f>"_x0007_`COD|E2_x0005_`QTY1|1_x0005_`EXI|0_x0005_`ITT|0_x0005_`END|"&amp;ROW(M171)&amp;"_x0005_`"</f>
        <v>_x0007_`COD|E2_x0005_`QTY1|1_x0005_`EXI|0_x0005_`ITT|0_x0005_`END|171_x0005_`</v>
      </c>
      <c r="P167" s="6" t="s">
        <v>518</v>
      </c>
      <c r="Q167" s="6" t="s">
        <v>538</v>
      </c>
    </row>
    <row r="168" spans="1:29" ht="30.6" customHeight="1" x14ac:dyDescent="0.3">
      <c r="A168" s="9"/>
      <c r="B168" s="9" t="s">
        <v>51</v>
      </c>
      <c r="C168" s="44" t="s">
        <v>52</v>
      </c>
      <c r="D168" s="46">
        <v>18</v>
      </c>
      <c r="E168" s="24" t="s">
        <v>53</v>
      </c>
      <c r="F168" s="53">
        <f t="shared" ref="F168:G170" si="20">J168+H168+L168</f>
        <v>22851</v>
      </c>
      <c r="G168" s="55">
        <f t="shared" si="20"/>
        <v>411318</v>
      </c>
      <c r="H168" s="57">
        <f>일위대가목록표!F12</f>
        <v>19413</v>
      </c>
      <c r="I168" s="12">
        <f>ROUNDDOWN(H168*D168,0)</f>
        <v>349434</v>
      </c>
      <c r="J168" s="60">
        <f>일위대가목록표!G12</f>
        <v>3438</v>
      </c>
      <c r="K168" s="12">
        <f>ROUNDDOWN(J168*D168,0)</f>
        <v>61884</v>
      </c>
      <c r="L168" s="53">
        <f>일위대가목록표!H12</f>
        <v>0</v>
      </c>
      <c r="M168" s="23">
        <f>ROUNDDOWN(L168*D168,0)</f>
        <v>0</v>
      </c>
      <c r="N168" s="24" t="s">
        <v>498</v>
      </c>
      <c r="O168" s="16" t="s">
        <v>513</v>
      </c>
      <c r="P168" s="6" t="s">
        <v>522</v>
      </c>
      <c r="Q168" s="6" t="s">
        <v>518</v>
      </c>
      <c r="AC168" s="19" t="str">
        <f ca="1">HYPERLINK("#"&amp;일위대가목록표!J2&amp;"!A"&amp;ROW(일위대가목록표!A12),"대가    9 →")</f>
        <v>대가    9 →</v>
      </c>
    </row>
    <row r="169" spans="1:29" ht="30.6" customHeight="1" x14ac:dyDescent="0.3">
      <c r="A169" s="9"/>
      <c r="B169" s="9" t="s">
        <v>51</v>
      </c>
      <c r="C169" s="44" t="s">
        <v>57</v>
      </c>
      <c r="D169" s="46">
        <v>28</v>
      </c>
      <c r="E169" s="24" t="s">
        <v>53</v>
      </c>
      <c r="F169" s="53">
        <f t="shared" si="20"/>
        <v>35376</v>
      </c>
      <c r="G169" s="55">
        <f t="shared" si="20"/>
        <v>990528</v>
      </c>
      <c r="H169" s="57">
        <f>일위대가목록표!F13</f>
        <v>29233</v>
      </c>
      <c r="I169" s="12">
        <f>ROUNDDOWN(H169*D169,0)</f>
        <v>818524</v>
      </c>
      <c r="J169" s="60">
        <f>일위대가목록표!G13</f>
        <v>6143</v>
      </c>
      <c r="K169" s="12">
        <f>ROUNDDOWN(J169*D169,0)</f>
        <v>172004</v>
      </c>
      <c r="L169" s="53">
        <f>일위대가목록표!H13</f>
        <v>0</v>
      </c>
      <c r="M169" s="23">
        <f>ROUNDDOWN(L169*D169,0)</f>
        <v>0</v>
      </c>
      <c r="N169" s="24" t="s">
        <v>484</v>
      </c>
      <c r="O169" s="16" t="s">
        <v>489</v>
      </c>
      <c r="P169" s="6" t="s">
        <v>494</v>
      </c>
      <c r="Q169" s="6" t="s">
        <v>518</v>
      </c>
      <c r="AC169" s="19" t="str">
        <f ca="1">HYPERLINK("#"&amp;일위대가목록표!J2&amp;"!A"&amp;ROW(일위대가목록표!A13),"대가   10 →")</f>
        <v>대가   10 →</v>
      </c>
    </row>
    <row r="170" spans="1:29" ht="30.6" customHeight="1" x14ac:dyDescent="0.3">
      <c r="A170" s="9"/>
      <c r="B170" s="9" t="s">
        <v>61</v>
      </c>
      <c r="C170" s="44" t="s">
        <v>62</v>
      </c>
      <c r="D170" s="46">
        <v>810</v>
      </c>
      <c r="E170" s="24" t="s">
        <v>26</v>
      </c>
      <c r="F170" s="53">
        <f t="shared" si="20"/>
        <v>670</v>
      </c>
      <c r="G170" s="55">
        <f t="shared" si="20"/>
        <v>542700</v>
      </c>
      <c r="H170" s="57">
        <f>일위대가목록표!F14</f>
        <v>417</v>
      </c>
      <c r="I170" s="12">
        <f>ROUNDDOWN(H170*D170,0)</f>
        <v>337770</v>
      </c>
      <c r="J170" s="60">
        <f>일위대가목록표!G14</f>
        <v>111</v>
      </c>
      <c r="K170" s="12">
        <f>ROUNDDOWN(J170*D170,0)</f>
        <v>89910</v>
      </c>
      <c r="L170" s="53">
        <f>일위대가목록표!H14</f>
        <v>142</v>
      </c>
      <c r="M170" s="23">
        <f>ROUNDDOWN(L170*D170,0)</f>
        <v>115020</v>
      </c>
      <c r="N170" s="24" t="s">
        <v>795</v>
      </c>
      <c r="O170" s="16" t="s">
        <v>794</v>
      </c>
      <c r="P170" s="6" t="s">
        <v>478</v>
      </c>
      <c r="Q170" s="6" t="s">
        <v>518</v>
      </c>
      <c r="AC170" s="19" t="str">
        <f ca="1">HYPERLINK("#"&amp;일위대가목록표!J2&amp;"!A"&amp;ROW(일위대가목록표!A14),"대가   11 →")</f>
        <v>대가   11 →</v>
      </c>
    </row>
    <row r="171" spans="1:29" ht="30.6" customHeight="1" x14ac:dyDescent="0.3">
      <c r="A171" s="9"/>
      <c r="B171" s="9"/>
      <c r="C171" s="44"/>
      <c r="D171" s="45"/>
      <c r="E171" s="24"/>
      <c r="F171" s="10">
        <v>0</v>
      </c>
      <c r="G171" s="49"/>
      <c r="H171" s="58"/>
      <c r="I171" s="58"/>
      <c r="J171" s="58"/>
      <c r="K171" s="58"/>
      <c r="L171" s="58"/>
      <c r="M171" s="52"/>
      <c r="N171" s="24"/>
      <c r="O171" s="16" t="s">
        <v>796</v>
      </c>
      <c r="P171" s="6" t="s">
        <v>543</v>
      </c>
      <c r="Q171" s="6" t="s">
        <v>538</v>
      </c>
    </row>
    <row r="172" spans="1:29" ht="30.6" customHeight="1" x14ac:dyDescent="0.3">
      <c r="A172" s="41" t="s">
        <v>799</v>
      </c>
      <c r="B172" s="41" t="s">
        <v>800</v>
      </c>
      <c r="C172" s="43"/>
      <c r="D172" s="45"/>
      <c r="E172" s="24"/>
      <c r="F172" s="10">
        <v>0</v>
      </c>
      <c r="G172" s="54">
        <f>SUMIF(Q173:Q175,P172,G173:G175)</f>
        <v>142785264</v>
      </c>
      <c r="H172" s="12">
        <v>0</v>
      </c>
      <c r="I172" s="55">
        <f>SUMIF(Q173:Q175,P172,I173:I175)</f>
        <v>65162587</v>
      </c>
      <c r="J172" s="12">
        <v>0</v>
      </c>
      <c r="K172" s="61">
        <f>SUMIF(Q173:Q175,P172,K173:K175)</f>
        <v>46374706</v>
      </c>
      <c r="L172" s="23">
        <v>0</v>
      </c>
      <c r="M172" s="61">
        <f>SUMIF(Q173:Q175,P172,M173:M175)</f>
        <v>31247971</v>
      </c>
      <c r="N172" s="24"/>
      <c r="O172" s="36" t="str">
        <f>"_x0007_`COD|E2_x0005_`QTY1|1_x0005_`EXI|0_x0005_`ITT|0_x0005_`END|"&amp;ROW(M176)&amp;"_x0005_`"</f>
        <v>_x0007_`COD|E2_x0005_`QTY1|1_x0005_`EXI|0_x0005_`ITT|0_x0005_`END|176_x0005_`</v>
      </c>
      <c r="P172" s="6" t="s">
        <v>518</v>
      </c>
      <c r="Q172" s="6" t="s">
        <v>538</v>
      </c>
    </row>
    <row r="173" spans="1:29" ht="30.6" customHeight="1" x14ac:dyDescent="0.3">
      <c r="A173" s="9"/>
      <c r="B173" s="9" t="s">
        <v>220</v>
      </c>
      <c r="C173" s="44" t="s">
        <v>188</v>
      </c>
      <c r="D173" s="46">
        <v>7164</v>
      </c>
      <c r="E173" s="24" t="s">
        <v>14</v>
      </c>
      <c r="F173" s="53">
        <f t="shared" ref="F173:G175" si="21">J173+H173+L173</f>
        <v>1714</v>
      </c>
      <c r="G173" s="55">
        <f t="shared" si="21"/>
        <v>12279096</v>
      </c>
      <c r="H173" s="57">
        <f>단가산출근거목록표!F18</f>
        <v>987</v>
      </c>
      <c r="I173" s="12">
        <f>ROUNDDOWN(H173*D173,0)</f>
        <v>7070868</v>
      </c>
      <c r="J173" s="60">
        <f>단가산출근거목록표!G18</f>
        <v>318</v>
      </c>
      <c r="K173" s="12">
        <f>ROUNDDOWN(J173*D173,0)</f>
        <v>2278152</v>
      </c>
      <c r="L173" s="53">
        <f>단가산출근거목록표!H18</f>
        <v>409</v>
      </c>
      <c r="M173" s="23">
        <f>ROUNDDOWN(L173*D173,0)</f>
        <v>2930076</v>
      </c>
      <c r="N173" s="24" t="s">
        <v>803</v>
      </c>
      <c r="O173" s="16" t="s">
        <v>802</v>
      </c>
      <c r="P173" s="6" t="s">
        <v>801</v>
      </c>
      <c r="Q173" s="6" t="s">
        <v>518</v>
      </c>
      <c r="AC173" s="19" t="str">
        <f ca="1">HYPERLINK("#"&amp;단가산출근거목록표!J2&amp;"!A"&amp;ROW(단가산출근거목록표!A18),"산근   15 →")</f>
        <v>산근   15 →</v>
      </c>
    </row>
    <row r="174" spans="1:29" ht="30.6" customHeight="1" x14ac:dyDescent="0.3">
      <c r="A174" s="9"/>
      <c r="B174" s="9" t="s">
        <v>223</v>
      </c>
      <c r="C174" s="44" t="s">
        <v>224</v>
      </c>
      <c r="D174" s="46">
        <v>2944</v>
      </c>
      <c r="E174" s="24" t="s">
        <v>14</v>
      </c>
      <c r="F174" s="53">
        <f t="shared" si="21"/>
        <v>21128</v>
      </c>
      <c r="G174" s="55">
        <f t="shared" si="21"/>
        <v>62200832</v>
      </c>
      <c r="H174" s="57">
        <f>단가산출근거목록표!F19</f>
        <v>10971</v>
      </c>
      <c r="I174" s="12">
        <f>ROUNDDOWN(H174*D174,0)</f>
        <v>32298624</v>
      </c>
      <c r="J174" s="60">
        <f>단가산출근거목록표!G19</f>
        <v>3625</v>
      </c>
      <c r="K174" s="12">
        <f>ROUNDDOWN(J174*D174,0)</f>
        <v>10672000</v>
      </c>
      <c r="L174" s="53">
        <f>단가산출근거목록표!H19</f>
        <v>6532</v>
      </c>
      <c r="M174" s="23">
        <f>ROUNDDOWN(L174*D174,0)</f>
        <v>19230208</v>
      </c>
      <c r="N174" s="24" t="s">
        <v>806</v>
      </c>
      <c r="O174" s="16" t="s">
        <v>805</v>
      </c>
      <c r="P174" s="6" t="s">
        <v>804</v>
      </c>
      <c r="Q174" s="6" t="s">
        <v>518</v>
      </c>
      <c r="AC174" s="19" t="str">
        <f ca="1">HYPERLINK("#"&amp;단가산출근거목록표!J2&amp;"!A"&amp;ROW(단가산출근거목록표!A19),"산근   16 →")</f>
        <v>산근   16 →</v>
      </c>
    </row>
    <row r="175" spans="1:29" ht="30.6" customHeight="1" x14ac:dyDescent="0.3">
      <c r="A175" s="9"/>
      <c r="B175" s="9" t="s">
        <v>227</v>
      </c>
      <c r="C175" s="44" t="s">
        <v>228</v>
      </c>
      <c r="D175" s="46">
        <v>6869</v>
      </c>
      <c r="E175" s="24" t="s">
        <v>14</v>
      </c>
      <c r="F175" s="53">
        <f t="shared" si="21"/>
        <v>9944</v>
      </c>
      <c r="G175" s="55">
        <f t="shared" si="21"/>
        <v>68305336</v>
      </c>
      <c r="H175" s="57">
        <f>단가산출근거목록표!F20</f>
        <v>3755</v>
      </c>
      <c r="I175" s="12">
        <f>ROUNDDOWN(H175*D175,0)</f>
        <v>25793095</v>
      </c>
      <c r="J175" s="60">
        <f>단가산출근거목록표!G20</f>
        <v>4866</v>
      </c>
      <c r="K175" s="12">
        <f>ROUNDDOWN(J175*D175,0)</f>
        <v>33424554</v>
      </c>
      <c r="L175" s="53">
        <f>단가산출근거목록표!H20</f>
        <v>1323</v>
      </c>
      <c r="M175" s="23">
        <f>ROUNDDOWN(L175*D175,0)</f>
        <v>9087687</v>
      </c>
      <c r="N175" s="24" t="s">
        <v>809</v>
      </c>
      <c r="O175" s="16" t="s">
        <v>808</v>
      </c>
      <c r="P175" s="6" t="s">
        <v>807</v>
      </c>
      <c r="Q175" s="6" t="s">
        <v>518</v>
      </c>
      <c r="AC175" s="19" t="str">
        <f ca="1">HYPERLINK("#"&amp;단가산출근거목록표!J2&amp;"!A"&amp;ROW(단가산출근거목록표!A20),"산근   17 →")</f>
        <v>산근   17 →</v>
      </c>
    </row>
    <row r="176" spans="1:29" ht="30.6" customHeight="1" x14ac:dyDescent="0.3">
      <c r="A176" s="9"/>
      <c r="B176" s="9"/>
      <c r="C176" s="44"/>
      <c r="D176" s="45"/>
      <c r="E176" s="24"/>
      <c r="F176" s="10">
        <v>0</v>
      </c>
      <c r="G176" s="49"/>
      <c r="H176" s="58"/>
      <c r="I176" s="58"/>
      <c r="J176" s="58"/>
      <c r="K176" s="58"/>
      <c r="L176" s="58"/>
      <c r="M176" s="52"/>
      <c r="N176" s="24"/>
      <c r="O176" s="16" t="s">
        <v>796</v>
      </c>
      <c r="P176" s="6" t="s">
        <v>543</v>
      </c>
      <c r="Q176" s="6" t="s">
        <v>538</v>
      </c>
    </row>
    <row r="177" spans="1:29" ht="30.6" customHeight="1" x14ac:dyDescent="0.3">
      <c r="A177" s="41" t="s">
        <v>810</v>
      </c>
      <c r="B177" s="41" t="s">
        <v>811</v>
      </c>
      <c r="C177" s="43"/>
      <c r="D177" s="45"/>
      <c r="E177" s="24"/>
      <c r="F177" s="10">
        <v>0</v>
      </c>
      <c r="G177" s="54">
        <f>SUMIF(Q178:Q180,P177,G178:G180)</f>
        <v>2624711</v>
      </c>
      <c r="H177" s="12">
        <v>0</v>
      </c>
      <c r="I177" s="55">
        <f>SUMIF(Q178:Q180,P177,I178:I180)</f>
        <v>1461106</v>
      </c>
      <c r="J177" s="12">
        <v>0</v>
      </c>
      <c r="K177" s="61">
        <f>SUMIF(Q178:Q180,P177,K178:K180)</f>
        <v>474529</v>
      </c>
      <c r="L177" s="23">
        <v>0</v>
      </c>
      <c r="M177" s="61">
        <f>SUMIF(Q178:Q180,P177,M178:M180)</f>
        <v>689076</v>
      </c>
      <c r="N177" s="24"/>
      <c r="O177" s="36" t="str">
        <f>"_x0007_`COD|E2_x0005_`QTY1|1_x0005_`EXI|0_x0005_`ITT|0_x0005_`END|"&amp;ROW(M181)&amp;"_x0005_`"</f>
        <v>_x0007_`COD|E2_x0005_`QTY1|1_x0005_`EXI|0_x0005_`ITT|0_x0005_`END|181_x0005_`</v>
      </c>
      <c r="P177" s="6" t="s">
        <v>518</v>
      </c>
      <c r="Q177" s="6" t="s">
        <v>538</v>
      </c>
    </row>
    <row r="178" spans="1:29" ht="30.6" customHeight="1" x14ac:dyDescent="0.3">
      <c r="A178" s="9"/>
      <c r="B178" s="9" t="s">
        <v>187</v>
      </c>
      <c r="C178" s="44" t="s">
        <v>188</v>
      </c>
      <c r="D178" s="46">
        <v>792</v>
      </c>
      <c r="E178" s="24" t="s">
        <v>14</v>
      </c>
      <c r="F178" s="53">
        <f t="shared" ref="F178:G180" si="22">J178+H178+L178</f>
        <v>1450</v>
      </c>
      <c r="G178" s="55">
        <f t="shared" si="22"/>
        <v>1148400</v>
      </c>
      <c r="H178" s="57">
        <f>단가산출근거목록표!F21</f>
        <v>835</v>
      </c>
      <c r="I178" s="12">
        <f>ROUNDDOWN(H178*D178,0)</f>
        <v>661320</v>
      </c>
      <c r="J178" s="60">
        <f>단가산출근거목록표!G21</f>
        <v>269</v>
      </c>
      <c r="K178" s="12">
        <f>ROUNDDOWN(J178*D178,0)</f>
        <v>213048</v>
      </c>
      <c r="L178" s="53">
        <f>단가산출근거목록표!H21</f>
        <v>346</v>
      </c>
      <c r="M178" s="23">
        <f>ROUNDDOWN(L178*D178,0)</f>
        <v>274032</v>
      </c>
      <c r="N178" s="24" t="s">
        <v>814</v>
      </c>
      <c r="O178" s="16" t="s">
        <v>813</v>
      </c>
      <c r="P178" s="6" t="s">
        <v>812</v>
      </c>
      <c r="Q178" s="6" t="s">
        <v>518</v>
      </c>
      <c r="AC178" s="19" t="str">
        <f ca="1">HYPERLINK("#"&amp;단가산출근거목록표!J2&amp;"!A"&amp;ROW(단가산출근거목록표!A21),"산근   18 →")</f>
        <v>산근   18 →</v>
      </c>
    </row>
    <row r="179" spans="1:29" ht="30.6" customHeight="1" x14ac:dyDescent="0.3">
      <c r="A179" s="9"/>
      <c r="B179" s="9" t="s">
        <v>233</v>
      </c>
      <c r="C179" s="44" t="s">
        <v>234</v>
      </c>
      <c r="D179" s="46">
        <v>29</v>
      </c>
      <c r="E179" s="24" t="s">
        <v>14</v>
      </c>
      <c r="F179" s="53">
        <f t="shared" si="22"/>
        <v>31331</v>
      </c>
      <c r="G179" s="55">
        <f t="shared" si="22"/>
        <v>908599</v>
      </c>
      <c r="H179" s="57">
        <f>단가산출근거목록표!F22</f>
        <v>16310</v>
      </c>
      <c r="I179" s="12">
        <f>ROUNDDOWN(H179*D179,0)</f>
        <v>472990</v>
      </c>
      <c r="J179" s="60">
        <f>단가산출근거목록표!G22</f>
        <v>5385</v>
      </c>
      <c r="K179" s="12">
        <f>ROUNDDOWN(J179*D179,0)</f>
        <v>156165</v>
      </c>
      <c r="L179" s="53">
        <f>단가산출근거목록표!H22</f>
        <v>9636</v>
      </c>
      <c r="M179" s="23">
        <f>ROUNDDOWN(L179*D179,0)</f>
        <v>279444</v>
      </c>
      <c r="N179" s="24" t="s">
        <v>817</v>
      </c>
      <c r="O179" s="16" t="s">
        <v>816</v>
      </c>
      <c r="P179" s="6" t="s">
        <v>815</v>
      </c>
      <c r="Q179" s="6" t="s">
        <v>518</v>
      </c>
      <c r="AC179" s="19" t="str">
        <f ca="1">HYPERLINK("#"&amp;단가산출근거목록표!J2&amp;"!A"&amp;ROW(단가산출근거목록표!A22),"산근   19 →")</f>
        <v>산근   19 →</v>
      </c>
    </row>
    <row r="180" spans="1:29" ht="30.6" customHeight="1" x14ac:dyDescent="0.3">
      <c r="A180" s="9"/>
      <c r="B180" s="9" t="s">
        <v>237</v>
      </c>
      <c r="C180" s="44" t="s">
        <v>188</v>
      </c>
      <c r="D180" s="46">
        <v>452</v>
      </c>
      <c r="E180" s="24" t="s">
        <v>14</v>
      </c>
      <c r="F180" s="53">
        <f t="shared" si="22"/>
        <v>1256</v>
      </c>
      <c r="G180" s="55">
        <f t="shared" si="22"/>
        <v>567712</v>
      </c>
      <c r="H180" s="57">
        <f>단가산출근거목록표!F23</f>
        <v>723</v>
      </c>
      <c r="I180" s="12">
        <f>ROUNDDOWN(H180*D180,0)</f>
        <v>326796</v>
      </c>
      <c r="J180" s="60">
        <f>단가산출근거목록표!G23</f>
        <v>233</v>
      </c>
      <c r="K180" s="12">
        <f>ROUNDDOWN(J180*D180,0)</f>
        <v>105316</v>
      </c>
      <c r="L180" s="53">
        <f>단가산출근거목록표!H23</f>
        <v>300</v>
      </c>
      <c r="M180" s="23">
        <f>ROUNDDOWN(L180*D180,0)</f>
        <v>135600</v>
      </c>
      <c r="N180" s="24" t="s">
        <v>820</v>
      </c>
      <c r="O180" s="16" t="s">
        <v>819</v>
      </c>
      <c r="P180" s="6" t="s">
        <v>818</v>
      </c>
      <c r="Q180" s="6" t="s">
        <v>518</v>
      </c>
      <c r="AC180" s="19" t="str">
        <f ca="1">HYPERLINK("#"&amp;단가산출근거목록표!J2&amp;"!A"&amp;ROW(단가산출근거목록표!A23),"산근   20 →")</f>
        <v>산근   20 →</v>
      </c>
    </row>
    <row r="181" spans="1:29" ht="30.6" customHeight="1" x14ac:dyDescent="0.3">
      <c r="A181" s="9"/>
      <c r="B181" s="9"/>
      <c r="C181" s="44"/>
      <c r="D181" s="45"/>
      <c r="E181" s="24"/>
      <c r="F181" s="10">
        <v>0</v>
      </c>
      <c r="G181" s="49"/>
      <c r="H181" s="58"/>
      <c r="I181" s="58"/>
      <c r="J181" s="58"/>
      <c r="K181" s="58"/>
      <c r="L181" s="58"/>
      <c r="M181" s="52"/>
      <c r="N181" s="24"/>
      <c r="O181" s="16" t="s">
        <v>796</v>
      </c>
      <c r="P181" s="6" t="s">
        <v>543</v>
      </c>
      <c r="Q181" s="6" t="s">
        <v>538</v>
      </c>
    </row>
    <row r="182" spans="1:29" ht="30.6" customHeight="1" x14ac:dyDescent="0.3">
      <c r="A182" s="41" t="s">
        <v>821</v>
      </c>
      <c r="B182" s="41" t="s">
        <v>822</v>
      </c>
      <c r="C182" s="43"/>
      <c r="D182" s="45"/>
      <c r="E182" s="24"/>
      <c r="F182" s="10">
        <v>0</v>
      </c>
      <c r="G182" s="54">
        <f>SUMIF(Q183:Q184,P182,G183:G184)</f>
        <v>5718746</v>
      </c>
      <c r="H182" s="12">
        <v>0</v>
      </c>
      <c r="I182" s="55">
        <f>SUMIF(Q183:Q184,P182,I183:I184)</f>
        <v>2978940</v>
      </c>
      <c r="J182" s="12">
        <v>0</v>
      </c>
      <c r="K182" s="61">
        <f>SUMIF(Q183:Q184,P182,K183:K184)</f>
        <v>982966</v>
      </c>
      <c r="L182" s="23">
        <v>0</v>
      </c>
      <c r="M182" s="61">
        <f>SUMIF(Q183:Q184,P182,M183:M184)</f>
        <v>1756840</v>
      </c>
      <c r="N182" s="24"/>
      <c r="O182" s="36" t="str">
        <f>"_x0007_`COD|E2_x0005_`QTY1|1_x0005_`EXI|0_x0005_`ITT|0_x0005_`END|"&amp;ROW(M185)&amp;"_x0005_`"</f>
        <v>_x0007_`COD|E2_x0005_`QTY1|1_x0005_`EXI|0_x0005_`ITT|0_x0005_`END|185_x0005_`</v>
      </c>
      <c r="P182" s="6" t="s">
        <v>518</v>
      </c>
      <c r="Q182" s="6" t="s">
        <v>538</v>
      </c>
    </row>
    <row r="183" spans="1:29" ht="30.6" customHeight="1" x14ac:dyDescent="0.3">
      <c r="A183" s="9"/>
      <c r="B183" s="9" t="s">
        <v>240</v>
      </c>
      <c r="C183" s="44" t="s">
        <v>241</v>
      </c>
      <c r="D183" s="46">
        <v>8</v>
      </c>
      <c r="E183" s="24" t="s">
        <v>14</v>
      </c>
      <c r="F183" s="53">
        <f>J183+H183+L183</f>
        <v>2063</v>
      </c>
      <c r="G183" s="55">
        <f>K183+I183+M183</f>
        <v>16504</v>
      </c>
      <c r="H183" s="57">
        <f>단가산출근거목록표!F24</f>
        <v>1315</v>
      </c>
      <c r="I183" s="12">
        <f>ROUNDDOWN(H183*D183,0)</f>
        <v>10520</v>
      </c>
      <c r="J183" s="60">
        <f>단가산출근거목록표!G24</f>
        <v>362</v>
      </c>
      <c r="K183" s="12">
        <f>ROUNDDOWN(J183*D183,0)</f>
        <v>2896</v>
      </c>
      <c r="L183" s="53">
        <f>단가산출근거목록표!H24</f>
        <v>386</v>
      </c>
      <c r="M183" s="23">
        <f>ROUNDDOWN(L183*D183,0)</f>
        <v>3088</v>
      </c>
      <c r="N183" s="24" t="s">
        <v>825</v>
      </c>
      <c r="O183" s="16" t="s">
        <v>824</v>
      </c>
      <c r="P183" s="6" t="s">
        <v>823</v>
      </c>
      <c r="Q183" s="6" t="s">
        <v>518</v>
      </c>
      <c r="AC183" s="19" t="str">
        <f ca="1">HYPERLINK("#"&amp;단가산출근거목록표!J2&amp;"!A"&amp;ROW(단가산출근거목록표!A24),"산근   21 →")</f>
        <v>산근   21 →</v>
      </c>
    </row>
    <row r="184" spans="1:29" ht="30.6" customHeight="1" x14ac:dyDescent="0.3">
      <c r="A184" s="9"/>
      <c r="B184" s="9" t="s">
        <v>244</v>
      </c>
      <c r="C184" s="44" t="s">
        <v>234</v>
      </c>
      <c r="D184" s="46">
        <v>182</v>
      </c>
      <c r="E184" s="24" t="s">
        <v>14</v>
      </c>
      <c r="F184" s="53">
        <f>J184+H184+L184</f>
        <v>31331</v>
      </c>
      <c r="G184" s="55">
        <f>K184+I184+M184</f>
        <v>5702242</v>
      </c>
      <c r="H184" s="57">
        <f>단가산출근거목록표!F25</f>
        <v>16310</v>
      </c>
      <c r="I184" s="12">
        <f>ROUNDDOWN(H184*D184,0)</f>
        <v>2968420</v>
      </c>
      <c r="J184" s="60">
        <f>단가산출근거목록표!G25</f>
        <v>5385</v>
      </c>
      <c r="K184" s="12">
        <f>ROUNDDOWN(J184*D184,0)</f>
        <v>980070</v>
      </c>
      <c r="L184" s="53">
        <f>단가산출근거목록표!H25</f>
        <v>9636</v>
      </c>
      <c r="M184" s="23">
        <f>ROUNDDOWN(L184*D184,0)</f>
        <v>1753752</v>
      </c>
      <c r="N184" s="24" t="s">
        <v>828</v>
      </c>
      <c r="O184" s="16" t="s">
        <v>827</v>
      </c>
      <c r="P184" s="6" t="s">
        <v>826</v>
      </c>
      <c r="Q184" s="6" t="s">
        <v>518</v>
      </c>
      <c r="AC184" s="19" t="str">
        <f ca="1">HYPERLINK("#"&amp;단가산출근거목록표!J2&amp;"!A"&amp;ROW(단가산출근거목록표!A25),"산근   22 →")</f>
        <v>산근   22 →</v>
      </c>
    </row>
    <row r="185" spans="1:29" ht="30.6" customHeight="1" x14ac:dyDescent="0.3">
      <c r="A185" s="9"/>
      <c r="B185" s="9"/>
      <c r="C185" s="44"/>
      <c r="D185" s="45"/>
      <c r="E185" s="24"/>
      <c r="F185" s="10">
        <v>0</v>
      </c>
      <c r="G185" s="49"/>
      <c r="H185" s="58"/>
      <c r="I185" s="58"/>
      <c r="J185" s="58"/>
      <c r="K185" s="58"/>
      <c r="L185" s="58"/>
      <c r="M185" s="52"/>
      <c r="N185" s="24"/>
      <c r="O185" s="16" t="s">
        <v>796</v>
      </c>
      <c r="P185" s="6" t="s">
        <v>543</v>
      </c>
      <c r="Q185" s="6" t="s">
        <v>538</v>
      </c>
    </row>
    <row r="186" spans="1:29" ht="30.6" customHeight="1" x14ac:dyDescent="0.3">
      <c r="A186" s="41" t="s">
        <v>829</v>
      </c>
      <c r="B186" s="41" t="s">
        <v>830</v>
      </c>
      <c r="C186" s="43"/>
      <c r="D186" s="45"/>
      <c r="E186" s="24"/>
      <c r="F186" s="10">
        <v>0</v>
      </c>
      <c r="G186" s="54">
        <f>SUMIF(Q187:Q191,P186,G187:G191)</f>
        <v>3017792</v>
      </c>
      <c r="H186" s="12">
        <v>0</v>
      </c>
      <c r="I186" s="55">
        <f>SUMIF(Q187:Q191,P186,I187:I191)</f>
        <v>1466319</v>
      </c>
      <c r="J186" s="12">
        <v>0</v>
      </c>
      <c r="K186" s="61">
        <f>SUMIF(Q187:Q191,P186,K187:K191)</f>
        <v>723048</v>
      </c>
      <c r="L186" s="23">
        <v>0</v>
      </c>
      <c r="M186" s="61">
        <f>SUMIF(Q187:Q191,P186,M187:M191)</f>
        <v>828425</v>
      </c>
      <c r="N186" s="24"/>
      <c r="O186" s="36" t="str">
        <f>"_x0007_`COD|E2_x0005_`QTY1|1_x0005_`EXI|0_x0005_`ITT|0_x0005_`END|"&amp;ROW(M192)&amp;"_x0005_`"</f>
        <v>_x0007_`COD|E2_x0005_`QTY1|1_x0005_`EXI|0_x0005_`ITT|0_x0005_`END|192_x0005_`</v>
      </c>
      <c r="P186" s="6" t="s">
        <v>518</v>
      </c>
      <c r="Q186" s="6" t="s">
        <v>538</v>
      </c>
    </row>
    <row r="187" spans="1:29" ht="30.6" customHeight="1" x14ac:dyDescent="0.3">
      <c r="A187" s="9"/>
      <c r="B187" s="9" t="s">
        <v>247</v>
      </c>
      <c r="C187" s="44" t="s">
        <v>248</v>
      </c>
      <c r="D187" s="46">
        <v>3425</v>
      </c>
      <c r="E187" s="24" t="s">
        <v>14</v>
      </c>
      <c r="F187" s="53">
        <f t="shared" ref="F187:G191" si="23">J187+H187+L187</f>
        <v>0</v>
      </c>
      <c r="G187" s="55">
        <f t="shared" si="23"/>
        <v>0</v>
      </c>
      <c r="H187" s="57">
        <f>단가산출근거목록표!F26</f>
        <v>0</v>
      </c>
      <c r="I187" s="12">
        <f>ROUNDDOWN(H187*D187,0)</f>
        <v>0</v>
      </c>
      <c r="J187" s="60">
        <f>단가산출근거목록표!G26</f>
        <v>0</v>
      </c>
      <c r="K187" s="12">
        <f>ROUNDDOWN(J187*D187,0)</f>
        <v>0</v>
      </c>
      <c r="L187" s="53">
        <f>단가산출근거목록표!H26</f>
        <v>0</v>
      </c>
      <c r="M187" s="23">
        <f>ROUNDDOWN(L187*D187,0)</f>
        <v>0</v>
      </c>
      <c r="N187" s="24" t="s">
        <v>833</v>
      </c>
      <c r="O187" s="16" t="s">
        <v>832</v>
      </c>
      <c r="P187" s="6" t="s">
        <v>831</v>
      </c>
      <c r="Q187" s="6" t="s">
        <v>518</v>
      </c>
      <c r="AC187" s="19" t="str">
        <f ca="1">HYPERLINK("#"&amp;단가산출근거목록표!J2&amp;"!A"&amp;ROW(단가산출근거목록표!A26),"산근   23 →")</f>
        <v>산근   23 →</v>
      </c>
    </row>
    <row r="188" spans="1:29" ht="30.6" customHeight="1" x14ac:dyDescent="0.3">
      <c r="A188" s="9"/>
      <c r="B188" s="9" t="s">
        <v>251</v>
      </c>
      <c r="C188" s="44" t="s">
        <v>322</v>
      </c>
      <c r="D188" s="46">
        <v>313</v>
      </c>
      <c r="E188" s="24" t="s">
        <v>14</v>
      </c>
      <c r="F188" s="53">
        <f t="shared" si="23"/>
        <v>1812</v>
      </c>
      <c r="G188" s="55">
        <f t="shared" si="23"/>
        <v>567156</v>
      </c>
      <c r="H188" s="57">
        <f>단가산출근거목록표!F45</f>
        <v>801</v>
      </c>
      <c r="I188" s="12">
        <f>ROUNDDOWN(H188*D188,0)</f>
        <v>250713</v>
      </c>
      <c r="J188" s="60">
        <f>단가산출근거목록표!G45</f>
        <v>531</v>
      </c>
      <c r="K188" s="12">
        <f>ROUNDDOWN(J188*D188,0)</f>
        <v>166203</v>
      </c>
      <c r="L188" s="53">
        <f>단가산출근거목록표!H45</f>
        <v>480</v>
      </c>
      <c r="M188" s="23">
        <f>ROUNDDOWN(L188*D188,0)</f>
        <v>150240</v>
      </c>
      <c r="N188" s="24" t="s">
        <v>982</v>
      </c>
      <c r="O188" s="16" t="s">
        <v>981</v>
      </c>
      <c r="P188" s="6" t="s">
        <v>980</v>
      </c>
      <c r="Q188" s="6" t="s">
        <v>518</v>
      </c>
      <c r="AC188" s="19" t="str">
        <f ca="1">HYPERLINK("#"&amp;단가산출근거목록표!J2&amp;"!A"&amp;ROW(단가산출근거목록표!A45),"산근   42 →")</f>
        <v>산근   42 →</v>
      </c>
    </row>
    <row r="189" spans="1:29" ht="30.6" customHeight="1" x14ac:dyDescent="0.3">
      <c r="A189" s="9"/>
      <c r="B189" s="9" t="s">
        <v>255</v>
      </c>
      <c r="C189" s="44" t="s">
        <v>326</v>
      </c>
      <c r="D189" s="46">
        <v>862</v>
      </c>
      <c r="E189" s="24" t="s">
        <v>14</v>
      </c>
      <c r="F189" s="53">
        <f t="shared" si="23"/>
        <v>1904</v>
      </c>
      <c r="G189" s="55">
        <f t="shared" si="23"/>
        <v>1641248</v>
      </c>
      <c r="H189" s="57">
        <f>단가산출근거목록표!F46</f>
        <v>810</v>
      </c>
      <c r="I189" s="12">
        <f>ROUNDDOWN(H189*D189,0)</f>
        <v>698220</v>
      </c>
      <c r="J189" s="60">
        <f>단가산출근거목록표!G46</f>
        <v>537</v>
      </c>
      <c r="K189" s="12">
        <f>ROUNDDOWN(J189*D189,0)</f>
        <v>462894</v>
      </c>
      <c r="L189" s="53">
        <f>단가산출근거목록표!H46</f>
        <v>557</v>
      </c>
      <c r="M189" s="23">
        <f>ROUNDDOWN(L189*D189,0)</f>
        <v>480134</v>
      </c>
      <c r="N189" s="24" t="s">
        <v>985</v>
      </c>
      <c r="O189" s="16" t="s">
        <v>984</v>
      </c>
      <c r="P189" s="6" t="s">
        <v>983</v>
      </c>
      <c r="Q189" s="6" t="s">
        <v>518</v>
      </c>
      <c r="AC189" s="19" t="str">
        <f ca="1">HYPERLINK("#"&amp;단가산출근거목록표!J2&amp;"!A"&amp;ROW(단가산출근거목록표!A46),"산근   43 →")</f>
        <v>산근   43 →</v>
      </c>
    </row>
    <row r="190" spans="1:29" ht="30.6" customHeight="1" x14ac:dyDescent="0.3">
      <c r="A190" s="9"/>
      <c r="B190" s="9" t="s">
        <v>259</v>
      </c>
      <c r="C190" s="44" t="s">
        <v>330</v>
      </c>
      <c r="D190" s="46">
        <v>27</v>
      </c>
      <c r="E190" s="24" t="s">
        <v>14</v>
      </c>
      <c r="F190" s="53">
        <f t="shared" si="23"/>
        <v>6128</v>
      </c>
      <c r="G190" s="55">
        <f t="shared" si="23"/>
        <v>165456</v>
      </c>
      <c r="H190" s="57">
        <f>단가산출근거목록표!F47</f>
        <v>3907</v>
      </c>
      <c r="I190" s="12">
        <f>ROUNDDOWN(H190*D190,0)</f>
        <v>105489</v>
      </c>
      <c r="J190" s="60">
        <f>단가산출근거목록표!G47</f>
        <v>731</v>
      </c>
      <c r="K190" s="12">
        <f>ROUNDDOWN(J190*D190,0)</f>
        <v>19737</v>
      </c>
      <c r="L190" s="53">
        <f>단가산출근거목록표!H47</f>
        <v>1490</v>
      </c>
      <c r="M190" s="23">
        <f>ROUNDDOWN(L190*D190,0)</f>
        <v>40230</v>
      </c>
      <c r="N190" s="24" t="s">
        <v>988</v>
      </c>
      <c r="O190" s="16" t="s">
        <v>987</v>
      </c>
      <c r="P190" s="6" t="s">
        <v>986</v>
      </c>
      <c r="Q190" s="6" t="s">
        <v>518</v>
      </c>
      <c r="AC190" s="19" t="str">
        <f ca="1">HYPERLINK("#"&amp;단가산출근거목록표!J2&amp;"!A"&amp;ROW(단가산출근거목록표!A47),"산근   44 →")</f>
        <v>산근   44 →</v>
      </c>
    </row>
    <row r="191" spans="1:29" ht="30.6" customHeight="1" x14ac:dyDescent="0.3">
      <c r="A191" s="9"/>
      <c r="B191" s="9" t="s">
        <v>263</v>
      </c>
      <c r="C191" s="44" t="s">
        <v>330</v>
      </c>
      <c r="D191" s="46">
        <v>93</v>
      </c>
      <c r="E191" s="24" t="s">
        <v>14</v>
      </c>
      <c r="F191" s="53">
        <f t="shared" si="23"/>
        <v>6924</v>
      </c>
      <c r="G191" s="55">
        <f t="shared" si="23"/>
        <v>643932</v>
      </c>
      <c r="H191" s="57">
        <f>단가산출근거목록표!F48</f>
        <v>4429</v>
      </c>
      <c r="I191" s="12">
        <f>ROUNDDOWN(H191*D191,0)</f>
        <v>411897</v>
      </c>
      <c r="J191" s="60">
        <f>단가산출근거목록표!G48</f>
        <v>798</v>
      </c>
      <c r="K191" s="12">
        <f>ROUNDDOWN(J191*D191,0)</f>
        <v>74214</v>
      </c>
      <c r="L191" s="53">
        <f>단가산출근거목록표!H48</f>
        <v>1697</v>
      </c>
      <c r="M191" s="23">
        <f>ROUNDDOWN(L191*D191,0)</f>
        <v>157821</v>
      </c>
      <c r="N191" s="24" t="s">
        <v>991</v>
      </c>
      <c r="O191" s="16" t="s">
        <v>990</v>
      </c>
      <c r="P191" s="6" t="s">
        <v>989</v>
      </c>
      <c r="Q191" s="6" t="s">
        <v>518</v>
      </c>
      <c r="AC191" s="19" t="str">
        <f ca="1">HYPERLINK("#"&amp;단가산출근거목록표!J2&amp;"!A"&amp;ROW(단가산출근거목록표!A48),"산근   45 →")</f>
        <v>산근   45 →</v>
      </c>
    </row>
    <row r="192" spans="1:29" ht="30.6" customHeight="1" x14ac:dyDescent="0.3">
      <c r="A192" s="9"/>
      <c r="B192" s="9"/>
      <c r="C192" s="44"/>
      <c r="D192" s="45"/>
      <c r="E192" s="24"/>
      <c r="F192" s="10">
        <v>0</v>
      </c>
      <c r="G192" s="49"/>
      <c r="H192" s="58"/>
      <c r="I192" s="58"/>
      <c r="J192" s="58"/>
      <c r="K192" s="58"/>
      <c r="L192" s="58"/>
      <c r="M192" s="52"/>
      <c r="N192" s="24"/>
      <c r="O192" s="16" t="s">
        <v>796</v>
      </c>
      <c r="P192" s="6" t="s">
        <v>543</v>
      </c>
      <c r="Q192" s="6" t="s">
        <v>538</v>
      </c>
    </row>
    <row r="193" spans="1:29" ht="30.6" customHeight="1" x14ac:dyDescent="0.3">
      <c r="A193" s="41" t="s">
        <v>846</v>
      </c>
      <c r="B193" s="41" t="s">
        <v>847</v>
      </c>
      <c r="C193" s="43"/>
      <c r="D193" s="45"/>
      <c r="E193" s="24"/>
      <c r="F193" s="10">
        <v>0</v>
      </c>
      <c r="G193" s="54">
        <f>SUMIF(Q194:Q196,P193,G194:G196)</f>
        <v>11947001</v>
      </c>
      <c r="H193" s="12">
        <v>0</v>
      </c>
      <c r="I193" s="55">
        <f>SUMIF(Q194:Q196,P193,I194:I196)</f>
        <v>6803983</v>
      </c>
      <c r="J193" s="12">
        <v>0</v>
      </c>
      <c r="K193" s="61">
        <f>SUMIF(Q194:Q196,P193,K194:K196)</f>
        <v>2190060</v>
      </c>
      <c r="L193" s="23">
        <v>0</v>
      </c>
      <c r="M193" s="61">
        <f>SUMIF(Q194:Q196,P193,M194:M196)</f>
        <v>2952958</v>
      </c>
      <c r="N193" s="24"/>
      <c r="O193" s="36" t="str">
        <f>"_x0007_`COD|E2_x0005_`QTY1|1_x0005_`EXI|0_x0005_`ITT|0_x0005_`END|"&amp;ROW(M197)&amp;"_x0005_`"</f>
        <v>_x0007_`COD|E2_x0005_`QTY1|1_x0005_`EXI|0_x0005_`ITT|0_x0005_`END|197_x0005_`</v>
      </c>
      <c r="P193" s="6" t="s">
        <v>518</v>
      </c>
      <c r="Q193" s="6" t="s">
        <v>538</v>
      </c>
    </row>
    <row r="194" spans="1:29" ht="30.6" customHeight="1" x14ac:dyDescent="0.3">
      <c r="A194" s="9"/>
      <c r="B194" s="9" t="s">
        <v>267</v>
      </c>
      <c r="C194" s="44"/>
      <c r="D194" s="46">
        <v>6740</v>
      </c>
      <c r="E194" s="24" t="s">
        <v>14</v>
      </c>
      <c r="F194" s="53">
        <f t="shared" ref="F194:G196" si="24">J194+H194+L194</f>
        <v>904</v>
      </c>
      <c r="G194" s="55">
        <f t="shared" si="24"/>
        <v>6092960</v>
      </c>
      <c r="H194" s="57">
        <f>단가산출근거목록표!F49</f>
        <v>521</v>
      </c>
      <c r="I194" s="12">
        <f>ROUNDDOWN(H194*D194,0)</f>
        <v>3511540</v>
      </c>
      <c r="J194" s="60">
        <f>단가산출근거목록표!G49</f>
        <v>168</v>
      </c>
      <c r="K194" s="12">
        <f>ROUNDDOWN(J194*D194,0)</f>
        <v>1132320</v>
      </c>
      <c r="L194" s="53">
        <f>단가산출근거목록표!H49</f>
        <v>215</v>
      </c>
      <c r="M194" s="23">
        <f>ROUNDDOWN(L194*D194,0)</f>
        <v>1449100</v>
      </c>
      <c r="N194" s="24" t="s">
        <v>994</v>
      </c>
      <c r="O194" s="16" t="s">
        <v>993</v>
      </c>
      <c r="P194" s="6" t="s">
        <v>992</v>
      </c>
      <c r="Q194" s="6" t="s">
        <v>518</v>
      </c>
      <c r="AC194" s="19" t="str">
        <f ca="1">HYPERLINK("#"&amp;단가산출근거목록표!J2&amp;"!A"&amp;ROW(단가산출근거목록표!A49),"산근   46 →")</f>
        <v>산근   46 →</v>
      </c>
    </row>
    <row r="195" spans="1:29" ht="30.6" customHeight="1" x14ac:dyDescent="0.3">
      <c r="A195" s="9"/>
      <c r="B195" s="9" t="s">
        <v>270</v>
      </c>
      <c r="C195" s="44" t="s">
        <v>188</v>
      </c>
      <c r="D195" s="46">
        <v>3462</v>
      </c>
      <c r="E195" s="24" t="s">
        <v>26</v>
      </c>
      <c r="F195" s="53">
        <f t="shared" si="24"/>
        <v>1140</v>
      </c>
      <c r="G195" s="55">
        <f t="shared" si="24"/>
        <v>3946680</v>
      </c>
      <c r="H195" s="57">
        <f>단가산출근거목록표!F32</f>
        <v>633</v>
      </c>
      <c r="I195" s="12">
        <f>ROUNDDOWN(H195*D195,0)</f>
        <v>2191446</v>
      </c>
      <c r="J195" s="60">
        <f>단가산출근거목록표!G32</f>
        <v>204</v>
      </c>
      <c r="K195" s="12">
        <f>ROUNDDOWN(J195*D195,0)</f>
        <v>706248</v>
      </c>
      <c r="L195" s="53">
        <f>단가산출근거목록표!H32</f>
        <v>303</v>
      </c>
      <c r="M195" s="23">
        <f>ROUNDDOWN(L195*D195,0)</f>
        <v>1048986</v>
      </c>
      <c r="N195" s="24" t="s">
        <v>853</v>
      </c>
      <c r="O195" s="16" t="s">
        <v>852</v>
      </c>
      <c r="P195" s="6" t="s">
        <v>851</v>
      </c>
      <c r="Q195" s="6" t="s">
        <v>518</v>
      </c>
      <c r="AC195" s="19" t="str">
        <f ca="1">HYPERLINK("#"&amp;단가산출근거목록표!J2&amp;"!A"&amp;ROW(단가산출근거목록표!A32),"산근   29 →")</f>
        <v>산근   29 →</v>
      </c>
    </row>
    <row r="196" spans="1:29" ht="30.6" customHeight="1" x14ac:dyDescent="0.3">
      <c r="A196" s="9"/>
      <c r="B196" s="9" t="s">
        <v>273</v>
      </c>
      <c r="C196" s="44" t="s">
        <v>274</v>
      </c>
      <c r="D196" s="46">
        <v>5169</v>
      </c>
      <c r="E196" s="24" t="s">
        <v>26</v>
      </c>
      <c r="F196" s="53">
        <f t="shared" si="24"/>
        <v>369</v>
      </c>
      <c r="G196" s="55">
        <f t="shared" si="24"/>
        <v>1907361</v>
      </c>
      <c r="H196" s="57">
        <f>단가산출근거목록표!F33</f>
        <v>213</v>
      </c>
      <c r="I196" s="12">
        <f>ROUNDDOWN(H196*D196,0)</f>
        <v>1100997</v>
      </c>
      <c r="J196" s="60">
        <f>단가산출근거목록표!G33</f>
        <v>68</v>
      </c>
      <c r="K196" s="12">
        <f>ROUNDDOWN(J196*D196,0)</f>
        <v>351492</v>
      </c>
      <c r="L196" s="53">
        <f>단가산출근거목록표!H33</f>
        <v>88</v>
      </c>
      <c r="M196" s="23">
        <f>ROUNDDOWN(L196*D196,0)</f>
        <v>454872</v>
      </c>
      <c r="N196" s="24" t="s">
        <v>856</v>
      </c>
      <c r="O196" s="16" t="s">
        <v>855</v>
      </c>
      <c r="P196" s="6" t="s">
        <v>854</v>
      </c>
      <c r="Q196" s="6" t="s">
        <v>518</v>
      </c>
      <c r="AC196" s="19" t="str">
        <f ca="1">HYPERLINK("#"&amp;단가산출근거목록표!J2&amp;"!A"&amp;ROW(단가산출근거목록표!A33),"산근   30 →")</f>
        <v>산근   30 →</v>
      </c>
    </row>
    <row r="197" spans="1:29" ht="30.6" customHeight="1" x14ac:dyDescent="0.3">
      <c r="A197" s="9"/>
      <c r="B197" s="9"/>
      <c r="C197" s="44"/>
      <c r="D197" s="45"/>
      <c r="E197" s="24"/>
      <c r="F197" s="10">
        <v>0</v>
      </c>
      <c r="G197" s="49"/>
      <c r="H197" s="58"/>
      <c r="I197" s="58"/>
      <c r="J197" s="58"/>
      <c r="K197" s="58"/>
      <c r="L197" s="58"/>
      <c r="M197" s="52"/>
      <c r="N197" s="24"/>
      <c r="O197" s="16" t="s">
        <v>796</v>
      </c>
      <c r="P197" s="6" t="s">
        <v>543</v>
      </c>
      <c r="Q197" s="6" t="s">
        <v>561</v>
      </c>
    </row>
    <row r="198" spans="1:29" ht="30.6" customHeight="1" x14ac:dyDescent="0.3">
      <c r="A198" s="41" t="s">
        <v>797</v>
      </c>
      <c r="B198" s="41" t="s">
        <v>857</v>
      </c>
      <c r="C198" s="43"/>
      <c r="D198" s="45"/>
      <c r="E198" s="24"/>
      <c r="F198" s="10">
        <v>0</v>
      </c>
      <c r="G198" s="54">
        <f>SUMIF(Q199:Q216,P198,G199:G216)</f>
        <v>33350356</v>
      </c>
      <c r="H198" s="12">
        <v>0</v>
      </c>
      <c r="I198" s="55">
        <f>SUMIF(Q199:Q216,P198,I199:I216)</f>
        <v>24784453</v>
      </c>
      <c r="J198" s="12">
        <v>0</v>
      </c>
      <c r="K198" s="61">
        <f>SUMIF(Q199:Q216,P198,K199:K216)</f>
        <v>3905573</v>
      </c>
      <c r="L198" s="23">
        <v>0</v>
      </c>
      <c r="M198" s="61">
        <f>SUMIF(Q199:Q216,P198,M199:M216)</f>
        <v>4660330</v>
      </c>
      <c r="N198" s="24"/>
      <c r="O198" s="36" t="str">
        <f>"_x0007_`COD|E3_x0005_`QTY1|1_x0005_`EXI|0_x0005_`ITT|0_x0005_`END|"&amp;ROW(M217)&amp;"_x0005_`"</f>
        <v>_x0007_`COD|E3_x0005_`QTY1|1_x0005_`EXI|0_x0005_`ITT|0_x0005_`END|217_x0005_`</v>
      </c>
      <c r="P198" s="6" t="s">
        <v>538</v>
      </c>
      <c r="Q198" s="6" t="s">
        <v>561</v>
      </c>
    </row>
    <row r="199" spans="1:29" ht="30.6" customHeight="1" x14ac:dyDescent="0.3">
      <c r="A199" s="41" t="s">
        <v>860</v>
      </c>
      <c r="B199" s="41" t="s">
        <v>861</v>
      </c>
      <c r="C199" s="43"/>
      <c r="D199" s="45"/>
      <c r="E199" s="24"/>
      <c r="F199" s="10">
        <v>0</v>
      </c>
      <c r="G199" s="54">
        <f>SUMIF(Q200:Q202,P199,G200:G202)</f>
        <v>20887335</v>
      </c>
      <c r="H199" s="12">
        <v>0</v>
      </c>
      <c r="I199" s="55">
        <f>SUMIF(Q200:Q202,P199,I200:I202)</f>
        <v>15447399</v>
      </c>
      <c r="J199" s="12">
        <v>0</v>
      </c>
      <c r="K199" s="61">
        <f>SUMIF(Q200:Q202,P199,K200:K202)</f>
        <v>2059619</v>
      </c>
      <c r="L199" s="23">
        <v>0</v>
      </c>
      <c r="M199" s="61">
        <f>SUMIF(Q200:Q202,P199,M200:M202)</f>
        <v>3380317</v>
      </c>
      <c r="N199" s="24"/>
      <c r="O199" s="36" t="str">
        <f>"_x0007_`COD|E2_x0005_`QTY1|1_x0005_`EXI|0_x0005_`ITT|0_x0005_`END|"&amp;ROW(M203)&amp;"_x0005_`"</f>
        <v>_x0007_`COD|E2_x0005_`QTY1|1_x0005_`EXI|0_x0005_`ITT|0_x0005_`END|203_x0005_`</v>
      </c>
      <c r="P199" s="6" t="s">
        <v>518</v>
      </c>
      <c r="Q199" s="6" t="s">
        <v>538</v>
      </c>
    </row>
    <row r="200" spans="1:29" ht="30.6" customHeight="1" x14ac:dyDescent="0.3">
      <c r="A200" s="9"/>
      <c r="B200" s="9" t="s">
        <v>66</v>
      </c>
      <c r="C200" s="44" t="s">
        <v>67</v>
      </c>
      <c r="D200" s="46">
        <v>35</v>
      </c>
      <c r="E200" s="24" t="s">
        <v>68</v>
      </c>
      <c r="F200" s="53">
        <f t="shared" ref="F200:G202" si="25">J200+H200+L200</f>
        <v>110265</v>
      </c>
      <c r="G200" s="55">
        <f t="shared" si="25"/>
        <v>3859275</v>
      </c>
      <c r="H200" s="57">
        <f>일위대가목록표!F15</f>
        <v>85728</v>
      </c>
      <c r="I200" s="12">
        <f>ROUNDDOWN(H200*D200,0)</f>
        <v>3000480</v>
      </c>
      <c r="J200" s="60">
        <f>일위대가목록표!G15</f>
        <v>10008</v>
      </c>
      <c r="K200" s="12">
        <f>ROUNDDOWN(J200*D200,0)</f>
        <v>350280</v>
      </c>
      <c r="L200" s="53">
        <f>일위대가목록표!H15</f>
        <v>14529</v>
      </c>
      <c r="M200" s="23">
        <f>ROUNDDOWN(L200*D200,0)</f>
        <v>508515</v>
      </c>
      <c r="N200" s="24" t="s">
        <v>864</v>
      </c>
      <c r="O200" s="16" t="s">
        <v>863</v>
      </c>
      <c r="P200" s="6" t="s">
        <v>862</v>
      </c>
      <c r="Q200" s="6" t="s">
        <v>518</v>
      </c>
      <c r="AC200" s="19" t="str">
        <f ca="1">HYPERLINK("#"&amp;일위대가목록표!J2&amp;"!A"&amp;ROW(일위대가목록표!A15),"대가   12 →")</f>
        <v>대가   12 →</v>
      </c>
    </row>
    <row r="201" spans="1:29" ht="30.6" customHeight="1" x14ac:dyDescent="0.3">
      <c r="A201" s="9"/>
      <c r="B201" s="9" t="s">
        <v>80</v>
      </c>
      <c r="C201" s="44" t="s">
        <v>72</v>
      </c>
      <c r="D201" s="46">
        <v>75</v>
      </c>
      <c r="E201" s="24" t="s">
        <v>68</v>
      </c>
      <c r="F201" s="53">
        <f t="shared" si="25"/>
        <v>148084</v>
      </c>
      <c r="G201" s="55">
        <f t="shared" si="25"/>
        <v>11106300</v>
      </c>
      <c r="H201" s="57">
        <f>일위대가목록표!F34</f>
        <v>108245</v>
      </c>
      <c r="I201" s="12">
        <f>ROUNDDOWN(H201*D201,0)</f>
        <v>8118375</v>
      </c>
      <c r="J201" s="60">
        <f>일위대가목록표!G34</f>
        <v>14865</v>
      </c>
      <c r="K201" s="12">
        <f>ROUNDDOWN(J201*D201,0)</f>
        <v>1114875</v>
      </c>
      <c r="L201" s="53">
        <f>일위대가목록표!H34</f>
        <v>24974</v>
      </c>
      <c r="M201" s="23">
        <f>ROUNDDOWN(L201*D201,0)</f>
        <v>1873050</v>
      </c>
      <c r="N201" s="24" t="s">
        <v>997</v>
      </c>
      <c r="O201" s="16" t="s">
        <v>996</v>
      </c>
      <c r="P201" s="6" t="s">
        <v>995</v>
      </c>
      <c r="Q201" s="6" t="s">
        <v>518</v>
      </c>
      <c r="AC201" s="19" t="str">
        <f ca="1">HYPERLINK("#"&amp;일위대가목록표!J2&amp;"!A"&amp;ROW(일위대가목록표!A34),"대가   31 →")</f>
        <v>대가   31 →</v>
      </c>
    </row>
    <row r="202" spans="1:29" ht="30.6" customHeight="1" x14ac:dyDescent="0.3">
      <c r="A202" s="9"/>
      <c r="B202" s="9" t="s">
        <v>80</v>
      </c>
      <c r="C202" s="44" t="s">
        <v>76</v>
      </c>
      <c r="D202" s="46">
        <v>32</v>
      </c>
      <c r="E202" s="24" t="s">
        <v>68</v>
      </c>
      <c r="F202" s="53">
        <f t="shared" si="25"/>
        <v>185055</v>
      </c>
      <c r="G202" s="55">
        <f t="shared" si="25"/>
        <v>5921760</v>
      </c>
      <c r="H202" s="57">
        <f>일위대가목록표!F19</f>
        <v>135267</v>
      </c>
      <c r="I202" s="12">
        <f>ROUNDDOWN(H202*D202,0)</f>
        <v>4328544</v>
      </c>
      <c r="J202" s="60">
        <f>일위대가목록표!G19</f>
        <v>18577</v>
      </c>
      <c r="K202" s="12">
        <f>ROUNDDOWN(J202*D202,0)</f>
        <v>594464</v>
      </c>
      <c r="L202" s="53">
        <f>일위대가목록표!H19</f>
        <v>31211</v>
      </c>
      <c r="M202" s="23">
        <f>ROUNDDOWN(L202*D202,0)</f>
        <v>998752</v>
      </c>
      <c r="N202" s="24" t="s">
        <v>876</v>
      </c>
      <c r="O202" s="16" t="s">
        <v>875</v>
      </c>
      <c r="P202" s="6" t="s">
        <v>874</v>
      </c>
      <c r="Q202" s="6" t="s">
        <v>518</v>
      </c>
      <c r="AC202" s="19" t="str">
        <f ca="1">HYPERLINK("#"&amp;일위대가목록표!J2&amp;"!A"&amp;ROW(일위대가목록표!A19),"대가   16 →")</f>
        <v>대가   16 →</v>
      </c>
    </row>
    <row r="203" spans="1:29" ht="30.6" customHeight="1" x14ac:dyDescent="0.3">
      <c r="A203" s="9"/>
      <c r="B203" s="9"/>
      <c r="C203" s="44"/>
      <c r="D203" s="45"/>
      <c r="E203" s="24"/>
      <c r="F203" s="10">
        <v>0</v>
      </c>
      <c r="G203" s="49"/>
      <c r="H203" s="58"/>
      <c r="I203" s="58"/>
      <c r="J203" s="58"/>
      <c r="K203" s="58"/>
      <c r="L203" s="58"/>
      <c r="M203" s="52"/>
      <c r="N203" s="24"/>
      <c r="O203" s="16" t="s">
        <v>796</v>
      </c>
      <c r="P203" s="6" t="s">
        <v>543</v>
      </c>
      <c r="Q203" s="6" t="s">
        <v>538</v>
      </c>
    </row>
    <row r="204" spans="1:29" ht="30.6" customHeight="1" x14ac:dyDescent="0.3">
      <c r="A204" s="41" t="s">
        <v>877</v>
      </c>
      <c r="B204" s="41" t="s">
        <v>878</v>
      </c>
      <c r="C204" s="43"/>
      <c r="D204" s="45"/>
      <c r="E204" s="24"/>
      <c r="F204" s="10">
        <v>0</v>
      </c>
      <c r="G204" s="54">
        <f>SUMIF(Q205:Q212,P204,G205:G212)</f>
        <v>6870629</v>
      </c>
      <c r="H204" s="12">
        <v>0</v>
      </c>
      <c r="I204" s="55">
        <f>SUMIF(Q205:Q212,P204,I205:I212)</f>
        <v>5758778</v>
      </c>
      <c r="J204" s="12">
        <v>0</v>
      </c>
      <c r="K204" s="61">
        <f>SUMIF(Q205:Q212,P204,K205:K212)</f>
        <v>487506</v>
      </c>
      <c r="L204" s="23">
        <v>0</v>
      </c>
      <c r="M204" s="61">
        <f>SUMIF(Q205:Q212,P204,M205:M212)</f>
        <v>624345</v>
      </c>
      <c r="N204" s="24"/>
      <c r="O204" s="36" t="str">
        <f>"_x0007_`COD|E2_x0005_`QTY1|1_x0005_`EXI|0_x0005_`ITT|0_x0005_`END|"&amp;ROW(M213)&amp;"_x0005_`"</f>
        <v>_x0007_`COD|E2_x0005_`QTY1|1_x0005_`EXI|0_x0005_`ITT|0_x0005_`END|213_x0005_`</v>
      </c>
      <c r="P204" s="6" t="s">
        <v>518</v>
      </c>
      <c r="Q204" s="6" t="s">
        <v>538</v>
      </c>
    </row>
    <row r="205" spans="1:29" ht="30.6" customHeight="1" x14ac:dyDescent="0.3">
      <c r="A205" s="9"/>
      <c r="B205" s="9" t="s">
        <v>87</v>
      </c>
      <c r="C205" s="44" t="s">
        <v>88</v>
      </c>
      <c r="D205" s="46">
        <v>76</v>
      </c>
      <c r="E205" s="24" t="s">
        <v>68</v>
      </c>
      <c r="F205" s="53">
        <f t="shared" ref="F205:G212" si="26">J205+H205+L205</f>
        <v>14159</v>
      </c>
      <c r="G205" s="55">
        <f t="shared" si="26"/>
        <v>1076084</v>
      </c>
      <c r="H205" s="57">
        <f>일위대가목록표!F20</f>
        <v>13276</v>
      </c>
      <c r="I205" s="12">
        <f>ROUNDDOWN(H205*D205,0)</f>
        <v>1008976</v>
      </c>
      <c r="J205" s="60">
        <f>일위대가목록표!G20</f>
        <v>516</v>
      </c>
      <c r="K205" s="12">
        <f>ROUNDDOWN(J205*D205,0)</f>
        <v>39216</v>
      </c>
      <c r="L205" s="53">
        <f>일위대가목록표!H20</f>
        <v>367</v>
      </c>
      <c r="M205" s="23">
        <f>ROUNDDOWN(L205*D205,0)</f>
        <v>27892</v>
      </c>
      <c r="N205" s="24" t="s">
        <v>881</v>
      </c>
      <c r="O205" s="16" t="s">
        <v>880</v>
      </c>
      <c r="P205" s="6" t="s">
        <v>879</v>
      </c>
      <c r="Q205" s="6" t="s">
        <v>518</v>
      </c>
      <c r="AC205" s="19" t="str">
        <f ca="1">HYPERLINK("#"&amp;일위대가목록표!J2&amp;"!A"&amp;ROW(일위대가목록표!A20),"대가   17 →")</f>
        <v>대가   17 →</v>
      </c>
    </row>
    <row r="206" spans="1:29" ht="30.6" customHeight="1" x14ac:dyDescent="0.3">
      <c r="A206" s="9"/>
      <c r="B206" s="9" t="s">
        <v>87</v>
      </c>
      <c r="C206" s="44" t="s">
        <v>92</v>
      </c>
      <c r="D206" s="46">
        <v>18</v>
      </c>
      <c r="E206" s="24" t="s">
        <v>68</v>
      </c>
      <c r="F206" s="53">
        <f t="shared" si="26"/>
        <v>18393</v>
      </c>
      <c r="G206" s="55">
        <f t="shared" si="26"/>
        <v>331074</v>
      </c>
      <c r="H206" s="57">
        <f>일위대가목록표!F21</f>
        <v>17304</v>
      </c>
      <c r="I206" s="12">
        <f>ROUNDDOWN(H206*D206,0)</f>
        <v>311472</v>
      </c>
      <c r="J206" s="60">
        <f>일위대가목록표!G21</f>
        <v>648</v>
      </c>
      <c r="K206" s="12">
        <f>ROUNDDOWN(J206*D206,0)</f>
        <v>11664</v>
      </c>
      <c r="L206" s="53">
        <f>일위대가목록표!H21</f>
        <v>441</v>
      </c>
      <c r="M206" s="23">
        <f>ROUNDDOWN(L206*D206,0)</f>
        <v>7938</v>
      </c>
      <c r="N206" s="24" t="s">
        <v>884</v>
      </c>
      <c r="O206" s="16" t="s">
        <v>883</v>
      </c>
      <c r="P206" s="6" t="s">
        <v>882</v>
      </c>
      <c r="Q206" s="6" t="s">
        <v>518</v>
      </c>
      <c r="AC206" s="19" t="str">
        <f ca="1">HYPERLINK("#"&amp;일위대가목록표!J2&amp;"!A"&amp;ROW(일위대가목록표!A21),"대가   18 →")</f>
        <v>대가   18 →</v>
      </c>
    </row>
    <row r="207" spans="1:29" ht="30.6" customHeight="1" x14ac:dyDescent="0.3">
      <c r="A207" s="9"/>
      <c r="B207" s="9" t="s">
        <v>96</v>
      </c>
      <c r="C207" s="44" t="s">
        <v>97</v>
      </c>
      <c r="D207" s="46">
        <v>1</v>
      </c>
      <c r="E207" s="24" t="s">
        <v>53</v>
      </c>
      <c r="F207" s="53">
        <f t="shared" si="26"/>
        <v>1714426</v>
      </c>
      <c r="G207" s="55">
        <f t="shared" si="26"/>
        <v>1714426</v>
      </c>
      <c r="H207" s="57">
        <f>일위대가목록표!F22</f>
        <v>1279338</v>
      </c>
      <c r="I207" s="12">
        <f>ROUNDDOWN(H207*D207,0)</f>
        <v>1279338</v>
      </c>
      <c r="J207" s="60">
        <f>일위대가목록표!G22</f>
        <v>178576</v>
      </c>
      <c r="K207" s="12">
        <f>ROUNDDOWN(J207*D207,0)</f>
        <v>178576</v>
      </c>
      <c r="L207" s="53">
        <f>일위대가목록표!H22</f>
        <v>256512</v>
      </c>
      <c r="M207" s="23">
        <f>ROUNDDOWN(L207*D207,0)</f>
        <v>256512</v>
      </c>
      <c r="N207" s="24" t="s">
        <v>887</v>
      </c>
      <c r="O207" s="16" t="s">
        <v>886</v>
      </c>
      <c r="P207" s="6" t="s">
        <v>885</v>
      </c>
      <c r="Q207" s="6" t="s">
        <v>518</v>
      </c>
      <c r="AC207" s="19" t="str">
        <f ca="1">HYPERLINK("#"&amp;일위대가목록표!J2&amp;"!A"&amp;ROW(일위대가목록표!A22),"대가   19 →")</f>
        <v>대가   19 →</v>
      </c>
    </row>
    <row r="208" spans="1:29" ht="30.6" customHeight="1" x14ac:dyDescent="0.3">
      <c r="A208" s="9"/>
      <c r="B208" s="9" t="s">
        <v>96</v>
      </c>
      <c r="C208" s="44" t="s">
        <v>101</v>
      </c>
      <c r="D208" s="46">
        <v>2</v>
      </c>
      <c r="E208" s="24" t="s">
        <v>53</v>
      </c>
      <c r="F208" s="53">
        <f t="shared" si="26"/>
        <v>1076900</v>
      </c>
      <c r="G208" s="55">
        <f t="shared" si="26"/>
        <v>2153800</v>
      </c>
      <c r="H208" s="57">
        <f>일위대가목록표!F23</f>
        <v>813572</v>
      </c>
      <c r="I208" s="12">
        <f>ROUNDDOWN(H208*D208,0)</f>
        <v>1627144</v>
      </c>
      <c r="J208" s="60">
        <f>일위대가목록표!G23</f>
        <v>107942</v>
      </c>
      <c r="K208" s="12">
        <f>ROUNDDOWN(J208*D208,0)</f>
        <v>215884</v>
      </c>
      <c r="L208" s="53">
        <f>일위대가목록표!H23</f>
        <v>155386</v>
      </c>
      <c r="M208" s="23">
        <f>ROUNDDOWN(L208*D208,0)</f>
        <v>310772</v>
      </c>
      <c r="N208" s="24" t="s">
        <v>890</v>
      </c>
      <c r="O208" s="16" t="s">
        <v>889</v>
      </c>
      <c r="P208" s="6" t="s">
        <v>888</v>
      </c>
      <c r="Q208" s="6" t="s">
        <v>518</v>
      </c>
      <c r="AC208" s="19" t="str">
        <f ca="1">HYPERLINK("#"&amp;일위대가목록표!J2&amp;"!A"&amp;ROW(일위대가목록표!A23),"대가   20 →")</f>
        <v>대가   20 →</v>
      </c>
    </row>
    <row r="209" spans="1:29" ht="30.6" customHeight="1" x14ac:dyDescent="0.3">
      <c r="A209" s="9"/>
      <c r="B209" s="9" t="s">
        <v>105</v>
      </c>
      <c r="C209" s="44"/>
      <c r="D209" s="46">
        <v>6</v>
      </c>
      <c r="E209" s="24" t="s">
        <v>53</v>
      </c>
      <c r="F209" s="53">
        <f t="shared" si="26"/>
        <v>3512</v>
      </c>
      <c r="G209" s="55">
        <f t="shared" si="26"/>
        <v>21072</v>
      </c>
      <c r="H209" s="57">
        <f>일위대가목록표!F24</f>
        <v>2021</v>
      </c>
      <c r="I209" s="12">
        <f>ROUNDDOWN(H209*D209,0)</f>
        <v>12126</v>
      </c>
      <c r="J209" s="60">
        <f>일위대가목록표!G24</f>
        <v>653</v>
      </c>
      <c r="K209" s="12">
        <f>ROUNDDOWN(J209*D209,0)</f>
        <v>3918</v>
      </c>
      <c r="L209" s="53">
        <f>일위대가목록표!H24</f>
        <v>838</v>
      </c>
      <c r="M209" s="23">
        <f>ROUNDDOWN(L209*D209,0)</f>
        <v>5028</v>
      </c>
      <c r="N209" s="24" t="s">
        <v>893</v>
      </c>
      <c r="O209" s="16" t="s">
        <v>892</v>
      </c>
      <c r="P209" s="6" t="s">
        <v>891</v>
      </c>
      <c r="Q209" s="6" t="s">
        <v>518</v>
      </c>
      <c r="AC209" s="19" t="str">
        <f ca="1">HYPERLINK("#"&amp;일위대가목록표!J2&amp;"!A"&amp;ROW(일위대가목록표!A24),"대가   21 →")</f>
        <v>대가   21 →</v>
      </c>
    </row>
    <row r="210" spans="1:29" ht="30.6" customHeight="1" x14ac:dyDescent="0.3">
      <c r="A210" s="9"/>
      <c r="B210" s="9" t="s">
        <v>153</v>
      </c>
      <c r="C210" s="44" t="s">
        <v>154</v>
      </c>
      <c r="D210" s="46">
        <v>48</v>
      </c>
      <c r="E210" s="24" t="s">
        <v>26</v>
      </c>
      <c r="F210" s="53">
        <f t="shared" si="26"/>
        <v>26719</v>
      </c>
      <c r="G210" s="55">
        <f t="shared" si="26"/>
        <v>1282512</v>
      </c>
      <c r="H210" s="57">
        <f>일위대가목록표!F35</f>
        <v>26345</v>
      </c>
      <c r="I210" s="12">
        <f>ROUNDDOWN(H210*D210,0)</f>
        <v>1264560</v>
      </c>
      <c r="J210" s="60">
        <f>일위대가목록표!G35</f>
        <v>177</v>
      </c>
      <c r="K210" s="12">
        <f>ROUNDDOWN(J210*D210,0)</f>
        <v>8496</v>
      </c>
      <c r="L210" s="53">
        <f>일위대가목록표!H35</f>
        <v>197</v>
      </c>
      <c r="M210" s="23">
        <f>ROUNDDOWN(L210*D210,0)</f>
        <v>9456</v>
      </c>
      <c r="N210" s="24" t="s">
        <v>1000</v>
      </c>
      <c r="O210" s="16" t="s">
        <v>999</v>
      </c>
      <c r="P210" s="6" t="s">
        <v>998</v>
      </c>
      <c r="Q210" s="6" t="s">
        <v>518</v>
      </c>
      <c r="AC210" s="19" t="str">
        <f ca="1">HYPERLINK("#"&amp;일위대가목록표!J2&amp;"!A"&amp;ROW(일위대가목록표!A35),"대가   32 →")</f>
        <v>대가   32 →</v>
      </c>
    </row>
    <row r="211" spans="1:29" ht="30.6" customHeight="1" x14ac:dyDescent="0.3">
      <c r="A211" s="9"/>
      <c r="B211" s="9" t="s">
        <v>158</v>
      </c>
      <c r="C211" s="44" t="s">
        <v>159</v>
      </c>
      <c r="D211" s="46">
        <v>10</v>
      </c>
      <c r="E211" s="24" t="s">
        <v>68</v>
      </c>
      <c r="F211" s="53">
        <f t="shared" si="26"/>
        <v>12966</v>
      </c>
      <c r="G211" s="55">
        <f t="shared" si="26"/>
        <v>129660</v>
      </c>
      <c r="H211" s="57">
        <f>일위대가목록표!F36</f>
        <v>11198</v>
      </c>
      <c r="I211" s="12">
        <f>ROUNDDOWN(H211*D211,0)</f>
        <v>111980</v>
      </c>
      <c r="J211" s="60">
        <f>일위대가목록표!G36</f>
        <v>1433</v>
      </c>
      <c r="K211" s="12">
        <f>ROUNDDOWN(J211*D211,0)</f>
        <v>14330</v>
      </c>
      <c r="L211" s="53">
        <f>일위대가목록표!H36</f>
        <v>335</v>
      </c>
      <c r="M211" s="23">
        <f>ROUNDDOWN(L211*D211,0)</f>
        <v>3350</v>
      </c>
      <c r="N211" s="24" t="s">
        <v>1003</v>
      </c>
      <c r="O211" s="16" t="s">
        <v>1002</v>
      </c>
      <c r="P211" s="6" t="s">
        <v>1001</v>
      </c>
      <c r="Q211" s="6" t="s">
        <v>518</v>
      </c>
      <c r="AC211" s="19" t="str">
        <f ca="1">HYPERLINK("#"&amp;일위대가목록표!J2&amp;"!A"&amp;ROW(일위대가목록표!A36),"대가   33 →")</f>
        <v>대가   33 →</v>
      </c>
    </row>
    <row r="212" spans="1:29" ht="30.6" customHeight="1" x14ac:dyDescent="0.3">
      <c r="A212" s="9"/>
      <c r="B212" s="9" t="s">
        <v>163</v>
      </c>
      <c r="C212" s="44"/>
      <c r="D212" s="46">
        <v>1</v>
      </c>
      <c r="E212" s="24" t="s">
        <v>53</v>
      </c>
      <c r="F212" s="53">
        <f t="shared" si="26"/>
        <v>162001</v>
      </c>
      <c r="G212" s="55">
        <f t="shared" si="26"/>
        <v>162001</v>
      </c>
      <c r="H212" s="57">
        <f>일위대가목록표!F37</f>
        <v>143182</v>
      </c>
      <c r="I212" s="12">
        <f>ROUNDDOWN(H212*D212,0)</f>
        <v>143182</v>
      </c>
      <c r="J212" s="60">
        <f>일위대가목록표!G37</f>
        <v>15422</v>
      </c>
      <c r="K212" s="12">
        <f>ROUNDDOWN(J212*D212,0)</f>
        <v>15422</v>
      </c>
      <c r="L212" s="53">
        <f>일위대가목록표!H37</f>
        <v>3397</v>
      </c>
      <c r="M212" s="23">
        <f>ROUNDDOWN(L212*D212,0)</f>
        <v>3397</v>
      </c>
      <c r="N212" s="24" t="s">
        <v>1006</v>
      </c>
      <c r="O212" s="16" t="s">
        <v>1005</v>
      </c>
      <c r="P212" s="6" t="s">
        <v>1004</v>
      </c>
      <c r="Q212" s="6" t="s">
        <v>518</v>
      </c>
      <c r="AC212" s="19" t="str">
        <f ca="1">HYPERLINK("#"&amp;일위대가목록표!J2&amp;"!A"&amp;ROW(일위대가목록표!A37),"대가   34 →")</f>
        <v>대가   34 →</v>
      </c>
    </row>
    <row r="213" spans="1:29" ht="30.6" customHeight="1" x14ac:dyDescent="0.3">
      <c r="A213" s="9"/>
      <c r="B213" s="9"/>
      <c r="C213" s="44"/>
      <c r="D213" s="45"/>
      <c r="E213" s="24"/>
      <c r="F213" s="10">
        <v>0</v>
      </c>
      <c r="G213" s="49"/>
      <c r="H213" s="58"/>
      <c r="I213" s="58"/>
      <c r="J213" s="58"/>
      <c r="K213" s="58"/>
      <c r="L213" s="58"/>
      <c r="M213" s="52"/>
      <c r="N213" s="24"/>
      <c r="O213" s="16" t="s">
        <v>796</v>
      </c>
      <c r="P213" s="6" t="s">
        <v>543</v>
      </c>
      <c r="Q213" s="6" t="s">
        <v>538</v>
      </c>
    </row>
    <row r="214" spans="1:29" ht="30.6" customHeight="1" x14ac:dyDescent="0.3">
      <c r="A214" s="41" t="s">
        <v>894</v>
      </c>
      <c r="B214" s="41" t="s">
        <v>895</v>
      </c>
      <c r="C214" s="43"/>
      <c r="D214" s="45"/>
      <c r="E214" s="24"/>
      <c r="F214" s="10">
        <v>0</v>
      </c>
      <c r="G214" s="54">
        <f>SUMIF(Q215:Q216,P214,G215:G216)</f>
        <v>5592392</v>
      </c>
      <c r="H214" s="12">
        <v>0</v>
      </c>
      <c r="I214" s="55">
        <f>SUMIF(Q215:Q216,P214,I215:I216)</f>
        <v>3578276</v>
      </c>
      <c r="J214" s="12">
        <v>0</v>
      </c>
      <c r="K214" s="61">
        <f>SUMIF(Q215:Q216,P214,K215:K216)</f>
        <v>1358448</v>
      </c>
      <c r="L214" s="23">
        <v>0</v>
      </c>
      <c r="M214" s="61">
        <f>SUMIF(Q215:Q216,P214,M215:M216)</f>
        <v>655668</v>
      </c>
      <c r="N214" s="24"/>
      <c r="O214" s="36" t="str">
        <f>"_x0007_`COD|E2_x0005_`QTY1|1_x0005_`EXI|0_x0005_`ITT|0_x0005_`END|"&amp;ROW(M217)&amp;"_x0005_`"</f>
        <v>_x0007_`COD|E2_x0005_`QTY1|1_x0005_`EXI|0_x0005_`ITT|0_x0005_`END|217_x0005_`</v>
      </c>
      <c r="P214" s="6" t="s">
        <v>518</v>
      </c>
      <c r="Q214" s="6" t="s">
        <v>538</v>
      </c>
    </row>
    <row r="215" spans="1:29" ht="30.6" customHeight="1" x14ac:dyDescent="0.3">
      <c r="A215" s="9"/>
      <c r="B215" s="9" t="s">
        <v>109</v>
      </c>
      <c r="C215" s="44" t="s">
        <v>110</v>
      </c>
      <c r="D215" s="46">
        <v>52</v>
      </c>
      <c r="E215" s="24" t="s">
        <v>26</v>
      </c>
      <c r="F215" s="53">
        <f>J215+H215+L215</f>
        <v>89846</v>
      </c>
      <c r="G215" s="55">
        <f>K215+I215+M215</f>
        <v>4671992</v>
      </c>
      <c r="H215" s="57">
        <f>일위대가목록표!F25</f>
        <v>68813</v>
      </c>
      <c r="I215" s="12">
        <f>ROUNDDOWN(H215*D215,0)</f>
        <v>3578276</v>
      </c>
      <c r="J215" s="60">
        <f>일위대가목록표!G25</f>
        <v>8424</v>
      </c>
      <c r="K215" s="12">
        <f>ROUNDDOWN(J215*D215,0)</f>
        <v>438048</v>
      </c>
      <c r="L215" s="53">
        <f>일위대가목록표!H25</f>
        <v>12609</v>
      </c>
      <c r="M215" s="23">
        <f>ROUNDDOWN(L215*D215,0)</f>
        <v>655668</v>
      </c>
      <c r="N215" s="24" t="s">
        <v>898</v>
      </c>
      <c r="O215" s="16" t="s">
        <v>897</v>
      </c>
      <c r="P215" s="6" t="s">
        <v>896</v>
      </c>
      <c r="Q215" s="6" t="s">
        <v>518</v>
      </c>
      <c r="AC215" s="19" t="str">
        <f ca="1">HYPERLINK("#"&amp;일위대가목록표!J2&amp;"!A"&amp;ROW(일위대가목록표!A25),"대가   22 →")</f>
        <v>대가   22 →</v>
      </c>
    </row>
    <row r="216" spans="1:29" ht="30.6" customHeight="1" x14ac:dyDescent="0.3">
      <c r="A216" s="9"/>
      <c r="B216" s="9" t="s">
        <v>616</v>
      </c>
      <c r="C216" s="44" t="s">
        <v>617</v>
      </c>
      <c r="D216" s="46">
        <v>2</v>
      </c>
      <c r="E216" s="24" t="s">
        <v>53</v>
      </c>
      <c r="F216" s="53">
        <f>J216+H216+L216</f>
        <v>460200</v>
      </c>
      <c r="G216" s="55">
        <f>K216+I216+M216</f>
        <v>920400</v>
      </c>
      <c r="H216" s="59">
        <v>0</v>
      </c>
      <c r="I216" s="23">
        <f>ROUNDDOWN(H216*D216,0)</f>
        <v>0</v>
      </c>
      <c r="J216" s="60">
        <f>재료비목록표!E43</f>
        <v>460200</v>
      </c>
      <c r="K216" s="12">
        <f>ROUNDDOWN(J216*D216,0)</f>
        <v>920400</v>
      </c>
      <c r="L216" s="62">
        <v>0</v>
      </c>
      <c r="M216" s="23">
        <f>ROUNDDOWN(L216*D216,0)</f>
        <v>0</v>
      </c>
      <c r="N216" s="24" t="s">
        <v>904</v>
      </c>
      <c r="O216" s="16" t="s">
        <v>903</v>
      </c>
      <c r="P216" s="6" t="s">
        <v>902</v>
      </c>
      <c r="Q216" s="6" t="s">
        <v>518</v>
      </c>
      <c r="AC216" s="19" t="str">
        <f ca="1">HYPERLINK("#"&amp;재료비목록표!G2&amp;"!A"&amp;ROW(재료비목록표!A43),"자재   40 →")</f>
        <v>자재   40 →</v>
      </c>
    </row>
    <row r="217" spans="1:29" ht="30.6" customHeight="1" x14ac:dyDescent="0.3">
      <c r="A217" s="9"/>
      <c r="B217" s="9"/>
      <c r="C217" s="44"/>
      <c r="D217" s="45"/>
      <c r="E217" s="24"/>
      <c r="F217" s="10">
        <v>0</v>
      </c>
      <c r="G217" s="49"/>
      <c r="H217" s="58"/>
      <c r="I217" s="58"/>
      <c r="J217" s="58"/>
      <c r="K217" s="58"/>
      <c r="L217" s="58"/>
      <c r="M217" s="52"/>
      <c r="N217" s="24"/>
      <c r="O217" s="16" t="s">
        <v>796</v>
      </c>
      <c r="P217" s="6" t="s">
        <v>543</v>
      </c>
      <c r="Q217" s="6" t="s">
        <v>561</v>
      </c>
    </row>
    <row r="218" spans="1:29" ht="30.6" customHeight="1" x14ac:dyDescent="0.3">
      <c r="A218" s="41" t="s">
        <v>859</v>
      </c>
      <c r="B218" s="41" t="s">
        <v>858</v>
      </c>
      <c r="C218" s="43"/>
      <c r="D218" s="45"/>
      <c r="E218" s="24"/>
      <c r="F218" s="10">
        <v>0</v>
      </c>
      <c r="G218" s="54">
        <f>SUMIF(Q219:Q225,P218,G219:G225)</f>
        <v>20406806</v>
      </c>
      <c r="H218" s="12">
        <v>0</v>
      </c>
      <c r="I218" s="55">
        <f>SUMIF(Q219:Q225,P218,I219:I225)</f>
        <v>0</v>
      </c>
      <c r="J218" s="12">
        <v>0</v>
      </c>
      <c r="K218" s="61">
        <f>SUMIF(Q219:Q225,P218,K219:K225)</f>
        <v>0</v>
      </c>
      <c r="L218" s="23">
        <v>0</v>
      </c>
      <c r="M218" s="61">
        <f>SUMIF(Q219:Q225,P218,M219:M225)</f>
        <v>20406806</v>
      </c>
      <c r="N218" s="24"/>
      <c r="O218" s="36" t="str">
        <f>"_x0007_`COD|E3_x0005_`QTY1|1_x0005_`EXI|0_x0005_`ITT|0_x0005_`END|"&amp;ROW(M226)&amp;"_x0005_`"</f>
        <v>_x0007_`COD|E3_x0005_`QTY1|1_x0005_`EXI|0_x0005_`ITT|0_x0005_`END|226_x0005_`</v>
      </c>
      <c r="P218" s="6" t="s">
        <v>538</v>
      </c>
      <c r="Q218" s="6" t="s">
        <v>561</v>
      </c>
    </row>
    <row r="219" spans="1:29" ht="30.6" customHeight="1" x14ac:dyDescent="0.3">
      <c r="A219" s="9"/>
      <c r="B219" s="9" t="s">
        <v>277</v>
      </c>
      <c r="C219" s="44" t="s">
        <v>278</v>
      </c>
      <c r="D219" s="46">
        <v>1</v>
      </c>
      <c r="E219" s="24" t="s">
        <v>279</v>
      </c>
      <c r="F219" s="53">
        <f t="shared" ref="F219:G225" si="27">J219+H219+L219</f>
        <v>473554</v>
      </c>
      <c r="G219" s="55">
        <f t="shared" si="27"/>
        <v>473554</v>
      </c>
      <c r="H219" s="57">
        <f>단가산출근거목록표!F34</f>
        <v>0</v>
      </c>
      <c r="I219" s="12">
        <f>ROUNDDOWN(H219*D219,0)</f>
        <v>0</v>
      </c>
      <c r="J219" s="60">
        <f>단가산출근거목록표!G34</f>
        <v>0</v>
      </c>
      <c r="K219" s="12">
        <f>ROUNDDOWN(J219*D219,0)</f>
        <v>0</v>
      </c>
      <c r="L219" s="53">
        <f>단가산출근거목록표!H34</f>
        <v>473554</v>
      </c>
      <c r="M219" s="23">
        <f>ROUNDDOWN(L219*D219,0)</f>
        <v>473554</v>
      </c>
      <c r="N219" s="24" t="s">
        <v>910</v>
      </c>
      <c r="O219" s="16" t="s">
        <v>909</v>
      </c>
      <c r="P219" s="6" t="s">
        <v>908</v>
      </c>
      <c r="Q219" s="6" t="s">
        <v>538</v>
      </c>
      <c r="AC219" s="19" t="str">
        <f ca="1">HYPERLINK("#"&amp;단가산출근거목록표!J2&amp;"!A"&amp;ROW(단가산출근거목록표!A34),"산근   31 →")</f>
        <v>산근   31 →</v>
      </c>
    </row>
    <row r="220" spans="1:29" ht="30.6" customHeight="1" x14ac:dyDescent="0.3">
      <c r="A220" s="9"/>
      <c r="B220" s="9" t="s">
        <v>282</v>
      </c>
      <c r="C220" s="44" t="s">
        <v>278</v>
      </c>
      <c r="D220" s="46">
        <v>1</v>
      </c>
      <c r="E220" s="24" t="s">
        <v>279</v>
      </c>
      <c r="F220" s="53">
        <f t="shared" si="27"/>
        <v>49479</v>
      </c>
      <c r="G220" s="55">
        <f t="shared" si="27"/>
        <v>49479</v>
      </c>
      <c r="H220" s="57">
        <f>단가산출근거목록표!F35</f>
        <v>0</v>
      </c>
      <c r="I220" s="12">
        <f>ROUNDDOWN(H220*D220,0)</f>
        <v>0</v>
      </c>
      <c r="J220" s="60">
        <f>단가산출근거목록표!G35</f>
        <v>0</v>
      </c>
      <c r="K220" s="12">
        <f>ROUNDDOWN(J220*D220,0)</f>
        <v>0</v>
      </c>
      <c r="L220" s="53">
        <f>단가산출근거목록표!H35</f>
        <v>49479</v>
      </c>
      <c r="M220" s="23">
        <f>ROUNDDOWN(L220*D220,0)</f>
        <v>49479</v>
      </c>
      <c r="N220" s="24" t="s">
        <v>913</v>
      </c>
      <c r="O220" s="16" t="s">
        <v>912</v>
      </c>
      <c r="P220" s="6" t="s">
        <v>911</v>
      </c>
      <c r="Q220" s="6" t="s">
        <v>538</v>
      </c>
      <c r="AC220" s="19" t="str">
        <f ca="1">HYPERLINK("#"&amp;단가산출근거목록표!J2&amp;"!A"&amp;ROW(단가산출근거목록표!A35),"산근   32 →")</f>
        <v>산근   32 →</v>
      </c>
    </row>
    <row r="221" spans="1:29" ht="30.6" customHeight="1" x14ac:dyDescent="0.3">
      <c r="A221" s="9"/>
      <c r="B221" s="9" t="s">
        <v>285</v>
      </c>
      <c r="C221" s="44" t="s">
        <v>286</v>
      </c>
      <c r="D221" s="46">
        <v>24</v>
      </c>
      <c r="E221" s="24" t="s">
        <v>14</v>
      </c>
      <c r="F221" s="53">
        <f t="shared" si="27"/>
        <v>16268</v>
      </c>
      <c r="G221" s="55">
        <f t="shared" si="27"/>
        <v>390432</v>
      </c>
      <c r="H221" s="57">
        <f>단가산출근거목록표!F36</f>
        <v>0</v>
      </c>
      <c r="I221" s="12">
        <f>ROUNDDOWN(H221*D221,0)</f>
        <v>0</v>
      </c>
      <c r="J221" s="60">
        <f>단가산출근거목록표!G36</f>
        <v>0</v>
      </c>
      <c r="K221" s="12">
        <f>ROUNDDOWN(J221*D221,0)</f>
        <v>0</v>
      </c>
      <c r="L221" s="53">
        <f>단가산출근거목록표!H36</f>
        <v>16268</v>
      </c>
      <c r="M221" s="23">
        <f>ROUNDDOWN(L221*D221,0)</f>
        <v>390432</v>
      </c>
      <c r="N221" s="24" t="s">
        <v>916</v>
      </c>
      <c r="O221" s="16" t="s">
        <v>915</v>
      </c>
      <c r="P221" s="6" t="s">
        <v>914</v>
      </c>
      <c r="Q221" s="6" t="s">
        <v>538</v>
      </c>
      <c r="AC221" s="19" t="str">
        <f ca="1">HYPERLINK("#"&amp;단가산출근거목록표!J2&amp;"!A"&amp;ROW(단가산출근거목록표!A36),"산근   33 →")</f>
        <v>산근   33 →</v>
      </c>
    </row>
    <row r="222" spans="1:29" ht="30.6" customHeight="1" x14ac:dyDescent="0.3">
      <c r="A222" s="9"/>
      <c r="B222" s="9" t="s">
        <v>289</v>
      </c>
      <c r="C222" s="44" t="s">
        <v>286</v>
      </c>
      <c r="D222" s="46">
        <v>28</v>
      </c>
      <c r="E222" s="24" t="s">
        <v>14</v>
      </c>
      <c r="F222" s="53">
        <f t="shared" si="27"/>
        <v>17215</v>
      </c>
      <c r="G222" s="55">
        <f t="shared" si="27"/>
        <v>482020</v>
      </c>
      <c r="H222" s="57">
        <f>단가산출근거목록표!F37</f>
        <v>0</v>
      </c>
      <c r="I222" s="12">
        <f>ROUNDDOWN(H222*D222,0)</f>
        <v>0</v>
      </c>
      <c r="J222" s="60">
        <f>단가산출근거목록표!G37</f>
        <v>0</v>
      </c>
      <c r="K222" s="12">
        <f>ROUNDDOWN(J222*D222,0)</f>
        <v>0</v>
      </c>
      <c r="L222" s="53">
        <f>단가산출근거목록표!H37</f>
        <v>17215</v>
      </c>
      <c r="M222" s="23">
        <f>ROUNDDOWN(L222*D222,0)</f>
        <v>482020</v>
      </c>
      <c r="N222" s="24" t="s">
        <v>919</v>
      </c>
      <c r="O222" s="16" t="s">
        <v>918</v>
      </c>
      <c r="P222" s="6" t="s">
        <v>917</v>
      </c>
      <c r="Q222" s="6" t="s">
        <v>538</v>
      </c>
      <c r="AC222" s="19" t="str">
        <f ca="1">HYPERLINK("#"&amp;단가산출근거목록표!J2&amp;"!A"&amp;ROW(단가산출근거목록표!A37),"산근   34 →")</f>
        <v>산근   34 →</v>
      </c>
    </row>
    <row r="223" spans="1:29" ht="30.6" customHeight="1" x14ac:dyDescent="0.3">
      <c r="A223" s="9"/>
      <c r="B223" s="9" t="s">
        <v>293</v>
      </c>
      <c r="C223" s="44" t="s">
        <v>294</v>
      </c>
      <c r="D223" s="46">
        <v>581</v>
      </c>
      <c r="E223" s="24" t="s">
        <v>213</v>
      </c>
      <c r="F223" s="53">
        <f t="shared" si="27"/>
        <v>31382</v>
      </c>
      <c r="G223" s="55">
        <f t="shared" si="27"/>
        <v>18232942</v>
      </c>
      <c r="H223" s="57">
        <f>단가산출근거목록표!F38</f>
        <v>0</v>
      </c>
      <c r="I223" s="12">
        <f>ROUNDDOWN(H223*D223,0)</f>
        <v>0</v>
      </c>
      <c r="J223" s="60">
        <f>단가산출근거목록표!G38</f>
        <v>0</v>
      </c>
      <c r="K223" s="12">
        <f>ROUNDDOWN(J223*D223,0)</f>
        <v>0</v>
      </c>
      <c r="L223" s="53">
        <f>단가산출근거목록표!H38</f>
        <v>31382</v>
      </c>
      <c r="M223" s="23">
        <f>ROUNDDOWN(L223*D223,0)</f>
        <v>18232942</v>
      </c>
      <c r="N223" s="24" t="s">
        <v>922</v>
      </c>
      <c r="O223" s="16" t="s">
        <v>921</v>
      </c>
      <c r="P223" s="6" t="s">
        <v>920</v>
      </c>
      <c r="Q223" s="6" t="s">
        <v>538</v>
      </c>
      <c r="AC223" s="19" t="str">
        <f ca="1">HYPERLINK("#"&amp;단가산출근거목록표!J2&amp;"!A"&amp;ROW(단가산출근거목록표!A38),"산근   35 →")</f>
        <v>산근   35 →</v>
      </c>
    </row>
    <row r="224" spans="1:29" ht="30.6" customHeight="1" x14ac:dyDescent="0.3">
      <c r="A224" s="9"/>
      <c r="B224" s="9" t="s">
        <v>340</v>
      </c>
      <c r="C224" s="44" t="s">
        <v>278</v>
      </c>
      <c r="D224" s="46">
        <v>8.0000000000000002E-3</v>
      </c>
      <c r="E224" s="24" t="s">
        <v>341</v>
      </c>
      <c r="F224" s="53">
        <f t="shared" si="27"/>
        <v>13475</v>
      </c>
      <c r="G224" s="55">
        <f t="shared" si="27"/>
        <v>107</v>
      </c>
      <c r="H224" s="57">
        <f>단가산출근거목록표!F50</f>
        <v>0</v>
      </c>
      <c r="I224" s="12">
        <f>ROUNDDOWN(H224*D224,0)</f>
        <v>0</v>
      </c>
      <c r="J224" s="60">
        <f>단가산출근거목록표!G50</f>
        <v>0</v>
      </c>
      <c r="K224" s="12">
        <f>ROUNDDOWN(J224*D224,0)</f>
        <v>0</v>
      </c>
      <c r="L224" s="53">
        <f>단가산출근거목록표!H50</f>
        <v>13475</v>
      </c>
      <c r="M224" s="23">
        <f>ROUNDDOWN(L224*D224,0)</f>
        <v>107</v>
      </c>
      <c r="N224" s="24" t="s">
        <v>1007</v>
      </c>
      <c r="O224" s="16" t="s">
        <v>978</v>
      </c>
      <c r="P224" s="6" t="s">
        <v>979</v>
      </c>
      <c r="Q224" s="6" t="s">
        <v>538</v>
      </c>
      <c r="AC224" s="19" t="str">
        <f ca="1">HYPERLINK("#"&amp;단가산출근거목록표!J2&amp;"!A"&amp;ROW(단가산출근거목록표!A50),"산근   47 →")</f>
        <v>산근   47 →</v>
      </c>
    </row>
    <row r="225" spans="1:29" ht="30.6" customHeight="1" x14ac:dyDescent="0.3">
      <c r="A225" s="9"/>
      <c r="B225" s="9" t="s">
        <v>298</v>
      </c>
      <c r="C225" s="44" t="s">
        <v>278</v>
      </c>
      <c r="D225" s="46">
        <v>352</v>
      </c>
      <c r="E225" s="24" t="s">
        <v>279</v>
      </c>
      <c r="F225" s="53">
        <f t="shared" si="27"/>
        <v>2211</v>
      </c>
      <c r="G225" s="55">
        <f t="shared" si="27"/>
        <v>778272</v>
      </c>
      <c r="H225" s="57">
        <f>단가산출근거목록표!F39</f>
        <v>0</v>
      </c>
      <c r="I225" s="12">
        <f>ROUNDDOWN(H225*D225,0)</f>
        <v>0</v>
      </c>
      <c r="J225" s="60">
        <f>단가산출근거목록표!G39</f>
        <v>0</v>
      </c>
      <c r="K225" s="12">
        <f>ROUNDDOWN(J225*D225,0)</f>
        <v>0</v>
      </c>
      <c r="L225" s="53">
        <f>단가산출근거목록표!H39</f>
        <v>2211</v>
      </c>
      <c r="M225" s="23">
        <f>ROUNDDOWN(L225*D225,0)</f>
        <v>778272</v>
      </c>
      <c r="N225" s="24" t="s">
        <v>925</v>
      </c>
      <c r="O225" s="16" t="s">
        <v>924</v>
      </c>
      <c r="P225" s="6" t="s">
        <v>923</v>
      </c>
      <c r="Q225" s="6" t="s">
        <v>538</v>
      </c>
      <c r="AC225" s="19" t="str">
        <f ca="1">HYPERLINK("#"&amp;단가산출근거목록표!J2&amp;"!A"&amp;ROW(단가산출근거목록표!A39),"산근   36 →")</f>
        <v>산근   36 →</v>
      </c>
    </row>
    <row r="226" spans="1:29" ht="30.6" customHeight="1" x14ac:dyDescent="0.3">
      <c r="A226" s="9"/>
      <c r="B226" s="9"/>
      <c r="C226" s="44"/>
      <c r="D226" s="45"/>
      <c r="E226" s="24"/>
      <c r="F226" s="10">
        <v>0</v>
      </c>
      <c r="G226" s="49"/>
      <c r="H226" s="58"/>
      <c r="I226" s="58"/>
      <c r="J226" s="58"/>
      <c r="K226" s="58"/>
      <c r="L226" s="58"/>
      <c r="M226" s="52"/>
      <c r="N226" s="24"/>
      <c r="O226" s="16" t="s">
        <v>796</v>
      </c>
      <c r="P226" s="6" t="s">
        <v>543</v>
      </c>
      <c r="Q226" s="6" t="s">
        <v>561</v>
      </c>
    </row>
    <row r="227" spans="1:29" ht="30.6" customHeight="1" x14ac:dyDescent="0.3">
      <c r="A227" s="41" t="s">
        <v>926</v>
      </c>
      <c r="B227" s="41" t="s">
        <v>927</v>
      </c>
      <c r="C227" s="43"/>
      <c r="D227" s="45"/>
      <c r="E227" s="24"/>
      <c r="F227" s="10">
        <v>0</v>
      </c>
      <c r="G227" s="54">
        <f>SUMIF(Q228:Q233,P227,G228:G233)</f>
        <v>25546946</v>
      </c>
      <c r="H227" s="12">
        <v>0</v>
      </c>
      <c r="I227" s="55">
        <f>SUMIF(Q228:Q233,P227,I228:I233)</f>
        <v>0</v>
      </c>
      <c r="J227" s="12">
        <v>0</v>
      </c>
      <c r="K227" s="61">
        <f>SUMIF(Q228:Q233,P227,K228:K233)</f>
        <v>25546946</v>
      </c>
      <c r="L227" s="23">
        <v>0</v>
      </c>
      <c r="M227" s="61">
        <f>SUMIF(Q228:Q233,P227,M228:M233)</f>
        <v>0</v>
      </c>
      <c r="N227" s="24"/>
      <c r="O227" s="36" t="str">
        <f>"_x0007_`COD|E3_x0005_`QTY1|1_x0005_`EXI|0_x0005_`ITT|0_x0005_`END|"&amp;ROW(M234)&amp;"_x0005_`"</f>
        <v>_x0007_`COD|E3_x0005_`QTY1|1_x0005_`EXI|0_x0005_`ITT|0_x0005_`END|234_x0005_`</v>
      </c>
      <c r="P227" s="6" t="s">
        <v>538</v>
      </c>
      <c r="Q227" s="6" t="s">
        <v>561</v>
      </c>
    </row>
    <row r="228" spans="1:29" ht="30.6" customHeight="1" x14ac:dyDescent="0.3">
      <c r="A228" s="9"/>
      <c r="B228" s="9" t="s">
        <v>621</v>
      </c>
      <c r="C228" s="44" t="s">
        <v>622</v>
      </c>
      <c r="D228" s="46">
        <v>24</v>
      </c>
      <c r="E228" s="24" t="s">
        <v>445</v>
      </c>
      <c r="F228" s="53">
        <f t="shared" ref="F228:G233" si="28">J228+H228+L228</f>
        <v>25665</v>
      </c>
      <c r="G228" s="55">
        <f t="shared" si="28"/>
        <v>615960</v>
      </c>
      <c r="H228" s="59">
        <v>0</v>
      </c>
      <c r="I228" s="23">
        <f>ROUNDDOWN(H228*D228,0)</f>
        <v>0</v>
      </c>
      <c r="J228" s="60">
        <f>재료비목록표!E44</f>
        <v>25665</v>
      </c>
      <c r="K228" s="12">
        <f>ROUNDDOWN(J228*D228,0)</f>
        <v>615960</v>
      </c>
      <c r="L228" s="62">
        <v>0</v>
      </c>
      <c r="M228" s="23">
        <f>ROUNDDOWN(L228*D228,0)</f>
        <v>0</v>
      </c>
      <c r="N228" s="24" t="s">
        <v>930</v>
      </c>
      <c r="O228" s="16" t="s">
        <v>929</v>
      </c>
      <c r="P228" s="6" t="s">
        <v>928</v>
      </c>
      <c r="Q228" s="6" t="s">
        <v>538</v>
      </c>
      <c r="AC228" s="19" t="str">
        <f ca="1">HYPERLINK("#"&amp;재료비목록표!G2&amp;"!A"&amp;ROW(재료비목록표!A44),"자재   41 →")</f>
        <v>자재   41 →</v>
      </c>
    </row>
    <row r="229" spans="1:29" ht="30.6" customHeight="1" x14ac:dyDescent="0.3">
      <c r="A229" s="9"/>
      <c r="B229" s="9" t="s">
        <v>626</v>
      </c>
      <c r="C229" s="44" t="s">
        <v>622</v>
      </c>
      <c r="D229" s="46">
        <v>28</v>
      </c>
      <c r="E229" s="24" t="s">
        <v>445</v>
      </c>
      <c r="F229" s="53">
        <f t="shared" si="28"/>
        <v>18585</v>
      </c>
      <c r="G229" s="55">
        <f t="shared" si="28"/>
        <v>520380</v>
      </c>
      <c r="H229" s="59">
        <v>0</v>
      </c>
      <c r="I229" s="23">
        <f>ROUNDDOWN(H229*D229,0)</f>
        <v>0</v>
      </c>
      <c r="J229" s="60">
        <f>재료비목록표!E45</f>
        <v>18585</v>
      </c>
      <c r="K229" s="12">
        <f>ROUNDDOWN(J229*D229,0)</f>
        <v>520380</v>
      </c>
      <c r="L229" s="62">
        <v>0</v>
      </c>
      <c r="M229" s="23">
        <f>ROUNDDOWN(L229*D229,0)</f>
        <v>0</v>
      </c>
      <c r="N229" s="24" t="s">
        <v>933</v>
      </c>
      <c r="O229" s="16" t="s">
        <v>932</v>
      </c>
      <c r="P229" s="6" t="s">
        <v>931</v>
      </c>
      <c r="Q229" s="6" t="s">
        <v>538</v>
      </c>
      <c r="AC229" s="19" t="str">
        <f ca="1">HYPERLINK("#"&amp;재료비목록표!G2&amp;"!A"&amp;ROW(재료비목록표!A45),"자재   42 →")</f>
        <v>자재   42 →</v>
      </c>
    </row>
    <row r="230" spans="1:29" ht="30.6" customHeight="1" x14ac:dyDescent="0.3">
      <c r="A230" s="9"/>
      <c r="B230" s="9" t="s">
        <v>536</v>
      </c>
      <c r="C230" s="44" t="s">
        <v>630</v>
      </c>
      <c r="D230" s="46">
        <v>581</v>
      </c>
      <c r="E230" s="24" t="s">
        <v>213</v>
      </c>
      <c r="F230" s="53">
        <f t="shared" si="28"/>
        <v>38940</v>
      </c>
      <c r="G230" s="55">
        <f t="shared" si="28"/>
        <v>22624140</v>
      </c>
      <c r="H230" s="59">
        <v>0</v>
      </c>
      <c r="I230" s="23">
        <f>ROUNDDOWN(H230*D230,0)</f>
        <v>0</v>
      </c>
      <c r="J230" s="60">
        <f>재료비목록표!E46</f>
        <v>38940</v>
      </c>
      <c r="K230" s="12">
        <f>ROUNDDOWN(J230*D230,0)</f>
        <v>22624140</v>
      </c>
      <c r="L230" s="62">
        <v>0</v>
      </c>
      <c r="M230" s="23">
        <f>ROUNDDOWN(L230*D230,0)</f>
        <v>0</v>
      </c>
      <c r="N230" s="24" t="s">
        <v>936</v>
      </c>
      <c r="O230" s="16" t="s">
        <v>935</v>
      </c>
      <c r="P230" s="6" t="s">
        <v>934</v>
      </c>
      <c r="Q230" s="6" t="s">
        <v>538</v>
      </c>
      <c r="AC230" s="19" t="str">
        <f ca="1">HYPERLINK("#"&amp;재료비목록표!G2&amp;"!A"&amp;ROW(재료비목록표!A46),"자재   43 →")</f>
        <v>자재   43 →</v>
      </c>
    </row>
    <row r="231" spans="1:29" ht="30.6" customHeight="1" x14ac:dyDescent="0.3">
      <c r="A231" s="9"/>
      <c r="B231" s="9" t="s">
        <v>638</v>
      </c>
      <c r="C231" s="44" t="s">
        <v>639</v>
      </c>
      <c r="D231" s="46">
        <v>56</v>
      </c>
      <c r="E231" s="24" t="s">
        <v>26</v>
      </c>
      <c r="F231" s="53">
        <f t="shared" si="28"/>
        <v>3973</v>
      </c>
      <c r="G231" s="55">
        <f t="shared" si="28"/>
        <v>222488</v>
      </c>
      <c r="H231" s="59">
        <v>0</v>
      </c>
      <c r="I231" s="23">
        <f>ROUNDDOWN(H231*D231,0)</f>
        <v>0</v>
      </c>
      <c r="J231" s="60">
        <f>재료비목록표!E48</f>
        <v>3973</v>
      </c>
      <c r="K231" s="12">
        <f>ROUNDDOWN(J231*D231,0)</f>
        <v>222488</v>
      </c>
      <c r="L231" s="62">
        <v>0</v>
      </c>
      <c r="M231" s="23">
        <f>ROUNDDOWN(L231*D231,0)</f>
        <v>0</v>
      </c>
      <c r="N231" s="24" t="s">
        <v>1010</v>
      </c>
      <c r="O231" s="16" t="s">
        <v>1009</v>
      </c>
      <c r="P231" s="6" t="s">
        <v>1008</v>
      </c>
      <c r="Q231" s="6" t="s">
        <v>538</v>
      </c>
      <c r="AC231" s="19" t="str">
        <f ca="1">HYPERLINK("#"&amp;재료비목록표!G2&amp;"!A"&amp;ROW(재료비목록표!A48),"자재   45 →")</f>
        <v>자재   45 →</v>
      </c>
    </row>
    <row r="232" spans="1:29" ht="30.6" customHeight="1" x14ac:dyDescent="0.3">
      <c r="A232" s="9"/>
      <c r="B232" s="9" t="s">
        <v>643</v>
      </c>
      <c r="C232" s="44" t="s">
        <v>644</v>
      </c>
      <c r="D232" s="46">
        <v>8.0000000000000002E-3</v>
      </c>
      <c r="E232" s="24" t="s">
        <v>645</v>
      </c>
      <c r="F232" s="53">
        <f t="shared" si="28"/>
        <v>797255</v>
      </c>
      <c r="G232" s="55">
        <f t="shared" si="28"/>
        <v>6378</v>
      </c>
      <c r="H232" s="59">
        <v>0</v>
      </c>
      <c r="I232" s="23">
        <f>ROUNDDOWN(H232*D232,0)</f>
        <v>0</v>
      </c>
      <c r="J232" s="60">
        <f>재료비목록표!E49</f>
        <v>797255</v>
      </c>
      <c r="K232" s="12">
        <f>ROUNDDOWN(J232*D232,0)</f>
        <v>6378</v>
      </c>
      <c r="L232" s="62">
        <v>0</v>
      </c>
      <c r="M232" s="23">
        <f>ROUNDDOWN(L232*D232,0)</f>
        <v>0</v>
      </c>
      <c r="N232" s="24" t="s">
        <v>1013</v>
      </c>
      <c r="O232" s="16" t="s">
        <v>1012</v>
      </c>
      <c r="P232" s="6" t="s">
        <v>1011</v>
      </c>
      <c r="Q232" s="6" t="s">
        <v>538</v>
      </c>
      <c r="AC232" s="19" t="str">
        <f ca="1">HYPERLINK("#"&amp;재료비목록표!G2&amp;"!A"&amp;ROW(재료비목록표!A49),"자재   46 →")</f>
        <v>자재   46 →</v>
      </c>
    </row>
    <row r="233" spans="1:29" ht="30.6" customHeight="1" x14ac:dyDescent="0.3">
      <c r="A233" s="9"/>
      <c r="B233" s="9" t="s">
        <v>633</v>
      </c>
      <c r="C233" s="44" t="s">
        <v>634</v>
      </c>
      <c r="D233" s="46">
        <v>352</v>
      </c>
      <c r="E233" s="24" t="s">
        <v>279</v>
      </c>
      <c r="F233" s="53">
        <f t="shared" si="28"/>
        <v>4425</v>
      </c>
      <c r="G233" s="55">
        <f t="shared" si="28"/>
        <v>1557600</v>
      </c>
      <c r="H233" s="59">
        <v>0</v>
      </c>
      <c r="I233" s="23">
        <f>ROUNDDOWN(H233*D233,0)</f>
        <v>0</v>
      </c>
      <c r="J233" s="60">
        <f>재료비목록표!E47</f>
        <v>4425</v>
      </c>
      <c r="K233" s="12">
        <f>ROUNDDOWN(J233*D233,0)</f>
        <v>1557600</v>
      </c>
      <c r="L233" s="62">
        <v>0</v>
      </c>
      <c r="M233" s="23">
        <f>ROUNDDOWN(L233*D233,0)</f>
        <v>0</v>
      </c>
      <c r="N233" s="24" t="s">
        <v>939</v>
      </c>
      <c r="O233" s="16" t="s">
        <v>938</v>
      </c>
      <c r="P233" s="6" t="s">
        <v>937</v>
      </c>
      <c r="Q233" s="6" t="s">
        <v>538</v>
      </c>
      <c r="AC233" s="19" t="str">
        <f ca="1">HYPERLINK("#"&amp;재료비목록표!G2&amp;"!A"&amp;ROW(재료비목록표!A47),"자재   44 →")</f>
        <v>자재   44 →</v>
      </c>
    </row>
    <row r="234" spans="1:29" ht="30.6" customHeight="1" x14ac:dyDescent="0.3">
      <c r="A234" s="9"/>
      <c r="B234" s="9"/>
      <c r="C234" s="44"/>
      <c r="D234" s="45"/>
      <c r="E234" s="24"/>
      <c r="F234" s="10">
        <v>0</v>
      </c>
      <c r="G234" s="49"/>
      <c r="H234" s="58"/>
      <c r="I234" s="58"/>
      <c r="J234" s="58"/>
      <c r="K234" s="58"/>
      <c r="L234" s="58"/>
      <c r="M234" s="52"/>
      <c r="N234" s="24"/>
      <c r="O234" s="16" t="s">
        <v>596</v>
      </c>
      <c r="P234" s="6" t="s">
        <v>543</v>
      </c>
      <c r="Q234" s="6" t="s">
        <v>618</v>
      </c>
    </row>
    <row r="235" spans="1:29" ht="30.6" customHeight="1" x14ac:dyDescent="0.3">
      <c r="A235" s="9"/>
      <c r="B235" s="9"/>
      <c r="C235" s="9"/>
      <c r="D235" s="47"/>
      <c r="E235" s="33"/>
      <c r="F235" s="50"/>
      <c r="G235" s="50"/>
      <c r="H235" s="50"/>
      <c r="I235" s="50"/>
      <c r="J235" s="50"/>
      <c r="K235" s="50"/>
      <c r="L235" s="50"/>
      <c r="M235" s="50"/>
      <c r="N235" s="24"/>
    </row>
    <row r="236" spans="1:29" ht="30.6" customHeight="1" x14ac:dyDescent="0.3">
      <c r="A236" s="9"/>
      <c r="B236" s="9"/>
      <c r="C236" s="9"/>
      <c r="D236" s="47"/>
      <c r="E236" s="33"/>
      <c r="F236" s="50"/>
      <c r="G236" s="50"/>
      <c r="H236" s="50"/>
      <c r="I236" s="50"/>
      <c r="J236" s="50"/>
      <c r="K236" s="50"/>
      <c r="L236" s="50"/>
      <c r="M236" s="50"/>
      <c r="N236" s="24"/>
    </row>
    <row r="237" spans="1:29" ht="30.6" customHeight="1" x14ac:dyDescent="0.3">
      <c r="A237" s="9"/>
      <c r="B237" s="9"/>
      <c r="C237" s="9"/>
      <c r="D237" s="47"/>
      <c r="E237" s="33"/>
      <c r="F237" s="50"/>
      <c r="G237" s="50"/>
      <c r="H237" s="50"/>
      <c r="I237" s="50"/>
      <c r="J237" s="50"/>
      <c r="K237" s="50"/>
      <c r="L237" s="50"/>
      <c r="M237" s="50"/>
      <c r="N237" s="24"/>
    </row>
    <row r="238" spans="1:29" ht="30.6" customHeight="1" x14ac:dyDescent="0.3">
      <c r="A238" s="9"/>
      <c r="B238" s="9"/>
      <c r="C238" s="9"/>
      <c r="D238" s="47"/>
      <c r="E238" s="33"/>
      <c r="F238" s="50"/>
      <c r="G238" s="50"/>
      <c r="H238" s="50"/>
      <c r="I238" s="50"/>
      <c r="J238" s="50"/>
      <c r="K238" s="50"/>
      <c r="L238" s="50"/>
      <c r="M238" s="50"/>
      <c r="N238" s="24"/>
    </row>
    <row r="239" spans="1:29" ht="30.6" customHeight="1" x14ac:dyDescent="0.3">
      <c r="A239" s="9"/>
      <c r="B239" s="9"/>
      <c r="C239" s="9"/>
      <c r="D239" s="47"/>
      <c r="E239" s="33"/>
      <c r="F239" s="50"/>
      <c r="G239" s="50"/>
      <c r="H239" s="50"/>
      <c r="I239" s="50"/>
      <c r="J239" s="50"/>
      <c r="K239" s="50"/>
      <c r="L239" s="50"/>
      <c r="M239" s="50"/>
      <c r="N239" s="24"/>
    </row>
    <row r="240" spans="1:29" ht="30.6" customHeight="1" x14ac:dyDescent="0.3">
      <c r="A240" s="9"/>
      <c r="B240" s="9"/>
      <c r="C240" s="9"/>
      <c r="D240" s="47"/>
      <c r="E240" s="33"/>
      <c r="F240" s="50"/>
      <c r="G240" s="50"/>
      <c r="H240" s="50"/>
      <c r="I240" s="50"/>
      <c r="J240" s="50"/>
      <c r="K240" s="50"/>
      <c r="L240" s="50"/>
      <c r="M240" s="50"/>
      <c r="N240" s="24"/>
    </row>
    <row r="241" spans="1:29" ht="30.6" customHeight="1" x14ac:dyDescent="0.3">
      <c r="A241" s="9"/>
      <c r="B241" s="9"/>
      <c r="C241" s="9"/>
      <c r="D241" s="47"/>
      <c r="E241" s="33"/>
      <c r="F241" s="50"/>
      <c r="G241" s="50"/>
      <c r="H241" s="50"/>
      <c r="I241" s="50"/>
      <c r="J241" s="50"/>
      <c r="K241" s="50"/>
      <c r="L241" s="50"/>
      <c r="M241" s="50"/>
      <c r="N241" s="24"/>
    </row>
    <row r="242" spans="1:29" ht="30.6" customHeight="1" x14ac:dyDescent="0.3">
      <c r="A242" s="9"/>
      <c r="B242" s="9"/>
      <c r="C242" s="9"/>
      <c r="D242" s="47"/>
      <c r="E242" s="33"/>
      <c r="F242" s="50"/>
      <c r="G242" s="50"/>
      <c r="H242" s="50"/>
      <c r="I242" s="50"/>
      <c r="J242" s="50"/>
      <c r="K242" s="50"/>
      <c r="L242" s="50"/>
      <c r="M242" s="50"/>
      <c r="N242" s="24"/>
    </row>
    <row r="243" spans="1:29" ht="30.6" customHeight="1" x14ac:dyDescent="0.3">
      <c r="A243" s="9"/>
      <c r="B243" s="9"/>
      <c r="C243" s="9"/>
      <c r="D243" s="47"/>
      <c r="E243" s="33"/>
      <c r="F243" s="50"/>
      <c r="G243" s="50"/>
      <c r="H243" s="50"/>
      <c r="I243" s="50"/>
      <c r="J243" s="50"/>
      <c r="K243" s="50"/>
      <c r="L243" s="50"/>
      <c r="M243" s="50"/>
      <c r="N243" s="24"/>
    </row>
    <row r="244" spans="1:29" ht="30.6" customHeight="1" x14ac:dyDescent="0.3">
      <c r="A244" s="9"/>
      <c r="B244" s="9"/>
      <c r="C244" s="9"/>
      <c r="D244" s="47"/>
      <c r="E244" s="33"/>
      <c r="F244" s="50"/>
      <c r="G244" s="50"/>
      <c r="H244" s="50"/>
      <c r="I244" s="50"/>
      <c r="J244" s="50"/>
      <c r="K244" s="50"/>
      <c r="L244" s="50"/>
      <c r="M244" s="50"/>
      <c r="N244" s="24"/>
    </row>
    <row r="245" spans="1:29" ht="30.6" customHeight="1" x14ac:dyDescent="0.3">
      <c r="A245" s="41" t="s">
        <v>587</v>
      </c>
      <c r="B245" s="41" t="s">
        <v>570</v>
      </c>
      <c r="C245" s="43"/>
      <c r="D245" s="45"/>
      <c r="E245" s="24"/>
      <c r="F245" s="10">
        <v>0</v>
      </c>
      <c r="G245" s="54">
        <f>SUMIF(Q246:Q253,P245,G246:G253)</f>
        <v>69849380</v>
      </c>
      <c r="H245" s="12">
        <v>0</v>
      </c>
      <c r="I245" s="55">
        <f>SUMIF(Q246:Q253,P245,I246:I253)</f>
        <v>0</v>
      </c>
      <c r="J245" s="12">
        <v>0</v>
      </c>
      <c r="K245" s="61">
        <f>SUMIF(Q246:Q253,P245,K246:K253)</f>
        <v>69849380</v>
      </c>
      <c r="L245" s="23">
        <v>0</v>
      </c>
      <c r="M245" s="61">
        <f>SUMIF(Q246:Q253,P245,M246:M253)</f>
        <v>0</v>
      </c>
      <c r="N245" s="24" t="s">
        <v>944</v>
      </c>
      <c r="O245" s="36" t="str">
        <f>"_x0007_`COD|C4_x0005_`QTY1|1_x0005_`EXI|1_x0005_`ITT|0_x0005_`END|"&amp;ROW(M254)&amp;"_x0005_`"</f>
        <v>_x0007_`COD|C4_x0005_`QTY1|1_x0005_`EXI|1_x0005_`ITT|0_x0005_`END|254_x0005_`</v>
      </c>
      <c r="P245" s="6" t="s">
        <v>1037</v>
      </c>
    </row>
    <row r="246" spans="1:29" ht="30.6" customHeight="1" x14ac:dyDescent="0.3">
      <c r="A246" s="9"/>
      <c r="B246" s="9" t="s">
        <v>603</v>
      </c>
      <c r="C246" s="44" t="s">
        <v>604</v>
      </c>
      <c r="D246" s="46">
        <v>32</v>
      </c>
      <c r="E246" s="24" t="s">
        <v>445</v>
      </c>
      <c r="F246" s="53">
        <f t="shared" ref="F246:G253" si="29">J246+H246+L246</f>
        <v>102970</v>
      </c>
      <c r="G246" s="55">
        <f t="shared" si="29"/>
        <v>3295040</v>
      </c>
      <c r="H246" s="59">
        <v>0</v>
      </c>
      <c r="I246" s="23">
        <f>ROUNDDOWN(H246*D246,0)</f>
        <v>0</v>
      </c>
      <c r="J246" s="60">
        <f>재료비목록표!E40</f>
        <v>102970</v>
      </c>
      <c r="K246" s="12">
        <f>ROUNDDOWN(J246*D246,0)</f>
        <v>3295040</v>
      </c>
      <c r="L246" s="62">
        <v>0</v>
      </c>
      <c r="M246" s="23">
        <f>ROUNDDOWN(L246*D246,0)</f>
        <v>0</v>
      </c>
      <c r="N246" s="24" t="s">
        <v>1015</v>
      </c>
      <c r="O246" s="16" t="s">
        <v>1014</v>
      </c>
      <c r="P246" s="6" t="s">
        <v>943</v>
      </c>
      <c r="Q246" s="6" t="s">
        <v>1037</v>
      </c>
      <c r="AC246" s="19" t="str">
        <f ca="1">HYPERLINK("#"&amp;재료비목록표!G2&amp;"!A"&amp;ROW(재료비목록표!A40),"자재   37 →")</f>
        <v>자재   37 →</v>
      </c>
    </row>
    <row r="247" spans="1:29" ht="30.6" customHeight="1" x14ac:dyDescent="0.3">
      <c r="A247" s="9"/>
      <c r="B247" s="9" t="s">
        <v>541</v>
      </c>
      <c r="C247" s="44" t="s">
        <v>542</v>
      </c>
      <c r="D247" s="46">
        <v>212</v>
      </c>
      <c r="E247" s="24" t="s">
        <v>477</v>
      </c>
      <c r="F247" s="53">
        <f t="shared" si="29"/>
        <v>157000</v>
      </c>
      <c r="G247" s="55">
        <f t="shared" si="29"/>
        <v>33284000</v>
      </c>
      <c r="H247" s="59">
        <v>0</v>
      </c>
      <c r="I247" s="23">
        <f>ROUNDDOWN(H247*D247,0)</f>
        <v>0</v>
      </c>
      <c r="J247" s="60">
        <f>재료비목록표!E26</f>
        <v>157000</v>
      </c>
      <c r="K247" s="12">
        <f>ROUNDDOWN(J247*D247,0)</f>
        <v>33284000</v>
      </c>
      <c r="L247" s="62">
        <v>0</v>
      </c>
      <c r="M247" s="23">
        <f>ROUNDDOWN(L247*D247,0)</f>
        <v>0</v>
      </c>
      <c r="N247" s="24" t="s">
        <v>1018</v>
      </c>
      <c r="O247" s="16" t="s">
        <v>1017</v>
      </c>
      <c r="P247" s="6" t="s">
        <v>1016</v>
      </c>
      <c r="Q247" s="6" t="s">
        <v>1037</v>
      </c>
      <c r="AC247" s="19" t="str">
        <f ca="1">HYPERLINK("#"&amp;재료비목록표!G2&amp;"!A"&amp;ROW(재료비목록표!A26),"자재   23 →")</f>
        <v>자재   23 →</v>
      </c>
    </row>
    <row r="248" spans="1:29" ht="30.6" customHeight="1" x14ac:dyDescent="0.3">
      <c r="A248" s="9"/>
      <c r="B248" s="9" t="s">
        <v>541</v>
      </c>
      <c r="C248" s="44" t="s">
        <v>551</v>
      </c>
      <c r="D248" s="46">
        <v>132</v>
      </c>
      <c r="E248" s="24" t="s">
        <v>477</v>
      </c>
      <c r="F248" s="53">
        <f t="shared" si="29"/>
        <v>196270</v>
      </c>
      <c r="G248" s="55">
        <f t="shared" si="29"/>
        <v>25907640</v>
      </c>
      <c r="H248" s="59">
        <v>0</v>
      </c>
      <c r="I248" s="23">
        <f>ROUNDDOWN(H248*D248,0)</f>
        <v>0</v>
      </c>
      <c r="J248" s="60">
        <f>재료비목록표!E28</f>
        <v>196270</v>
      </c>
      <c r="K248" s="12">
        <f>ROUNDDOWN(J248*D248,0)</f>
        <v>25907640</v>
      </c>
      <c r="L248" s="62">
        <v>0</v>
      </c>
      <c r="M248" s="23">
        <f>ROUNDDOWN(L248*D248,0)</f>
        <v>0</v>
      </c>
      <c r="N248" s="24" t="s">
        <v>1021</v>
      </c>
      <c r="O248" s="16" t="s">
        <v>1020</v>
      </c>
      <c r="P248" s="6" t="s">
        <v>1019</v>
      </c>
      <c r="Q248" s="6" t="s">
        <v>1037</v>
      </c>
      <c r="AC248" s="19" t="str">
        <f ca="1">HYPERLINK("#"&amp;재료비목록표!G2&amp;"!A"&amp;ROW(재료비목록표!A28),"자재   25 →")</f>
        <v>자재   25 →</v>
      </c>
    </row>
    <row r="249" spans="1:29" ht="30.6" customHeight="1" x14ac:dyDescent="0.3">
      <c r="A249" s="9"/>
      <c r="B249" s="9" t="s">
        <v>541</v>
      </c>
      <c r="C249" s="44" t="s">
        <v>608</v>
      </c>
      <c r="D249" s="46">
        <v>22</v>
      </c>
      <c r="E249" s="24" t="s">
        <v>477</v>
      </c>
      <c r="F249" s="53">
        <f t="shared" si="29"/>
        <v>273370</v>
      </c>
      <c r="G249" s="55">
        <f t="shared" si="29"/>
        <v>6014140</v>
      </c>
      <c r="H249" s="59">
        <v>0</v>
      </c>
      <c r="I249" s="23">
        <f>ROUNDDOWN(H249*D249,0)</f>
        <v>0</v>
      </c>
      <c r="J249" s="60">
        <f>재료비목록표!E41</f>
        <v>273370</v>
      </c>
      <c r="K249" s="12">
        <f>ROUNDDOWN(J249*D249,0)</f>
        <v>6014140</v>
      </c>
      <c r="L249" s="62">
        <v>0</v>
      </c>
      <c r="M249" s="23">
        <f>ROUNDDOWN(L249*D249,0)</f>
        <v>0</v>
      </c>
      <c r="N249" s="24" t="s">
        <v>1024</v>
      </c>
      <c r="O249" s="16" t="s">
        <v>1023</v>
      </c>
      <c r="P249" s="6" t="s">
        <v>1022</v>
      </c>
      <c r="Q249" s="6" t="s">
        <v>1037</v>
      </c>
      <c r="AC249" s="19" t="str">
        <f ca="1">HYPERLINK("#"&amp;재료비목록표!G2&amp;"!A"&amp;ROW(재료비목록표!A41),"자재   38 →")</f>
        <v>자재   38 →</v>
      </c>
    </row>
    <row r="250" spans="1:29" ht="30.6" customHeight="1" x14ac:dyDescent="0.3">
      <c r="A250" s="9"/>
      <c r="B250" s="9" t="s">
        <v>573</v>
      </c>
      <c r="C250" s="44" t="s">
        <v>574</v>
      </c>
      <c r="D250" s="46">
        <v>22</v>
      </c>
      <c r="E250" s="24" t="s">
        <v>461</v>
      </c>
      <c r="F250" s="53">
        <f t="shared" si="29"/>
        <v>21200</v>
      </c>
      <c r="G250" s="55">
        <f t="shared" si="29"/>
        <v>466400</v>
      </c>
      <c r="H250" s="59">
        <v>0</v>
      </c>
      <c r="I250" s="23">
        <f>ROUNDDOWN(H250*D250,0)</f>
        <v>0</v>
      </c>
      <c r="J250" s="60">
        <f>재료비목록표!E33</f>
        <v>21200</v>
      </c>
      <c r="K250" s="12">
        <f>ROUNDDOWN(J250*D250,0)</f>
        <v>466400</v>
      </c>
      <c r="L250" s="62">
        <v>0</v>
      </c>
      <c r="M250" s="23">
        <f>ROUNDDOWN(L250*D250,0)</f>
        <v>0</v>
      </c>
      <c r="N250" s="24" t="s">
        <v>1027</v>
      </c>
      <c r="O250" s="16" t="s">
        <v>1026</v>
      </c>
      <c r="P250" s="6" t="s">
        <v>1025</v>
      </c>
      <c r="Q250" s="6" t="s">
        <v>1037</v>
      </c>
      <c r="AC250" s="19" t="str">
        <f ca="1">HYPERLINK("#"&amp;재료비목록표!G2&amp;"!A"&amp;ROW(재료비목록표!A33),"자재   30 →")</f>
        <v>자재   30 →</v>
      </c>
    </row>
    <row r="251" spans="1:29" ht="30.6" customHeight="1" x14ac:dyDescent="0.3">
      <c r="A251" s="9"/>
      <c r="B251" s="9" t="s">
        <v>573</v>
      </c>
      <c r="C251" s="44" t="s">
        <v>578</v>
      </c>
      <c r="D251" s="46">
        <v>12</v>
      </c>
      <c r="E251" s="24" t="s">
        <v>461</v>
      </c>
      <c r="F251" s="53">
        <f t="shared" si="29"/>
        <v>32200</v>
      </c>
      <c r="G251" s="55">
        <f t="shared" si="29"/>
        <v>386400</v>
      </c>
      <c r="H251" s="59">
        <v>0</v>
      </c>
      <c r="I251" s="23">
        <f>ROUNDDOWN(H251*D251,0)</f>
        <v>0</v>
      </c>
      <c r="J251" s="60">
        <f>재료비목록표!E34</f>
        <v>32200</v>
      </c>
      <c r="K251" s="12">
        <f>ROUNDDOWN(J251*D251,0)</f>
        <v>386400</v>
      </c>
      <c r="L251" s="62">
        <v>0</v>
      </c>
      <c r="M251" s="23">
        <f>ROUNDDOWN(L251*D251,0)</f>
        <v>0</v>
      </c>
      <c r="N251" s="24" t="s">
        <v>1030</v>
      </c>
      <c r="O251" s="16" t="s">
        <v>1029</v>
      </c>
      <c r="P251" s="6" t="s">
        <v>1028</v>
      </c>
      <c r="Q251" s="6" t="s">
        <v>1037</v>
      </c>
      <c r="AC251" s="19" t="str">
        <f ca="1">HYPERLINK("#"&amp;재료비목록표!G2&amp;"!A"&amp;ROW(재료비목록표!A34),"자재   31 →")</f>
        <v>자재   31 →</v>
      </c>
    </row>
    <row r="252" spans="1:29" ht="30.6" customHeight="1" x14ac:dyDescent="0.3">
      <c r="A252" s="9"/>
      <c r="B252" s="9" t="s">
        <v>573</v>
      </c>
      <c r="C252" s="44" t="s">
        <v>612</v>
      </c>
      <c r="D252" s="46">
        <v>3</v>
      </c>
      <c r="E252" s="24" t="s">
        <v>461</v>
      </c>
      <c r="F252" s="53">
        <f t="shared" si="29"/>
        <v>40200</v>
      </c>
      <c r="G252" s="55">
        <f t="shared" si="29"/>
        <v>120600</v>
      </c>
      <c r="H252" s="59">
        <v>0</v>
      </c>
      <c r="I252" s="23">
        <f>ROUNDDOWN(H252*D252,0)</f>
        <v>0</v>
      </c>
      <c r="J252" s="60">
        <f>재료비목록표!E42</f>
        <v>40200</v>
      </c>
      <c r="K252" s="12">
        <f>ROUNDDOWN(J252*D252,0)</f>
        <v>120600</v>
      </c>
      <c r="L252" s="62">
        <v>0</v>
      </c>
      <c r="M252" s="23">
        <f>ROUNDDOWN(L252*D252,0)</f>
        <v>0</v>
      </c>
      <c r="N252" s="24" t="s">
        <v>1033</v>
      </c>
      <c r="O252" s="16" t="s">
        <v>1032</v>
      </c>
      <c r="P252" s="6" t="s">
        <v>1031</v>
      </c>
      <c r="Q252" s="6" t="s">
        <v>1037</v>
      </c>
      <c r="AC252" s="19" t="str">
        <f ca="1">HYPERLINK("#"&amp;재료비목록표!G2&amp;"!A"&amp;ROW(재료비목록표!A42),"자재   39 →")</f>
        <v>자재   39 →</v>
      </c>
    </row>
    <row r="253" spans="1:29" ht="30.6" customHeight="1" x14ac:dyDescent="0.3">
      <c r="A253" s="9"/>
      <c r="B253" s="9" t="s">
        <v>492</v>
      </c>
      <c r="C253" s="44" t="s">
        <v>493</v>
      </c>
      <c r="D253" s="46">
        <v>0.54</v>
      </c>
      <c r="E253" s="24" t="s">
        <v>483</v>
      </c>
      <c r="F253" s="53">
        <f t="shared" si="29"/>
        <v>69474220</v>
      </c>
      <c r="G253" s="55">
        <f t="shared" si="29"/>
        <v>375160</v>
      </c>
      <c r="H253" s="59">
        <v>0</v>
      </c>
      <c r="I253" s="10">
        <f>ROUNDDOWN(H253*D253/100,0)</f>
        <v>0</v>
      </c>
      <c r="J253" s="59">
        <v>69474220</v>
      </c>
      <c r="K253" s="23">
        <f>ROUNDDOWN(J253*D253/100,0)</f>
        <v>375160</v>
      </c>
      <c r="L253" s="62">
        <v>0</v>
      </c>
      <c r="M253" s="23">
        <f>ROUNDDOWN(L253*D253/100,0)</f>
        <v>0</v>
      </c>
      <c r="N253" s="24" t="s">
        <v>1036</v>
      </c>
      <c r="O253" s="16" t="s">
        <v>1035</v>
      </c>
      <c r="P253" s="6" t="s">
        <v>1034</v>
      </c>
      <c r="Q253" s="6" t="s">
        <v>1037</v>
      </c>
      <c r="AC253" s="19" t="str">
        <f ca="1">HYPERLINK("#"&amp;재료비목록표!G2&amp;"!A"&amp;ROW(재료비목록표!A15),"자재   12 →")</f>
        <v>자재   12 →</v>
      </c>
    </row>
    <row r="254" spans="1:29" hidden="1" x14ac:dyDescent="0.3">
      <c r="G254" s="56">
        <f>SUMIF(Q5:Q253,"E10_1",G5:G253)</f>
        <v>628516376</v>
      </c>
      <c r="I254" s="56">
        <f>SUMIF(Q5:Q253,"E10_1",I5:I253)</f>
        <v>306868931</v>
      </c>
      <c r="K254" s="56">
        <f>SUMIF(Q5:Q253,"E10_1",K5:K253)</f>
        <v>171849367</v>
      </c>
      <c r="M254" s="56">
        <f>SUMIF(Q5:Q253,"E10_1",M5:M253)</f>
        <v>149798078</v>
      </c>
    </row>
    <row r="255" spans="1:29" ht="30.6" customHeight="1" x14ac:dyDescent="0.3">
      <c r="A255" s="42"/>
      <c r="B255" s="42"/>
      <c r="C255" s="42"/>
      <c r="D255" s="48"/>
      <c r="E255" s="26"/>
      <c r="F255" s="51"/>
      <c r="G255" s="51"/>
      <c r="H255" s="51"/>
      <c r="I255" s="51"/>
      <c r="J255" s="51"/>
      <c r="K255" s="51"/>
      <c r="L255" s="51"/>
      <c r="M255" s="51"/>
      <c r="N255" s="13"/>
    </row>
    <row r="256" spans="1:29" ht="30.6" customHeight="1" x14ac:dyDescent="0.3">
      <c r="A256" s="9"/>
      <c r="B256" s="9"/>
      <c r="C256" s="9"/>
      <c r="D256" s="47"/>
      <c r="E256" s="33"/>
      <c r="F256" s="50"/>
      <c r="G256" s="50"/>
      <c r="H256" s="50"/>
      <c r="I256" s="50"/>
      <c r="J256" s="50"/>
      <c r="K256" s="50"/>
      <c r="L256" s="50"/>
      <c r="M256" s="50"/>
      <c r="N256" s="24"/>
    </row>
    <row r="257" spans="1:14" ht="30.6" customHeight="1" x14ac:dyDescent="0.3">
      <c r="A257" s="9"/>
      <c r="B257" s="9"/>
      <c r="C257" s="9"/>
      <c r="D257" s="47"/>
      <c r="E257" s="33"/>
      <c r="F257" s="50"/>
      <c r="G257" s="50"/>
      <c r="H257" s="50"/>
      <c r="I257" s="50"/>
      <c r="J257" s="50"/>
      <c r="K257" s="50"/>
      <c r="L257" s="50"/>
      <c r="M257" s="50"/>
      <c r="N257" s="24"/>
    </row>
    <row r="258" spans="1:14" ht="30.6" customHeight="1" x14ac:dyDescent="0.3">
      <c r="A258" s="9"/>
      <c r="B258" s="9"/>
      <c r="C258" s="9"/>
      <c r="D258" s="47"/>
      <c r="E258" s="33"/>
      <c r="F258" s="50"/>
      <c r="G258" s="50"/>
      <c r="H258" s="50"/>
      <c r="I258" s="50"/>
      <c r="J258" s="50"/>
      <c r="K258" s="50"/>
      <c r="L258" s="50"/>
      <c r="M258" s="50"/>
      <c r="N258" s="24"/>
    </row>
    <row r="259" spans="1:14" ht="30.6" customHeight="1" x14ac:dyDescent="0.3">
      <c r="A259" s="9"/>
      <c r="B259" s="9"/>
      <c r="C259" s="9"/>
      <c r="D259" s="47"/>
      <c r="E259" s="33"/>
      <c r="F259" s="50"/>
      <c r="G259" s="50"/>
      <c r="H259" s="50"/>
      <c r="I259" s="50"/>
      <c r="J259" s="50"/>
      <c r="K259" s="50"/>
      <c r="L259" s="50"/>
      <c r="M259" s="50"/>
      <c r="N259" s="24"/>
    </row>
    <row r="260" spans="1:14" ht="30.6" customHeight="1" x14ac:dyDescent="0.3">
      <c r="A260" s="9"/>
      <c r="B260" s="9"/>
      <c r="C260" s="9"/>
      <c r="D260" s="47"/>
      <c r="E260" s="33"/>
      <c r="F260" s="50"/>
      <c r="G260" s="50"/>
      <c r="H260" s="50"/>
      <c r="I260" s="50"/>
      <c r="J260" s="50"/>
      <c r="K260" s="50"/>
      <c r="L260" s="50"/>
      <c r="M260" s="50"/>
      <c r="N260" s="24"/>
    </row>
    <row r="261" spans="1:14" ht="30.6" customHeight="1" x14ac:dyDescent="0.3">
      <c r="A261" s="9"/>
      <c r="B261" s="9"/>
      <c r="C261" s="9"/>
      <c r="D261" s="47"/>
      <c r="E261" s="33"/>
      <c r="F261" s="50"/>
      <c r="G261" s="50"/>
      <c r="H261" s="50"/>
      <c r="I261" s="50"/>
      <c r="J261" s="50"/>
      <c r="K261" s="50"/>
      <c r="L261" s="50"/>
      <c r="M261" s="50"/>
      <c r="N261" s="24"/>
    </row>
    <row r="262" spans="1:14" ht="30.6" customHeight="1" x14ac:dyDescent="0.3">
      <c r="A262" s="9"/>
      <c r="B262" s="9"/>
      <c r="C262" s="9"/>
      <c r="D262" s="47"/>
      <c r="E262" s="33"/>
      <c r="F262" s="50"/>
      <c r="G262" s="50"/>
      <c r="H262" s="50"/>
      <c r="I262" s="50"/>
      <c r="J262" s="50"/>
      <c r="K262" s="50"/>
      <c r="L262" s="50"/>
      <c r="M262" s="50"/>
      <c r="N262" s="24"/>
    </row>
    <row r="263" spans="1:14" ht="30.6" customHeight="1" x14ac:dyDescent="0.3">
      <c r="A263" s="9"/>
      <c r="B263" s="9"/>
      <c r="C263" s="9"/>
      <c r="D263" s="47"/>
      <c r="E263" s="33"/>
      <c r="F263" s="50"/>
      <c r="G263" s="50"/>
      <c r="H263" s="50"/>
      <c r="I263" s="50"/>
      <c r="J263" s="50"/>
      <c r="K263" s="50"/>
      <c r="L263" s="50"/>
      <c r="M263" s="50"/>
      <c r="N263" s="24"/>
    </row>
    <row r="264" spans="1:14" ht="30.6" customHeight="1" x14ac:dyDescent="0.3">
      <c r="A264" s="9"/>
      <c r="B264" s="9"/>
      <c r="C264" s="9"/>
      <c r="D264" s="47"/>
      <c r="E264" s="33"/>
      <c r="F264" s="50"/>
      <c r="G264" s="50"/>
      <c r="H264" s="50"/>
      <c r="I264" s="50"/>
      <c r="J264" s="50"/>
      <c r="K264" s="50"/>
      <c r="L264" s="50"/>
      <c r="M264" s="50"/>
      <c r="N264" s="24"/>
    </row>
    <row r="265" spans="1:14" ht="30.6" customHeight="1" x14ac:dyDescent="0.3">
      <c r="A265" s="9"/>
      <c r="B265" s="9"/>
      <c r="C265" s="9"/>
      <c r="D265" s="47"/>
      <c r="E265" s="33"/>
      <c r="F265" s="50"/>
      <c r="G265" s="50"/>
      <c r="H265" s="50"/>
      <c r="I265" s="50"/>
      <c r="J265" s="50"/>
      <c r="K265" s="50"/>
      <c r="L265" s="50"/>
      <c r="M265" s="50"/>
      <c r="N265" s="24"/>
    </row>
  </sheetData>
  <mergeCells count="11">
    <mergeCell ref="L3:M3"/>
    <mergeCell ref="N3:N4"/>
    <mergeCell ref="A1:N1"/>
    <mergeCell ref="A3:A4"/>
    <mergeCell ref="B3:B4"/>
    <mergeCell ref="C3:C4"/>
    <mergeCell ref="D3:D4"/>
    <mergeCell ref="E3:E4"/>
    <mergeCell ref="F3:G3"/>
    <mergeCell ref="H3:I3"/>
    <mergeCell ref="J3:K3"/>
  </mergeCells>
  <phoneticPr fontId="23" type="noConversion"/>
  <conditionalFormatting sqref="D5:D265">
    <cfRule type="expression" dxfId="5" priority="1" stopIfTrue="1">
      <formula>AND(D5&lt;&gt;0,INT(D5)=D5)</formula>
    </cfRule>
  </conditionalFormatting>
  <conditionalFormatting sqref="F5:N265">
    <cfRule type="expression" dxfId="4" priority="2" stopIfTrue="1">
      <formula>AND(F5&lt;&gt;0,INT(F5)=F5)</formula>
    </cfRule>
  </conditionalFormatting>
  <hyperlinks>
    <hyperlink ref="AC1" r:id="rId1" tooltip="설계예산시스템(STmate w24.04)으로 작성 하였으며,_x000a_엑셀 인쇄품질 600 dpi에 최적화 되어 있습니다._x000a_경영정보(주) http://www.stma.co.kr_x000a_Tel) 070-4350-0040_x000a_Fax) 0505-300-3948"/>
    <hyperlink ref="O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일위대가목록표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12</v>
      </c>
      <c r="C4" s="9" t="s">
        <v>13</v>
      </c>
      <c r="D4" s="8" t="s">
        <v>14</v>
      </c>
      <c r="E4" s="55">
        <f>일위대가표!F11</f>
        <v>109259</v>
      </c>
      <c r="F4" s="54">
        <f>일위대가표!H11</f>
        <v>109259</v>
      </c>
      <c r="G4" s="63">
        <f>일위대가표!J11</f>
        <v>0</v>
      </c>
      <c r="H4" s="55">
        <f>일위대가표!L11</f>
        <v>0</v>
      </c>
      <c r="I4" s="14" t="s">
        <v>11</v>
      </c>
      <c r="J4" s="36" t="str">
        <f>"_x0007_`COD|B00049_x0005_`QTY1|1_x0005_`BQC|_x0005_`EQC|_x0005_`JDC|_x0005_`WQC|_x0005_`EDT|_x0005_`ADJ|F_x0005_`NAG|0_x0005_`UC|F_x0005_`DET|"&amp;ROW(일위대가표!A5)&amp;"_x0005_`"</f>
        <v>_x0007_`COD|B00049_x0005_`QTY1|1_x0005_`BQC|_x0005_`EQC|_x0005_`JDC|_x0005_`WQC|_x0005_`EDT|_x0005_`ADJ|F_x0005_`NAG|0_x0005_`UC|F_x0005_`DET|5_x0005_`</v>
      </c>
      <c r="K4" s="19" t="str">
        <f ca="1">HYPERLINK("#"&amp;일위대가표!N2&amp;"!A"&amp;ROW(일위대가표!A5),"대가    1 →")</f>
        <v>대가    1 →</v>
      </c>
    </row>
    <row r="5" spans="1:11" ht="22.35" customHeight="1" x14ac:dyDescent="0.3">
      <c r="A5" s="8" t="s">
        <v>17</v>
      </c>
      <c r="B5" s="9" t="s">
        <v>18</v>
      </c>
      <c r="C5" s="9" t="s">
        <v>19</v>
      </c>
      <c r="D5" s="8" t="s">
        <v>20</v>
      </c>
      <c r="E5" s="55">
        <f>일위대가표!F15</f>
        <v>20714</v>
      </c>
      <c r="F5" s="54">
        <f>일위대가표!H15</f>
        <v>20714</v>
      </c>
      <c r="G5" s="63">
        <f>일위대가표!J15</f>
        <v>0</v>
      </c>
      <c r="H5" s="55">
        <f>일위대가표!L15</f>
        <v>0</v>
      </c>
      <c r="I5" s="14" t="s">
        <v>17</v>
      </c>
      <c r="J5" s="36" t="str">
        <f>"_x0007_`COD|B00135_x0005_`QTY1|1_x0005_`BQC|_x0005_`EQC|_x0005_`JDC|_x0005_`WQC|_x0005_`EDT|_x0005_`ADJ|F_x0005_`NAG|0_x0005_`UC|F_x0005_`DET|"&amp;ROW(일위대가표!A12)&amp;"_x0005_`"</f>
        <v>_x0007_`COD|B00135_x0005_`QTY1|1_x0005_`BQC|_x0005_`EQC|_x0005_`JDC|_x0005_`WQC|_x0005_`EDT|_x0005_`ADJ|F_x0005_`NAG|0_x0005_`UC|F_x0005_`DET|12_x0005_`</v>
      </c>
      <c r="K5" s="19" t="str">
        <f ca="1">HYPERLINK("#"&amp;일위대가표!N2&amp;"!A"&amp;ROW(일위대가표!A12),"대가    2 →")</f>
        <v>대가    2 →</v>
      </c>
    </row>
    <row r="6" spans="1:11" ht="22.35" customHeight="1" x14ac:dyDescent="0.3">
      <c r="A6" s="8" t="s">
        <v>23</v>
      </c>
      <c r="B6" s="9" t="s">
        <v>24</v>
      </c>
      <c r="C6" s="9" t="s">
        <v>25</v>
      </c>
      <c r="D6" s="8" t="s">
        <v>26</v>
      </c>
      <c r="E6" s="55">
        <f>일위대가표!F22</f>
        <v>52995</v>
      </c>
      <c r="F6" s="54">
        <f>일위대가표!H22</f>
        <v>39641</v>
      </c>
      <c r="G6" s="63">
        <f>일위대가표!J22</f>
        <v>4939</v>
      </c>
      <c r="H6" s="55">
        <f>일위대가표!L22</f>
        <v>8415</v>
      </c>
      <c r="I6" s="14" t="s">
        <v>23</v>
      </c>
      <c r="J6" s="36" t="str">
        <f>"_x0007_`COD|B00353_x0005_`QTY1|1_x0005_`BQC|품_x0005_`EQC|_x0005_`JDC|_x0005_`WQC|_x0005_`EDT|_x0005_`ADJ|F_x0005_`NAG|0_x0005_`UC|F_x0005_`DET|"&amp;ROW(일위대가표!A16)&amp;"_x0005_`"</f>
        <v>_x0007_`COD|B00353_x0005_`QTY1|1_x0005_`BQC|품_x0005_`EQC|_x0005_`JDC|_x0005_`WQC|_x0005_`EDT|_x0005_`ADJ|F_x0005_`NAG|0_x0005_`UC|F_x0005_`DET|16_x0005_`</v>
      </c>
      <c r="K6" s="19" t="str">
        <f ca="1">HYPERLINK("#"&amp;일위대가표!N2&amp;"!A"&amp;ROW(일위대가표!A16),"대가    3 →")</f>
        <v>대가    3 →</v>
      </c>
    </row>
    <row r="7" spans="1:11" ht="22.35" customHeight="1" x14ac:dyDescent="0.3">
      <c r="A7" s="8" t="s">
        <v>29</v>
      </c>
      <c r="B7" s="9" t="s">
        <v>30</v>
      </c>
      <c r="C7" s="9" t="s">
        <v>25</v>
      </c>
      <c r="D7" s="8" t="s">
        <v>26</v>
      </c>
      <c r="E7" s="55">
        <f>일위대가표!F29</f>
        <v>52943</v>
      </c>
      <c r="F7" s="54">
        <f>일위대가표!H29</f>
        <v>42556</v>
      </c>
      <c r="G7" s="63">
        <f>일위대가표!J29</f>
        <v>3842</v>
      </c>
      <c r="H7" s="55">
        <f>일위대가표!L29</f>
        <v>6545</v>
      </c>
      <c r="I7" s="14" t="s">
        <v>29</v>
      </c>
      <c r="J7" s="36" t="str">
        <f>"_x0007_`COD|B00839_x0005_`QTY1|1_x0005_`BQC|품_x0005_`EQC|_x0005_`JDC|_x0005_`WQC|_x0005_`EDT|_x0005_`ADJ|F_x0005_`NAG|0_x0005_`UC|F_x0005_`DET|"&amp;ROW(일위대가표!A23)&amp;"_x0005_`"</f>
        <v>_x0007_`COD|B00839_x0005_`QTY1|1_x0005_`BQC|품_x0005_`EQC|_x0005_`JDC|_x0005_`WQC|_x0005_`EDT|_x0005_`ADJ|F_x0005_`NAG|0_x0005_`UC|F_x0005_`DET|23_x0005_`</v>
      </c>
      <c r="K7" s="19" t="str">
        <f ca="1">HYPERLINK("#"&amp;일위대가표!N2&amp;"!A"&amp;ROW(일위대가표!A23),"대가    4 →")</f>
        <v>대가    4 →</v>
      </c>
    </row>
    <row r="8" spans="1:11" ht="22.35" customHeight="1" x14ac:dyDescent="0.3">
      <c r="A8" s="8" t="s">
        <v>33</v>
      </c>
      <c r="B8" s="9" t="s">
        <v>30</v>
      </c>
      <c r="C8" s="9" t="s">
        <v>34</v>
      </c>
      <c r="D8" s="8" t="s">
        <v>26</v>
      </c>
      <c r="E8" s="55">
        <f>일위대가표!F36</f>
        <v>58239</v>
      </c>
      <c r="F8" s="54">
        <f>일위대가표!H36</f>
        <v>47358</v>
      </c>
      <c r="G8" s="63">
        <f>일위대가표!J36</f>
        <v>4025</v>
      </c>
      <c r="H8" s="55">
        <f>일위대가표!L36</f>
        <v>6856</v>
      </c>
      <c r="I8" s="14" t="s">
        <v>33</v>
      </c>
      <c r="J8" s="36" t="str">
        <f>"_x0007_`COD|B00866_x0005_`QTY1|1_x0005_`BQC|품_x0005_`EQC|_x0005_`JDC|_x0005_`WQC|_x0005_`EDT|_x0005_`ADJ|F_x0005_`NAG|0_x0005_`UC|F_x0005_`DET|"&amp;ROW(일위대가표!A30)&amp;"_x0005_`"</f>
        <v>_x0007_`COD|B00866_x0005_`QTY1|1_x0005_`BQC|품_x0005_`EQC|_x0005_`JDC|_x0005_`WQC|_x0005_`EDT|_x0005_`ADJ|F_x0005_`NAG|0_x0005_`UC|F_x0005_`DET|30_x0005_`</v>
      </c>
      <c r="K8" s="19" t="str">
        <f ca="1">HYPERLINK("#"&amp;일위대가표!N2&amp;"!A"&amp;ROW(일위대가표!A30),"대가    5 →")</f>
        <v>대가    5 →</v>
      </c>
    </row>
    <row r="9" spans="1:11" ht="22.35" customHeight="1" x14ac:dyDescent="0.3">
      <c r="A9" s="8" t="s">
        <v>37</v>
      </c>
      <c r="B9" s="9" t="s">
        <v>38</v>
      </c>
      <c r="C9" s="9" t="s">
        <v>25</v>
      </c>
      <c r="D9" s="8" t="s">
        <v>26</v>
      </c>
      <c r="E9" s="55">
        <f>일위대가표!F43</f>
        <v>68835</v>
      </c>
      <c r="F9" s="54">
        <f>일위대가표!H43</f>
        <v>50534</v>
      </c>
      <c r="G9" s="63">
        <f>일위대가표!J43</f>
        <v>6769</v>
      </c>
      <c r="H9" s="55">
        <f>일위대가표!L43</f>
        <v>11532</v>
      </c>
      <c r="I9" s="14" t="s">
        <v>37</v>
      </c>
      <c r="J9" s="36" t="str">
        <f>"_x0007_`COD|B00884_x0005_`QTY1|1_x0005_`BQC|품_x0005_`EQC|_x0005_`JDC|_x0005_`WQC|_x0005_`EDT|_x0005_`ADJ|F_x0005_`NAG|0_x0005_`UC|F_x0005_`DET|"&amp;ROW(일위대가표!A37)&amp;"_x0005_`"</f>
        <v>_x0007_`COD|B00884_x0005_`QTY1|1_x0005_`BQC|품_x0005_`EQC|_x0005_`JDC|_x0005_`WQC|_x0005_`EDT|_x0005_`ADJ|F_x0005_`NAG|0_x0005_`UC|F_x0005_`DET|37_x0005_`</v>
      </c>
      <c r="K9" s="19" t="str">
        <f ca="1">HYPERLINK("#"&amp;일위대가표!N2&amp;"!A"&amp;ROW(일위대가표!A37),"대가    6 →")</f>
        <v>대가    6 →</v>
      </c>
    </row>
    <row r="10" spans="1:11" ht="22.35" customHeight="1" x14ac:dyDescent="0.3">
      <c r="A10" s="8" t="s">
        <v>41</v>
      </c>
      <c r="B10" s="9" t="s">
        <v>42</v>
      </c>
      <c r="C10" s="9" t="s">
        <v>43</v>
      </c>
      <c r="D10" s="8" t="s">
        <v>14</v>
      </c>
      <c r="E10" s="55">
        <f>일위대가표!F53</f>
        <v>122871</v>
      </c>
      <c r="F10" s="54">
        <f>일위대가표!H53</f>
        <v>121559</v>
      </c>
      <c r="G10" s="63">
        <f>일위대가표!J53</f>
        <v>1008</v>
      </c>
      <c r="H10" s="55">
        <f>일위대가표!L53</f>
        <v>304</v>
      </c>
      <c r="I10" s="14" t="s">
        <v>41</v>
      </c>
      <c r="J10" s="36" t="str">
        <f>"_x0007_`COD|B01190_x0005_`QTY1|1_x0005_`BQC|_x0005_`EQC|_x0005_`JDC|_x0005_`WQC|_x0005_`EDT|_x0005_`ADJ|F_x0005_`NAG|0_x0005_`UC|F_x0005_`DET|"&amp;ROW(일위대가표!A44)&amp;"_x0005_`"</f>
        <v>_x0007_`COD|B01190_x0005_`QTY1|1_x0005_`BQC|_x0005_`EQC|_x0005_`JDC|_x0005_`WQC|_x0005_`EDT|_x0005_`ADJ|F_x0005_`NAG|0_x0005_`UC|F_x0005_`DET|44_x0005_`</v>
      </c>
      <c r="K10" s="19" t="str">
        <f ca="1">HYPERLINK("#"&amp;일위대가표!N2&amp;"!A"&amp;ROW(일위대가표!A44),"대가    7 →")</f>
        <v>대가    7 →</v>
      </c>
    </row>
    <row r="11" spans="1:11" ht="22.35" customHeight="1" x14ac:dyDescent="0.3">
      <c r="A11" s="8" t="s">
        <v>46</v>
      </c>
      <c r="B11" s="9" t="s">
        <v>47</v>
      </c>
      <c r="C11" s="9" t="s">
        <v>25</v>
      </c>
      <c r="D11" s="8" t="s">
        <v>26</v>
      </c>
      <c r="E11" s="55">
        <f>일위대가표!F60</f>
        <v>61277</v>
      </c>
      <c r="F11" s="54">
        <f>일위대가표!H60</f>
        <v>49406</v>
      </c>
      <c r="G11" s="63">
        <f>일위대가표!J60</f>
        <v>4391</v>
      </c>
      <c r="H11" s="55">
        <f>일위대가표!L60</f>
        <v>7480</v>
      </c>
      <c r="I11" s="14" t="s">
        <v>46</v>
      </c>
      <c r="J11" s="36" t="str">
        <f>"_x0007_`COD|B01198_x0005_`QTY1|1_x0005_`BQC|품_x0005_`EQC|_x0005_`JDC|_x0005_`WQC|_x0005_`EDT|_x0005_`ADJ|F_x0005_`NAG|0_x0005_`UC|F_x0005_`DET|"&amp;ROW(일위대가표!A54)&amp;"_x0005_`"</f>
        <v>_x0007_`COD|B01198_x0005_`QTY1|1_x0005_`BQC|품_x0005_`EQC|_x0005_`JDC|_x0005_`WQC|_x0005_`EDT|_x0005_`ADJ|F_x0005_`NAG|0_x0005_`UC|F_x0005_`DET|54_x0005_`</v>
      </c>
      <c r="K11" s="19" t="str">
        <f ca="1">HYPERLINK("#"&amp;일위대가표!N2&amp;"!A"&amp;ROW(일위대가표!A54),"대가    8 →")</f>
        <v>대가    8 →</v>
      </c>
    </row>
    <row r="12" spans="1:11" ht="22.35" customHeight="1" x14ac:dyDescent="0.3">
      <c r="A12" s="8" t="s">
        <v>50</v>
      </c>
      <c r="B12" s="9" t="s">
        <v>51</v>
      </c>
      <c r="C12" s="9" t="s">
        <v>52</v>
      </c>
      <c r="D12" s="8" t="s">
        <v>53</v>
      </c>
      <c r="E12" s="55">
        <f>일위대가표!F69</f>
        <v>22851</v>
      </c>
      <c r="F12" s="54">
        <f>일위대가표!H69</f>
        <v>19413</v>
      </c>
      <c r="G12" s="63">
        <f>일위대가표!J69</f>
        <v>3438</v>
      </c>
      <c r="H12" s="55">
        <f>일위대가표!L69</f>
        <v>0</v>
      </c>
      <c r="I12" s="14" t="s">
        <v>50</v>
      </c>
      <c r="J12" s="36" t="str">
        <f>"_x0007_`COD|B01209_x0005_`QTY1|1_x0005_`BQC|_x0005_`EQC|_x0005_`JDC|_x0005_`WQC|_x0005_`EDT|_x0005_`ADJ|F_x0005_`NAG|88.5_x0005_`UC|T_x0005_`DET|"&amp;ROW(일위대가표!A61)&amp;"_x0005_`"</f>
        <v>_x0007_`COD|B01209_x0005_`QTY1|1_x0005_`BQC|_x0005_`EQC|_x0005_`JDC|_x0005_`WQC|_x0005_`EDT|_x0005_`ADJ|F_x0005_`NAG|88.5_x0005_`UC|T_x0005_`DET|61_x0005_`</v>
      </c>
      <c r="K12" s="19" t="str">
        <f ca="1">HYPERLINK("#"&amp;일위대가표!N2&amp;"!A"&amp;ROW(일위대가표!A61),"대가    9 →")</f>
        <v>대가    9 →</v>
      </c>
    </row>
    <row r="13" spans="1:11" ht="22.35" customHeight="1" x14ac:dyDescent="0.3">
      <c r="A13" s="8" t="s">
        <v>56</v>
      </c>
      <c r="B13" s="9" t="s">
        <v>51</v>
      </c>
      <c r="C13" s="9" t="s">
        <v>57</v>
      </c>
      <c r="D13" s="8" t="s">
        <v>53</v>
      </c>
      <c r="E13" s="55">
        <f>일위대가표!F78</f>
        <v>35376</v>
      </c>
      <c r="F13" s="54">
        <f>일위대가표!H78</f>
        <v>29233</v>
      </c>
      <c r="G13" s="63">
        <f>일위대가표!J78</f>
        <v>6143</v>
      </c>
      <c r="H13" s="55">
        <f>일위대가표!L78</f>
        <v>0</v>
      </c>
      <c r="I13" s="14" t="s">
        <v>56</v>
      </c>
      <c r="J13" s="36" t="str">
        <f>"_x0007_`COD|B01210_x0005_`QTY1|1_x0005_`BQC|_x0005_`EQC|_x0005_`JDC|_x0005_`WQC|_x0005_`EDT|_x0005_`ADJ|F_x0005_`NAG|88.5_x0005_`UC|T_x0005_`DET|"&amp;ROW(일위대가표!A70)&amp;"_x0005_`"</f>
        <v>_x0007_`COD|B01210_x0005_`QTY1|1_x0005_`BQC|_x0005_`EQC|_x0005_`JDC|_x0005_`WQC|_x0005_`EDT|_x0005_`ADJ|F_x0005_`NAG|88.5_x0005_`UC|T_x0005_`DET|70_x0005_`</v>
      </c>
      <c r="K13" s="19" t="str">
        <f ca="1">HYPERLINK("#"&amp;일위대가표!N2&amp;"!A"&amp;ROW(일위대가표!A70),"대가   10 →")</f>
        <v>대가   10 →</v>
      </c>
    </row>
    <row r="14" spans="1:11" ht="22.35" customHeight="1" x14ac:dyDescent="0.3">
      <c r="A14" s="8" t="s">
        <v>60</v>
      </c>
      <c r="B14" s="9" t="s">
        <v>61</v>
      </c>
      <c r="C14" s="9" t="s">
        <v>62</v>
      </c>
      <c r="D14" s="8" t="s">
        <v>26</v>
      </c>
      <c r="E14" s="55">
        <f>일위대가표!F85</f>
        <v>670</v>
      </c>
      <c r="F14" s="54">
        <f>일위대가표!H85</f>
        <v>417</v>
      </c>
      <c r="G14" s="63">
        <f>일위대가표!J85</f>
        <v>111</v>
      </c>
      <c r="H14" s="55">
        <f>일위대가표!L85</f>
        <v>142</v>
      </c>
      <c r="I14" s="14" t="s">
        <v>60</v>
      </c>
      <c r="J14" s="36" t="str">
        <f>"_x0007_`COD|B01211_x0005_`QTY1|1_x0005_`BQC|_x0005_`EQC|_x0005_`JDC|_x0005_`WQC|_x0005_`EDT|_x0005_`ADJ|F_x0005_`NAG|88.5_x0005_`UC|T_x0005_`DET|"&amp;ROW(일위대가표!A79)&amp;"_x0005_`"</f>
        <v>_x0007_`COD|B01211_x0005_`QTY1|1_x0005_`BQC|_x0005_`EQC|_x0005_`JDC|_x0005_`WQC|_x0005_`EDT|_x0005_`ADJ|F_x0005_`NAG|88.5_x0005_`UC|T_x0005_`DET|79_x0005_`</v>
      </c>
      <c r="K14" s="19" t="str">
        <f ca="1">HYPERLINK("#"&amp;일위대가표!N2&amp;"!A"&amp;ROW(일위대가표!A79),"대가   11 →")</f>
        <v>대가   11 →</v>
      </c>
    </row>
    <row r="15" spans="1:11" ht="22.35" customHeight="1" x14ac:dyDescent="0.3">
      <c r="A15" s="8" t="s">
        <v>65</v>
      </c>
      <c r="B15" s="9" t="s">
        <v>66</v>
      </c>
      <c r="C15" s="9" t="s">
        <v>67</v>
      </c>
      <c r="D15" s="8" t="s">
        <v>68</v>
      </c>
      <c r="E15" s="55">
        <f>일위대가표!F97</f>
        <v>110265</v>
      </c>
      <c r="F15" s="54">
        <f>일위대가표!H97</f>
        <v>85728</v>
      </c>
      <c r="G15" s="63">
        <f>일위대가표!J97</f>
        <v>10008</v>
      </c>
      <c r="H15" s="55">
        <f>일위대가표!L97</f>
        <v>14529</v>
      </c>
      <c r="I15" s="14" t="s">
        <v>65</v>
      </c>
      <c r="J15" s="36" t="str">
        <f>"_x0007_`COD|B01212_x0005_`QTY1|1_x0005_`BQC|_x0005_`EQC|_x0005_`JDC|_x0005_`WQC|_x0005_`EDT|_x0005_`ADJ|F_x0005_`NAG|88.5_x0005_`UC|T_x0005_`DET|"&amp;ROW(일위대가표!A86)&amp;"_x0005_`"</f>
        <v>_x0007_`COD|B01212_x0005_`QTY1|1_x0005_`BQC|_x0005_`EQC|_x0005_`JDC|_x0005_`WQC|_x0005_`EDT|_x0005_`ADJ|F_x0005_`NAG|88.5_x0005_`UC|T_x0005_`DET|86_x0005_`</v>
      </c>
      <c r="K15" s="19" t="str">
        <f ca="1">HYPERLINK("#"&amp;일위대가표!N2&amp;"!A"&amp;ROW(일위대가표!A86),"대가   12 →")</f>
        <v>대가   12 →</v>
      </c>
    </row>
    <row r="16" spans="1:11" ht="22.35" customHeight="1" x14ac:dyDescent="0.3">
      <c r="A16" s="8" t="s">
        <v>71</v>
      </c>
      <c r="B16" s="9" t="s">
        <v>66</v>
      </c>
      <c r="C16" s="9" t="s">
        <v>72</v>
      </c>
      <c r="D16" s="8" t="s">
        <v>68</v>
      </c>
      <c r="E16" s="55">
        <f>일위대가표!F109</f>
        <v>147141</v>
      </c>
      <c r="F16" s="54">
        <f>일위대가표!H109</f>
        <v>114492</v>
      </c>
      <c r="G16" s="63">
        <f>일위대가표!J109</f>
        <v>13327</v>
      </c>
      <c r="H16" s="55">
        <f>일위대가표!L109</f>
        <v>19322</v>
      </c>
      <c r="I16" s="14" t="s">
        <v>71</v>
      </c>
      <c r="J16" s="36" t="str">
        <f>"_x0007_`COD|B01213_x0005_`QTY1|1_x0005_`BQC|_x0005_`EQC|_x0005_`JDC|_x0005_`WQC|_x0005_`EDT|_x0005_`ADJ|F_x0005_`NAG|88.5_x0005_`UC|T_x0005_`DET|"&amp;ROW(일위대가표!A98)&amp;"_x0005_`"</f>
        <v>_x0007_`COD|B01213_x0005_`QTY1|1_x0005_`BQC|_x0005_`EQC|_x0005_`JDC|_x0005_`WQC|_x0005_`EDT|_x0005_`ADJ|F_x0005_`NAG|88.5_x0005_`UC|T_x0005_`DET|98_x0005_`</v>
      </c>
      <c r="K16" s="19" t="str">
        <f ca="1">HYPERLINK("#"&amp;일위대가표!N2&amp;"!A"&amp;ROW(일위대가표!A98),"대가   13 →")</f>
        <v>대가   13 →</v>
      </c>
    </row>
    <row r="17" spans="1:11" ht="22.35" customHeight="1" x14ac:dyDescent="0.3">
      <c r="A17" s="8" t="s">
        <v>75</v>
      </c>
      <c r="B17" s="9" t="s">
        <v>66</v>
      </c>
      <c r="C17" s="9" t="s">
        <v>76</v>
      </c>
      <c r="D17" s="8" t="s">
        <v>68</v>
      </c>
      <c r="E17" s="55">
        <f>일위대가표!F121</f>
        <v>183527</v>
      </c>
      <c r="F17" s="54">
        <f>일위대가표!H121</f>
        <v>142736</v>
      </c>
      <c r="G17" s="63">
        <f>일위대가표!J121</f>
        <v>16641</v>
      </c>
      <c r="H17" s="55">
        <f>일위대가표!L121</f>
        <v>24150</v>
      </c>
      <c r="I17" s="14" t="s">
        <v>75</v>
      </c>
      <c r="J17" s="36" t="str">
        <f>"_x0007_`COD|B01214_x0005_`QTY1|1_x0005_`BQC|_x0005_`EQC|_x0005_`JDC|_x0005_`WQC|_x0005_`EDT|_x0005_`ADJ|F_x0005_`NAG|88.5_x0005_`UC|T_x0005_`DET|"&amp;ROW(일위대가표!A110)&amp;"_x0005_`"</f>
        <v>_x0007_`COD|B01214_x0005_`QTY1|1_x0005_`BQC|_x0005_`EQC|_x0005_`JDC|_x0005_`WQC|_x0005_`EDT|_x0005_`ADJ|F_x0005_`NAG|88.5_x0005_`UC|T_x0005_`DET|110_x0005_`</v>
      </c>
      <c r="K17" s="19" t="str">
        <f ca="1">HYPERLINK("#"&amp;일위대가표!N2&amp;"!A"&amp;ROW(일위대가표!A110),"대가   14 →")</f>
        <v>대가   14 →</v>
      </c>
    </row>
    <row r="18" spans="1:11" ht="22.35" customHeight="1" x14ac:dyDescent="0.3">
      <c r="A18" s="8" t="s">
        <v>79</v>
      </c>
      <c r="B18" s="9" t="s">
        <v>80</v>
      </c>
      <c r="C18" s="9" t="s">
        <v>67</v>
      </c>
      <c r="D18" s="8" t="s">
        <v>68</v>
      </c>
      <c r="E18" s="55">
        <f>일위대가표!F130</f>
        <v>111332</v>
      </c>
      <c r="F18" s="54">
        <f>일위대가표!H130</f>
        <v>81382</v>
      </c>
      <c r="G18" s="63">
        <f>일위대가표!J130</f>
        <v>11174</v>
      </c>
      <c r="H18" s="55">
        <f>일위대가표!L130</f>
        <v>18776</v>
      </c>
      <c r="I18" s="14" t="s">
        <v>79</v>
      </c>
      <c r="J18" s="36" t="str">
        <f>"_x0007_`COD|B01215_x0005_`QTY1|1_x0005_`BQC|_x0005_`EQC|_x0005_`JDC|_x0005_`WQC|_x0005_`EDT|_x0005_`ADJ|F_x0005_`NAG|88.5_x0005_`UC|T_x0005_`DET|"&amp;ROW(일위대가표!A122)&amp;"_x0005_`"</f>
        <v>_x0007_`COD|B01215_x0005_`QTY1|1_x0005_`BQC|_x0005_`EQC|_x0005_`JDC|_x0005_`WQC|_x0005_`EDT|_x0005_`ADJ|F_x0005_`NAG|88.5_x0005_`UC|T_x0005_`DET|122_x0005_`</v>
      </c>
      <c r="K18" s="19" t="str">
        <f ca="1">HYPERLINK("#"&amp;일위대가표!N2&amp;"!A"&amp;ROW(일위대가표!A122),"대가   15 →")</f>
        <v>대가   15 →</v>
      </c>
    </row>
    <row r="19" spans="1:11" ht="22.35" customHeight="1" x14ac:dyDescent="0.3">
      <c r="A19" s="8" t="s">
        <v>83</v>
      </c>
      <c r="B19" s="9" t="s">
        <v>80</v>
      </c>
      <c r="C19" s="9" t="s">
        <v>76</v>
      </c>
      <c r="D19" s="8" t="s">
        <v>68</v>
      </c>
      <c r="E19" s="55">
        <f>일위대가표!F139</f>
        <v>185055</v>
      </c>
      <c r="F19" s="54">
        <f>일위대가표!H139</f>
        <v>135267</v>
      </c>
      <c r="G19" s="63">
        <f>일위대가표!J139</f>
        <v>18577</v>
      </c>
      <c r="H19" s="55">
        <f>일위대가표!L139</f>
        <v>31211</v>
      </c>
      <c r="I19" s="14" t="s">
        <v>83</v>
      </c>
      <c r="J19" s="36" t="str">
        <f>"_x0007_`COD|B01216_x0005_`QTY1|1_x0005_`BQC|_x0005_`EQC|_x0005_`JDC|_x0005_`WQC|_x0005_`EDT|_x0005_`ADJ|F_x0005_`NAG|88.5_x0005_`UC|T_x0005_`DET|"&amp;ROW(일위대가표!A131)&amp;"_x0005_`"</f>
        <v>_x0007_`COD|B01216_x0005_`QTY1|1_x0005_`BQC|_x0005_`EQC|_x0005_`JDC|_x0005_`WQC|_x0005_`EDT|_x0005_`ADJ|F_x0005_`NAG|88.5_x0005_`UC|T_x0005_`DET|131_x0005_`</v>
      </c>
      <c r="K19" s="19" t="str">
        <f ca="1">HYPERLINK("#"&amp;일위대가표!N2&amp;"!A"&amp;ROW(일위대가표!A131),"대가   16 →")</f>
        <v>대가   16 →</v>
      </c>
    </row>
    <row r="20" spans="1:11" ht="22.35" customHeight="1" x14ac:dyDescent="0.3">
      <c r="A20" s="8" t="s">
        <v>86</v>
      </c>
      <c r="B20" s="9" t="s">
        <v>87</v>
      </c>
      <c r="C20" s="9" t="s">
        <v>88</v>
      </c>
      <c r="D20" s="8" t="s">
        <v>68</v>
      </c>
      <c r="E20" s="55">
        <f>일위대가표!F149</f>
        <v>14159</v>
      </c>
      <c r="F20" s="54">
        <f>일위대가표!H149</f>
        <v>13276</v>
      </c>
      <c r="G20" s="63">
        <f>일위대가표!J149</f>
        <v>516</v>
      </c>
      <c r="H20" s="55">
        <f>일위대가표!L149</f>
        <v>367</v>
      </c>
      <c r="I20" s="14" t="s">
        <v>86</v>
      </c>
      <c r="J20" s="36" t="str">
        <f>"_x0007_`COD|B01217_x0005_`QTY1|1_x0005_`BQC|_x0005_`EQC|_x0005_`JDC|_x0005_`WQC|_x0005_`EDT|_x0005_`ADJ|F_x0005_`NAG|88.5_x0005_`UC|T_x0005_`DET|"&amp;ROW(일위대가표!A140)&amp;"_x0005_`"</f>
        <v>_x0007_`COD|B01217_x0005_`QTY1|1_x0005_`BQC|_x0005_`EQC|_x0005_`JDC|_x0005_`WQC|_x0005_`EDT|_x0005_`ADJ|F_x0005_`NAG|88.5_x0005_`UC|T_x0005_`DET|140_x0005_`</v>
      </c>
      <c r="K20" s="19" t="str">
        <f ca="1">HYPERLINK("#"&amp;일위대가표!N2&amp;"!A"&amp;ROW(일위대가표!A140),"대가   17 →")</f>
        <v>대가   17 →</v>
      </c>
    </row>
    <row r="21" spans="1:11" ht="22.35" customHeight="1" x14ac:dyDescent="0.3">
      <c r="A21" s="8" t="s">
        <v>91</v>
      </c>
      <c r="B21" s="9" t="s">
        <v>87</v>
      </c>
      <c r="C21" s="9" t="s">
        <v>92</v>
      </c>
      <c r="D21" s="8" t="s">
        <v>68</v>
      </c>
      <c r="E21" s="55">
        <f>일위대가표!F159</f>
        <v>18393</v>
      </c>
      <c r="F21" s="54">
        <f>일위대가표!H159</f>
        <v>17304</v>
      </c>
      <c r="G21" s="63">
        <f>일위대가표!J159</f>
        <v>648</v>
      </c>
      <c r="H21" s="55">
        <f>일위대가표!L159</f>
        <v>441</v>
      </c>
      <c r="I21" s="14" t="s">
        <v>91</v>
      </c>
      <c r="J21" s="36" t="str">
        <f>"_x0007_`COD|B01218_x0005_`QTY1|1_x0005_`BQC|_x0005_`EQC|_x0005_`JDC|_x0005_`WQC|_x0005_`EDT|_x0005_`ADJ|F_x0005_`NAG|88.5_x0005_`UC|T_x0005_`DET|"&amp;ROW(일위대가표!A150)&amp;"_x0005_`"</f>
        <v>_x0007_`COD|B01218_x0005_`QTY1|1_x0005_`BQC|_x0005_`EQC|_x0005_`JDC|_x0005_`WQC|_x0005_`EDT|_x0005_`ADJ|F_x0005_`NAG|88.5_x0005_`UC|T_x0005_`DET|150_x0005_`</v>
      </c>
      <c r="K21" s="19" t="str">
        <f ca="1">HYPERLINK("#"&amp;일위대가표!N2&amp;"!A"&amp;ROW(일위대가표!A150),"대가   18 →")</f>
        <v>대가   18 →</v>
      </c>
    </row>
    <row r="22" spans="1:11" ht="22.35" customHeight="1" x14ac:dyDescent="0.3">
      <c r="A22" s="8" t="s">
        <v>95</v>
      </c>
      <c r="B22" s="9" t="s">
        <v>96</v>
      </c>
      <c r="C22" s="9" t="s">
        <v>97</v>
      </c>
      <c r="D22" s="8" t="s">
        <v>53</v>
      </c>
      <c r="E22" s="55">
        <f>일위대가표!F174</f>
        <v>1714426</v>
      </c>
      <c r="F22" s="54">
        <f>일위대가표!H174</f>
        <v>1279338</v>
      </c>
      <c r="G22" s="63">
        <f>일위대가표!J174</f>
        <v>178576</v>
      </c>
      <c r="H22" s="55">
        <f>일위대가표!L174</f>
        <v>256512</v>
      </c>
      <c r="I22" s="14" t="s">
        <v>95</v>
      </c>
      <c r="J22" s="36" t="str">
        <f>"_x0007_`COD|B01219_x0005_`QTY1|1_x0005_`BQC|_x0005_`EQC|_x0005_`JDC|_x0005_`WQC|_x0005_`EDT|_x0005_`ADJ|F_x0005_`NAG|88.5_x0005_`UC|T_x0005_`DET|"&amp;ROW(일위대가표!A160)&amp;"_x0005_`"</f>
        <v>_x0007_`COD|B01219_x0005_`QTY1|1_x0005_`BQC|_x0005_`EQC|_x0005_`JDC|_x0005_`WQC|_x0005_`EDT|_x0005_`ADJ|F_x0005_`NAG|88.5_x0005_`UC|T_x0005_`DET|160_x0005_`</v>
      </c>
      <c r="K22" s="19" t="str">
        <f ca="1">HYPERLINK("#"&amp;일위대가표!N2&amp;"!A"&amp;ROW(일위대가표!A160),"대가   19 →")</f>
        <v>대가   19 →</v>
      </c>
    </row>
    <row r="23" spans="1:11" ht="22.35" customHeight="1" x14ac:dyDescent="0.3">
      <c r="A23" s="8" t="s">
        <v>100</v>
      </c>
      <c r="B23" s="9" t="s">
        <v>96</v>
      </c>
      <c r="C23" s="9" t="s">
        <v>101</v>
      </c>
      <c r="D23" s="8" t="s">
        <v>53</v>
      </c>
      <c r="E23" s="55">
        <f>일위대가표!F189</f>
        <v>1076900</v>
      </c>
      <c r="F23" s="54">
        <f>일위대가표!H189</f>
        <v>813572</v>
      </c>
      <c r="G23" s="63">
        <f>일위대가표!J189</f>
        <v>107942</v>
      </c>
      <c r="H23" s="55">
        <f>일위대가표!L189</f>
        <v>155386</v>
      </c>
      <c r="I23" s="14" t="s">
        <v>100</v>
      </c>
      <c r="J23" s="36" t="str">
        <f>"_x0007_`COD|B01220_x0005_`QTY1|1_x0005_`BQC|_x0005_`EQC|_x0005_`JDC|_x0005_`WQC|_x0005_`EDT|_x0005_`ADJ|F_x0005_`NAG|88.5_x0005_`UC|T_x0005_`DET|"&amp;ROW(일위대가표!A175)&amp;"_x0005_`"</f>
        <v>_x0007_`COD|B01220_x0005_`QTY1|1_x0005_`BQC|_x0005_`EQC|_x0005_`JDC|_x0005_`WQC|_x0005_`EDT|_x0005_`ADJ|F_x0005_`NAG|88.5_x0005_`UC|T_x0005_`DET|175_x0005_`</v>
      </c>
      <c r="K23" s="19" t="str">
        <f ca="1">HYPERLINK("#"&amp;일위대가표!N2&amp;"!A"&amp;ROW(일위대가표!A175),"대가   20 →")</f>
        <v>대가   20 →</v>
      </c>
    </row>
    <row r="24" spans="1:11" ht="22.35" customHeight="1" x14ac:dyDescent="0.3">
      <c r="A24" s="8" t="s">
        <v>104</v>
      </c>
      <c r="B24" s="9" t="s">
        <v>105</v>
      </c>
      <c r="C24" s="9"/>
      <c r="D24" s="8" t="s">
        <v>53</v>
      </c>
      <c r="E24" s="55">
        <f>일위대가표!F195</f>
        <v>3512</v>
      </c>
      <c r="F24" s="54">
        <f>일위대가표!H195</f>
        <v>2021</v>
      </c>
      <c r="G24" s="63">
        <f>일위대가표!J195</f>
        <v>653</v>
      </c>
      <c r="H24" s="55">
        <f>일위대가표!L195</f>
        <v>838</v>
      </c>
      <c r="I24" s="14" t="s">
        <v>104</v>
      </c>
      <c r="J24" s="36" t="str">
        <f>"_x0007_`COD|B01221_x0005_`QTY1|1_x0005_`BQC|_x0005_`EQC|_x0005_`JDC|_x0005_`WQC|_x0005_`EDT|_x0005_`ADJ|F_x0005_`NAG|88.5_x0005_`UC|T_x0005_`DET|"&amp;ROW(일위대가표!A190)&amp;"_x0005_`"</f>
        <v>_x0007_`COD|B01221_x0005_`QTY1|1_x0005_`BQC|_x0005_`EQC|_x0005_`JDC|_x0005_`WQC|_x0005_`EDT|_x0005_`ADJ|F_x0005_`NAG|88.5_x0005_`UC|T_x0005_`DET|190_x0005_`</v>
      </c>
      <c r="K24" s="19" t="str">
        <f ca="1">HYPERLINK("#"&amp;일위대가표!N2&amp;"!A"&amp;ROW(일위대가표!A190),"대가   21 →")</f>
        <v>대가   21 →</v>
      </c>
    </row>
    <row r="25" spans="1:11" ht="22.35" customHeight="1" x14ac:dyDescent="0.3">
      <c r="A25" s="8" t="s">
        <v>108</v>
      </c>
      <c r="B25" s="9" t="s">
        <v>109</v>
      </c>
      <c r="C25" s="9" t="s">
        <v>110</v>
      </c>
      <c r="D25" s="8" t="s">
        <v>26</v>
      </c>
      <c r="E25" s="55">
        <f>일위대가표!F204</f>
        <v>89846</v>
      </c>
      <c r="F25" s="54">
        <f>일위대가표!H204</f>
        <v>68813</v>
      </c>
      <c r="G25" s="63">
        <f>일위대가표!J204</f>
        <v>8424</v>
      </c>
      <c r="H25" s="55">
        <f>일위대가표!L204</f>
        <v>12609</v>
      </c>
      <c r="I25" s="14" t="s">
        <v>108</v>
      </c>
      <c r="J25" s="36" t="str">
        <f>"_x0007_`COD|B01222_x0005_`QTY1|1_x0005_`BQC|_x0005_`EQC|_x0005_`JDC|_x0005_`WQC|_x0005_`EDT|_x0005_`ADJ|F_x0005_`NAG|88.5_x0005_`UC|T_x0005_`DET|"&amp;ROW(일위대가표!A196)&amp;"_x0005_`"</f>
        <v>_x0007_`COD|B01222_x0005_`QTY1|1_x0005_`BQC|_x0005_`EQC|_x0005_`JDC|_x0005_`WQC|_x0005_`EDT|_x0005_`ADJ|F_x0005_`NAG|88.5_x0005_`UC|T_x0005_`DET|196_x0005_`</v>
      </c>
      <c r="K25" s="19" t="str">
        <f ca="1">HYPERLINK("#"&amp;일위대가표!N2&amp;"!A"&amp;ROW(일위대가표!A196),"대가   22 →")</f>
        <v>대가   22 →</v>
      </c>
    </row>
    <row r="26" spans="1:11" ht="22.35" customHeight="1" x14ac:dyDescent="0.3">
      <c r="A26" s="8" t="s">
        <v>113</v>
      </c>
      <c r="B26" s="9" t="s">
        <v>109</v>
      </c>
      <c r="C26" s="9" t="s">
        <v>114</v>
      </c>
      <c r="D26" s="8" t="s">
        <v>26</v>
      </c>
      <c r="E26" s="55">
        <f>일위대가표!F211</f>
        <v>84424</v>
      </c>
      <c r="F26" s="54">
        <f>일위대가표!H211</f>
        <v>62310</v>
      </c>
      <c r="G26" s="63">
        <f>일위대가표!J211</f>
        <v>8731</v>
      </c>
      <c r="H26" s="55">
        <f>일위대가표!L211</f>
        <v>13383</v>
      </c>
      <c r="I26" s="14" t="s">
        <v>113</v>
      </c>
      <c r="J26" s="36" t="str">
        <f>"_x0007_`COD|B01223_x0005_`QTY1|1_x0005_`BQC|_x0005_`EQC|_x0005_`JDC|_x0005_`WQC|_x0005_`EDT|_x0005_`ADJ|F_x0005_`NAG|88.5_x0005_`UC|T_x0005_`DET|"&amp;ROW(일위대가표!A205)&amp;"_x0005_`"</f>
        <v>_x0007_`COD|B01223_x0005_`QTY1|1_x0005_`BQC|_x0005_`EQC|_x0005_`JDC|_x0005_`WQC|_x0005_`EDT|_x0005_`ADJ|F_x0005_`NAG|88.5_x0005_`UC|T_x0005_`DET|205_x0005_`</v>
      </c>
      <c r="K26" s="19" t="str">
        <f ca="1">HYPERLINK("#"&amp;일위대가표!N2&amp;"!A"&amp;ROW(일위대가표!A205),"대가   23 →")</f>
        <v>대가   23 →</v>
      </c>
    </row>
    <row r="27" spans="1:11" ht="22.35" customHeight="1" x14ac:dyDescent="0.3">
      <c r="A27" s="8" t="s">
        <v>117</v>
      </c>
      <c r="B27" s="9" t="s">
        <v>118</v>
      </c>
      <c r="C27" s="9" t="s">
        <v>119</v>
      </c>
      <c r="D27" s="8" t="s">
        <v>53</v>
      </c>
      <c r="E27" s="55">
        <f>일위대가표!F219</f>
        <v>384218</v>
      </c>
      <c r="F27" s="54">
        <f>일위대가표!H219</f>
        <v>373588</v>
      </c>
      <c r="G27" s="63">
        <f>일위대가표!J219</f>
        <v>10333</v>
      </c>
      <c r="H27" s="55">
        <f>일위대가표!L219</f>
        <v>297</v>
      </c>
      <c r="I27" s="14" t="s">
        <v>117</v>
      </c>
      <c r="J27" s="36" t="str">
        <f>"_x0007_`COD|B01224_x0005_`QTY1|1_x0005_`BQC|_x0005_`EQC|_x0005_`JDC|_x0005_`WQC|_x0005_`EDT|_x0005_`ADJ|F_x0005_`NAG|88.5_x0005_`UC|T_x0005_`DET|"&amp;ROW(일위대가표!A212)&amp;"_x0005_`"</f>
        <v>_x0007_`COD|B01224_x0005_`QTY1|1_x0005_`BQC|_x0005_`EQC|_x0005_`JDC|_x0005_`WQC|_x0005_`EDT|_x0005_`ADJ|F_x0005_`NAG|88.5_x0005_`UC|T_x0005_`DET|212_x0005_`</v>
      </c>
      <c r="K27" s="19" t="str">
        <f ca="1">HYPERLINK("#"&amp;일위대가표!N2&amp;"!A"&amp;ROW(일위대가표!A212),"대가   24 →")</f>
        <v>대가   24 →</v>
      </c>
    </row>
    <row r="28" spans="1:11" ht="22.35" customHeight="1" x14ac:dyDescent="0.3">
      <c r="A28" s="8" t="s">
        <v>122</v>
      </c>
      <c r="B28" s="9" t="s">
        <v>123</v>
      </c>
      <c r="C28" s="9" t="s">
        <v>124</v>
      </c>
      <c r="D28" s="8" t="s">
        <v>68</v>
      </c>
      <c r="E28" s="55">
        <f>일위대가표!F233</f>
        <v>182023</v>
      </c>
      <c r="F28" s="54">
        <f>일위대가표!H233</f>
        <v>144365</v>
      </c>
      <c r="G28" s="63">
        <f>일위대가표!J233</f>
        <v>16734</v>
      </c>
      <c r="H28" s="55">
        <f>일위대가표!L233</f>
        <v>20924</v>
      </c>
      <c r="I28" s="14" t="s">
        <v>122</v>
      </c>
      <c r="J28" s="36" t="str">
        <f>"_x0007_`COD|B01225_x0005_`QTY1|1_x0005_`BQC|점질토_x0005_`EQC|_x0005_`JDC|_x0005_`WQC|_x0005_`EDT|_x0005_`ADJ|F_x0005_`NAG|88.5_x0005_`UC|T_x0005_`DET|"&amp;ROW(일위대가표!A220)&amp;"_x0005_`"</f>
        <v>_x0007_`COD|B01225_x0005_`QTY1|1_x0005_`BQC|점질토_x0005_`EQC|_x0005_`JDC|_x0005_`WQC|_x0005_`EDT|_x0005_`ADJ|F_x0005_`NAG|88.5_x0005_`UC|T_x0005_`DET|220_x0005_`</v>
      </c>
      <c r="K28" s="19" t="str">
        <f ca="1">HYPERLINK("#"&amp;일위대가표!N2&amp;"!A"&amp;ROW(일위대가표!A220),"대가   25 →")</f>
        <v>대가   25 →</v>
      </c>
    </row>
    <row r="29" spans="1:11" ht="22.35" customHeight="1" x14ac:dyDescent="0.3">
      <c r="A29" s="8" t="s">
        <v>127</v>
      </c>
      <c r="B29" s="9" t="s">
        <v>128</v>
      </c>
      <c r="C29" s="9" t="s">
        <v>129</v>
      </c>
      <c r="D29" s="8" t="s">
        <v>68</v>
      </c>
      <c r="E29" s="55">
        <f>일위대가표!F244</f>
        <v>188452</v>
      </c>
      <c r="F29" s="54">
        <f>일위대가표!H244</f>
        <v>136667</v>
      </c>
      <c r="G29" s="63">
        <f>일위대가표!J244</f>
        <v>21670</v>
      </c>
      <c r="H29" s="55">
        <f>일위대가표!L244</f>
        <v>30115</v>
      </c>
      <c r="I29" s="14" t="s">
        <v>127</v>
      </c>
      <c r="J29" s="36" t="str">
        <f>"_x0007_`COD|B01226_x0005_`QTY1|1_x0005_`BQC|점질토_x0005_`EQC|_x0005_`JDC|_x0005_`WQC|_x0005_`EDT|_x0005_`ADJ|F_x0005_`NAG|88.5_x0005_`UC|T_x0005_`DET|"&amp;ROW(일위대가표!A234)&amp;"_x0005_`"</f>
        <v>_x0007_`COD|B01226_x0005_`QTY1|1_x0005_`BQC|점질토_x0005_`EQC|_x0005_`JDC|_x0005_`WQC|_x0005_`EDT|_x0005_`ADJ|F_x0005_`NAG|88.5_x0005_`UC|T_x0005_`DET|234_x0005_`</v>
      </c>
      <c r="K29" s="19" t="str">
        <f ca="1">HYPERLINK("#"&amp;일위대가표!N2&amp;"!A"&amp;ROW(일위대가표!A234),"대가   26 →")</f>
        <v>대가   26 →</v>
      </c>
    </row>
    <row r="30" spans="1:11" ht="22.35" customHeight="1" x14ac:dyDescent="0.3">
      <c r="A30" s="8" t="s">
        <v>132</v>
      </c>
      <c r="B30" s="9" t="s">
        <v>133</v>
      </c>
      <c r="C30" s="9" t="s">
        <v>129</v>
      </c>
      <c r="D30" s="8" t="s">
        <v>68</v>
      </c>
      <c r="E30" s="55">
        <f>일위대가표!F255</f>
        <v>239192</v>
      </c>
      <c r="F30" s="54">
        <f>일위대가표!H255</f>
        <v>171946</v>
      </c>
      <c r="G30" s="63">
        <f>일위대가표!J255</f>
        <v>27707</v>
      </c>
      <c r="H30" s="55">
        <f>일위대가표!L255</f>
        <v>39539</v>
      </c>
      <c r="I30" s="14" t="s">
        <v>132</v>
      </c>
      <c r="J30" s="36" t="str">
        <f>"_x0007_`COD|B01227_x0005_`QTY1|1_x0005_`BQC|점질토_x0005_`EQC|_x0005_`JDC|_x0005_`WQC|_x0005_`EDT|_x0005_`ADJ|F_x0005_`NAG|88.5_x0005_`UC|T_x0005_`DET|"&amp;ROW(일위대가표!A245)&amp;"_x0005_`"</f>
        <v>_x0007_`COD|B01227_x0005_`QTY1|1_x0005_`BQC|점질토_x0005_`EQC|_x0005_`JDC|_x0005_`WQC|_x0005_`EDT|_x0005_`ADJ|F_x0005_`NAG|88.5_x0005_`UC|T_x0005_`DET|245_x0005_`</v>
      </c>
      <c r="K30" s="19" t="str">
        <f ca="1">HYPERLINK("#"&amp;일위대가표!N2&amp;"!A"&amp;ROW(일위대가표!A245),"대가   27 →")</f>
        <v>대가   27 →</v>
      </c>
    </row>
    <row r="31" spans="1:11" ht="22.35" customHeight="1" x14ac:dyDescent="0.3">
      <c r="A31" s="8" t="s">
        <v>136</v>
      </c>
      <c r="B31" s="9" t="s">
        <v>87</v>
      </c>
      <c r="C31" s="9" t="s">
        <v>137</v>
      </c>
      <c r="D31" s="8" t="s">
        <v>68</v>
      </c>
      <c r="E31" s="55">
        <f>일위대가표!F264</f>
        <v>22351</v>
      </c>
      <c r="F31" s="54">
        <f>일위대가표!H264</f>
        <v>21063</v>
      </c>
      <c r="G31" s="63">
        <f>일위대가표!J264</f>
        <v>773</v>
      </c>
      <c r="H31" s="55">
        <f>일위대가표!L264</f>
        <v>515</v>
      </c>
      <c r="I31" s="14" t="s">
        <v>136</v>
      </c>
      <c r="J31" s="36" t="str">
        <f>"_x0007_`COD|B01228_x0005_`QTY1|1_x0005_`BQC|_x0005_`EQC|_x0005_`JDC|_x0005_`WQC|_x0005_`EDT|_x0005_`ADJ|F_x0005_`NAG|88.5_x0005_`UC|T_x0005_`DET|"&amp;ROW(일위대가표!A256)&amp;"_x0005_`"</f>
        <v>_x0007_`COD|B01228_x0005_`QTY1|1_x0005_`BQC|_x0005_`EQC|_x0005_`JDC|_x0005_`WQC|_x0005_`EDT|_x0005_`ADJ|F_x0005_`NAG|88.5_x0005_`UC|T_x0005_`DET|256_x0005_`</v>
      </c>
      <c r="K31" s="19" t="str">
        <f ca="1">HYPERLINK("#"&amp;일위대가표!N2&amp;"!A"&amp;ROW(일위대가표!A256),"대가   28 →")</f>
        <v>대가   28 →</v>
      </c>
    </row>
    <row r="32" spans="1:11" ht="22.35" customHeight="1" x14ac:dyDescent="0.3">
      <c r="A32" s="8" t="s">
        <v>140</v>
      </c>
      <c r="B32" s="9" t="s">
        <v>141</v>
      </c>
      <c r="C32" s="9" t="s">
        <v>142</v>
      </c>
      <c r="D32" s="8" t="s">
        <v>26</v>
      </c>
      <c r="E32" s="55">
        <f>일위대가표!F276</f>
        <v>64590</v>
      </c>
      <c r="F32" s="54">
        <f>일위대가표!H276</f>
        <v>54058</v>
      </c>
      <c r="G32" s="63">
        <f>일위대가표!J276</f>
        <v>3972</v>
      </c>
      <c r="H32" s="55">
        <f>일위대가표!L276</f>
        <v>6560</v>
      </c>
      <c r="I32" s="14" t="s">
        <v>140</v>
      </c>
      <c r="J32" s="36" t="str">
        <f>"_x0007_`COD|B01229_x0005_`QTY1|1_x0005_`BQC|_x0005_`EQC|_x0005_`JDC|_x0005_`WQC|_x0005_`EDT|_x0005_`ADJ|F_x0005_`NAG|88.5_x0005_`UC|T_x0005_`DET|"&amp;ROW(일위대가표!A265)&amp;"_x0005_`"</f>
        <v>_x0007_`COD|B01229_x0005_`QTY1|1_x0005_`BQC|_x0005_`EQC|_x0005_`JDC|_x0005_`WQC|_x0005_`EDT|_x0005_`ADJ|F_x0005_`NAG|88.5_x0005_`UC|T_x0005_`DET|265_x0005_`</v>
      </c>
      <c r="K32" s="19" t="str">
        <f ca="1">HYPERLINK("#"&amp;일위대가표!N2&amp;"!A"&amp;ROW(일위대가표!A265),"대가   29 →")</f>
        <v>대가   29 →</v>
      </c>
    </row>
    <row r="33" spans="1:11" ht="22.35" customHeight="1" x14ac:dyDescent="0.3">
      <c r="A33" s="8" t="s">
        <v>145</v>
      </c>
      <c r="B33" s="9" t="s">
        <v>109</v>
      </c>
      <c r="C33" s="9" t="s">
        <v>146</v>
      </c>
      <c r="D33" s="8" t="s">
        <v>26</v>
      </c>
      <c r="E33" s="55">
        <f>일위대가표!F286</f>
        <v>87307</v>
      </c>
      <c r="F33" s="54">
        <f>일위대가표!H286</f>
        <v>65420</v>
      </c>
      <c r="G33" s="63">
        <f>일위대가표!J286</f>
        <v>8629</v>
      </c>
      <c r="H33" s="55">
        <f>일위대가표!L286</f>
        <v>13258</v>
      </c>
      <c r="I33" s="14" t="s">
        <v>145</v>
      </c>
      <c r="J33" s="36" t="str">
        <f>"_x0007_`COD|B01230_x0005_`QTY1|1_x0005_`BQC|_x0005_`EQC|_x0005_`JDC|_x0005_`WQC|_x0005_`EDT|_x0005_`ADJ|F_x0005_`NAG|88.5_x0005_`UC|T_x0005_`DET|"&amp;ROW(일위대가표!A277)&amp;"_x0005_`"</f>
        <v>_x0007_`COD|B01230_x0005_`QTY1|1_x0005_`BQC|_x0005_`EQC|_x0005_`JDC|_x0005_`WQC|_x0005_`EDT|_x0005_`ADJ|F_x0005_`NAG|88.5_x0005_`UC|T_x0005_`DET|277_x0005_`</v>
      </c>
      <c r="K33" s="19" t="str">
        <f ca="1">HYPERLINK("#"&amp;일위대가표!N2&amp;"!A"&amp;ROW(일위대가표!A277),"대가   30 →")</f>
        <v>대가   30 →</v>
      </c>
    </row>
    <row r="34" spans="1:11" ht="22.35" customHeight="1" x14ac:dyDescent="0.3">
      <c r="A34" s="8" t="s">
        <v>149</v>
      </c>
      <c r="B34" s="9" t="s">
        <v>80</v>
      </c>
      <c r="C34" s="9" t="s">
        <v>72</v>
      </c>
      <c r="D34" s="8" t="s">
        <v>68</v>
      </c>
      <c r="E34" s="55">
        <f>일위대가표!F295</f>
        <v>148084</v>
      </c>
      <c r="F34" s="54">
        <f>일위대가표!H295</f>
        <v>108245</v>
      </c>
      <c r="G34" s="63">
        <f>일위대가표!J295</f>
        <v>14865</v>
      </c>
      <c r="H34" s="55">
        <f>일위대가표!L295</f>
        <v>24974</v>
      </c>
      <c r="I34" s="14" t="s">
        <v>149</v>
      </c>
      <c r="J34" s="36" t="str">
        <f>"_x0007_`COD|B01231_x0005_`QTY1|1_x0005_`BQC|_x0005_`EQC|_x0005_`JDC|_x0005_`WQC|_x0005_`EDT|_x0005_`ADJ|F_x0005_`NAG|88.5_x0005_`UC|T_x0005_`DET|"&amp;ROW(일위대가표!A287)&amp;"_x0005_`"</f>
        <v>_x0007_`COD|B01231_x0005_`QTY1|1_x0005_`BQC|_x0005_`EQC|_x0005_`JDC|_x0005_`WQC|_x0005_`EDT|_x0005_`ADJ|F_x0005_`NAG|88.5_x0005_`UC|T_x0005_`DET|287_x0005_`</v>
      </c>
      <c r="K34" s="19" t="str">
        <f ca="1">HYPERLINK("#"&amp;일위대가표!N2&amp;"!A"&amp;ROW(일위대가표!A287),"대가   31 →")</f>
        <v>대가   31 →</v>
      </c>
    </row>
    <row r="35" spans="1:11" ht="22.35" customHeight="1" x14ac:dyDescent="0.3">
      <c r="A35" s="8" t="s">
        <v>152</v>
      </c>
      <c r="B35" s="9" t="s">
        <v>153</v>
      </c>
      <c r="C35" s="9" t="s">
        <v>154</v>
      </c>
      <c r="D35" s="8" t="s">
        <v>26</v>
      </c>
      <c r="E35" s="55">
        <f>일위대가표!F301</f>
        <v>26719</v>
      </c>
      <c r="F35" s="54">
        <f>일위대가표!H301</f>
        <v>26345</v>
      </c>
      <c r="G35" s="63">
        <f>일위대가표!J301</f>
        <v>177</v>
      </c>
      <c r="H35" s="55">
        <f>일위대가표!L301</f>
        <v>197</v>
      </c>
      <c r="I35" s="14" t="s">
        <v>152</v>
      </c>
      <c r="J35" s="36" t="str">
        <f>"_x0007_`COD|B01232_x0005_`QTY1|1_x0005_`BQC|_x0005_`EQC|_x0005_`JDC|_x0005_`WQC|_x0005_`EDT|_x0005_`ADJ|F_x0005_`NAG|88.5_x0005_`UC|T_x0005_`DET|"&amp;ROW(일위대가표!A296)&amp;"_x0005_`"</f>
        <v>_x0007_`COD|B01232_x0005_`QTY1|1_x0005_`BQC|_x0005_`EQC|_x0005_`JDC|_x0005_`WQC|_x0005_`EDT|_x0005_`ADJ|F_x0005_`NAG|88.5_x0005_`UC|T_x0005_`DET|296_x0005_`</v>
      </c>
      <c r="K35" s="19" t="str">
        <f ca="1">HYPERLINK("#"&amp;일위대가표!N2&amp;"!A"&amp;ROW(일위대가표!A296),"대가   32 →")</f>
        <v>대가   32 →</v>
      </c>
    </row>
    <row r="36" spans="1:11" ht="22.35" customHeight="1" x14ac:dyDescent="0.3">
      <c r="A36" s="8" t="s">
        <v>157</v>
      </c>
      <c r="B36" s="9" t="s">
        <v>158</v>
      </c>
      <c r="C36" s="9" t="s">
        <v>159</v>
      </c>
      <c r="D36" s="8" t="s">
        <v>68</v>
      </c>
      <c r="E36" s="55">
        <f>일위대가표!F308</f>
        <v>12966</v>
      </c>
      <c r="F36" s="54">
        <f>일위대가표!H308</f>
        <v>11198</v>
      </c>
      <c r="G36" s="63">
        <f>일위대가표!J308</f>
        <v>1433</v>
      </c>
      <c r="H36" s="55">
        <f>일위대가표!L308</f>
        <v>335</v>
      </c>
      <c r="I36" s="14" t="s">
        <v>157</v>
      </c>
      <c r="J36" s="36" t="str">
        <f>"_x0007_`COD|B01233_x0005_`QTY1|1_x0005_`BQC|_x0005_`EQC|_x0005_`JDC|_x0005_`WQC|_x0005_`EDT|_x0005_`ADJ|F_x0005_`NAG|88.5_x0005_`UC|T_x0005_`DET|"&amp;ROW(일위대가표!A302)&amp;"_x0005_`"</f>
        <v>_x0007_`COD|B01233_x0005_`QTY1|1_x0005_`BQC|_x0005_`EQC|_x0005_`JDC|_x0005_`WQC|_x0005_`EDT|_x0005_`ADJ|F_x0005_`NAG|88.5_x0005_`UC|T_x0005_`DET|302_x0005_`</v>
      </c>
      <c r="K36" s="19" t="str">
        <f ca="1">HYPERLINK("#"&amp;일위대가표!N2&amp;"!A"&amp;ROW(일위대가표!A302),"대가   33 →")</f>
        <v>대가   33 →</v>
      </c>
    </row>
    <row r="37" spans="1:11" ht="22.35" customHeight="1" x14ac:dyDescent="0.3">
      <c r="A37" s="8" t="s">
        <v>162</v>
      </c>
      <c r="B37" s="9" t="s">
        <v>163</v>
      </c>
      <c r="C37" s="9"/>
      <c r="D37" s="8" t="s">
        <v>53</v>
      </c>
      <c r="E37" s="55">
        <f>일위대가표!F316</f>
        <v>162001</v>
      </c>
      <c r="F37" s="54">
        <f>일위대가표!H316</f>
        <v>143182</v>
      </c>
      <c r="G37" s="63">
        <f>일위대가표!J316</f>
        <v>15422</v>
      </c>
      <c r="H37" s="55">
        <f>일위대가표!L316</f>
        <v>3397</v>
      </c>
      <c r="I37" s="14" t="s">
        <v>162</v>
      </c>
      <c r="J37" s="36" t="str">
        <f>"_x0007_`COD|B01234_x0005_`QTY1|1_x0005_`BQC|_x0005_`EQC|_x0005_`JDC|_x0005_`WQC|_x0005_`EDT|_x0005_`ADJ|F_x0005_`NAG|88.5_x0005_`UC|T_x0005_`DET|"&amp;ROW(일위대가표!A309)&amp;"_x0005_`"</f>
        <v>_x0007_`COD|B01234_x0005_`QTY1|1_x0005_`BQC|_x0005_`EQC|_x0005_`JDC|_x0005_`WQC|_x0005_`EDT|_x0005_`ADJ|F_x0005_`NAG|88.5_x0005_`UC|T_x0005_`DET|309_x0005_`</v>
      </c>
      <c r="K37" s="19" t="str">
        <f ca="1">HYPERLINK("#"&amp;일위대가표!N2&amp;"!A"&amp;ROW(일위대가표!A309),"대가   34 →")</f>
        <v>대가   34 →</v>
      </c>
    </row>
  </sheetData>
  <mergeCells count="1">
    <mergeCell ref="A1:I1"/>
  </mergeCells>
  <phoneticPr fontId="23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16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5" customWidth="1"/>
    <col min="3" max="3" width="10" style="5" customWidth="1"/>
    <col min="4" max="4" width="5.5" style="5" customWidth="1"/>
    <col min="5" max="5" width="10" style="5" customWidth="1"/>
    <col min="6" max="6" width="11.5" style="5" customWidth="1"/>
    <col min="7" max="7" width="10" style="5" customWidth="1"/>
    <col min="8" max="8" width="11.5" style="5" customWidth="1"/>
    <col min="9" max="9" width="10" style="5" customWidth="1"/>
    <col min="10" max="10" width="11.5" style="5" customWidth="1"/>
    <col min="11" max="11" width="10" style="5" customWidth="1"/>
    <col min="12" max="13" width="11.5" style="5" customWidth="1"/>
    <col min="14" max="14" width="9.125" style="96" hidden="1" customWidth="1"/>
    <col min="15" max="25" width="2.125" style="5" customWidth="1"/>
    <col min="26" max="26" width="9.125" style="17" customWidth="1"/>
    <col min="27" max="16384" width="9.125" style="5"/>
  </cols>
  <sheetData>
    <row r="1" spans="1:26" ht="24.95" customHeight="1" x14ac:dyDescent="0.3">
      <c r="A1" s="130" t="s">
        <v>1112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 t="s">
        <v>166</v>
      </c>
      <c r="Z1" s="18" t="s">
        <v>166</v>
      </c>
    </row>
    <row r="2" spans="1:26" ht="28.7" customHeight="1" x14ac:dyDescent="0.3">
      <c r="A2" s="1" t="s">
        <v>1</v>
      </c>
      <c r="N2" s="21" t="str">
        <f ca="1">MID(CELL("filename",$A$1),FIND("]",CELL("filename",$A$1))+1,LEN(CELL("filename",$A$1)))</f>
        <v>일위대가표</v>
      </c>
    </row>
    <row r="3" spans="1:26" ht="28.7" customHeight="1" x14ac:dyDescent="0.3">
      <c r="A3" s="146" t="s">
        <v>3</v>
      </c>
      <c r="B3" s="146" t="s">
        <v>4</v>
      </c>
      <c r="C3" s="146" t="s">
        <v>635</v>
      </c>
      <c r="D3" s="146" t="s">
        <v>5</v>
      </c>
      <c r="E3" s="134" t="s">
        <v>6</v>
      </c>
      <c r="F3" s="140"/>
      <c r="G3" s="134" t="s">
        <v>7</v>
      </c>
      <c r="H3" s="140"/>
      <c r="I3" s="134" t="s">
        <v>8</v>
      </c>
      <c r="J3" s="140"/>
      <c r="K3" s="134" t="s">
        <v>9</v>
      </c>
      <c r="L3" s="140"/>
      <c r="M3" s="134" t="s">
        <v>10</v>
      </c>
    </row>
    <row r="4" spans="1:26" ht="28.7" customHeight="1" x14ac:dyDescent="0.3">
      <c r="A4" s="140"/>
      <c r="B4" s="140"/>
      <c r="C4" s="140"/>
      <c r="D4" s="140"/>
      <c r="E4" s="8" t="s">
        <v>431</v>
      </c>
      <c r="F4" s="8" t="s">
        <v>627</v>
      </c>
      <c r="G4" s="8" t="s">
        <v>431</v>
      </c>
      <c r="H4" s="8" t="s">
        <v>627</v>
      </c>
      <c r="I4" s="8" t="s">
        <v>431</v>
      </c>
      <c r="J4" s="8" t="s">
        <v>627</v>
      </c>
      <c r="K4" s="8" t="s">
        <v>431</v>
      </c>
      <c r="L4" s="8" t="s">
        <v>627</v>
      </c>
      <c r="M4" s="135"/>
      <c r="Z4" s="19" t="str">
        <f>HYPERLINK("#'〓 목 차 〓'!B2","목차 →")</f>
        <v>목차 →</v>
      </c>
    </row>
    <row r="5" spans="1:26" ht="28.7" customHeight="1" x14ac:dyDescent="0.3">
      <c r="A5" s="84" t="s">
        <v>1113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36" t="str">
        <f>HYPERLINK("#N"&amp;ROW(N10),"_x0005_`BDCOD|B00049_x0007_`POSS|"&amp;ROW(N7)&amp;"_x0007_`POSE|"&amp;ROW(N10)&amp;"_x0007_`")</f>
        <v>_x0005_`BDCOD|B00049_x0007_`POSS|7_x0007_`POSE|10_x0007_`</v>
      </c>
    </row>
    <row r="6" spans="1:26" ht="28.7" customHeight="1" x14ac:dyDescent="0.3">
      <c r="A6" s="43" t="s">
        <v>12</v>
      </c>
      <c r="B6" s="43" t="s">
        <v>13</v>
      </c>
      <c r="C6" s="86"/>
      <c r="D6" s="89" t="s">
        <v>14</v>
      </c>
      <c r="E6" s="86"/>
      <c r="F6" s="86"/>
      <c r="G6" s="86"/>
      <c r="H6" s="86"/>
      <c r="I6" s="86"/>
      <c r="J6" s="86"/>
      <c r="K6" s="86"/>
      <c r="L6" s="86"/>
      <c r="M6" s="89" t="s">
        <v>15</v>
      </c>
      <c r="O6" s="6" t="s">
        <v>1114</v>
      </c>
    </row>
    <row r="7" spans="1:26" ht="28.7" customHeight="1" x14ac:dyDescent="0.3">
      <c r="A7" s="9" t="s">
        <v>1115</v>
      </c>
      <c r="B7" s="9" t="s">
        <v>1116</v>
      </c>
      <c r="C7" s="87">
        <v>0</v>
      </c>
      <c r="D7" s="33"/>
      <c r="E7" s="23">
        <v>0</v>
      </c>
      <c r="F7" s="10">
        <v>0</v>
      </c>
      <c r="G7" s="45"/>
      <c r="H7" s="10">
        <v>0</v>
      </c>
      <c r="I7" s="45"/>
      <c r="J7" s="23">
        <v>0</v>
      </c>
      <c r="K7" s="50"/>
      <c r="L7" s="23">
        <v>0</v>
      </c>
      <c r="M7" s="24" t="s">
        <v>1119</v>
      </c>
      <c r="N7" s="16" t="s">
        <v>1117</v>
      </c>
      <c r="O7" s="6" t="s">
        <v>1118</v>
      </c>
      <c r="P7" s="6" t="s">
        <v>1118</v>
      </c>
    </row>
    <row r="8" spans="1:26" ht="28.7" customHeight="1" x14ac:dyDescent="0.3">
      <c r="A8" s="9" t="s">
        <v>501</v>
      </c>
      <c r="B8" s="9" t="s">
        <v>502</v>
      </c>
      <c r="C8" s="87">
        <v>510</v>
      </c>
      <c r="D8" s="33" t="s">
        <v>451</v>
      </c>
      <c r="E8" s="62">
        <f t="shared" ref="E8:F10" si="0">I8+G8+K8</f>
        <v>0</v>
      </c>
      <c r="F8" s="91">
        <f t="shared" si="0"/>
        <v>0</v>
      </c>
      <c r="G8" s="59">
        <v>0</v>
      </c>
      <c r="H8" s="92">
        <f>IF(C8=0,0,ROUNDDOWN(G8*C8,1))</f>
        <v>0</v>
      </c>
      <c r="I8" s="93">
        <f>재료비목록표!E17</f>
        <v>0</v>
      </c>
      <c r="J8" s="94">
        <f>IF(C8=0,0,ROUNDDOWN(I8*C8,1))</f>
        <v>0</v>
      </c>
      <c r="K8" s="59">
        <v>0</v>
      </c>
      <c r="L8" s="92">
        <f>IF(C8=0,0,ROUNDDOWN(K8*C8,1))</f>
        <v>0</v>
      </c>
      <c r="M8" s="24" t="s">
        <v>1122</v>
      </c>
      <c r="N8" s="16" t="s">
        <v>1120</v>
      </c>
      <c r="O8" s="6" t="s">
        <v>1121</v>
      </c>
      <c r="P8" s="6" t="s">
        <v>1129</v>
      </c>
      <c r="Z8" s="19" t="str">
        <f ca="1">HYPERLINK("#"&amp;재료비목록표!G2&amp;"!A"&amp;ROW(재료비목록표!A17),"자재   14 →")</f>
        <v>자재   14 →</v>
      </c>
    </row>
    <row r="9" spans="1:26" ht="28.7" customHeight="1" x14ac:dyDescent="0.3">
      <c r="A9" s="9" t="s">
        <v>506</v>
      </c>
      <c r="B9" s="9" t="s">
        <v>502</v>
      </c>
      <c r="C9" s="87">
        <v>1.1000000000000001</v>
      </c>
      <c r="D9" s="33" t="s">
        <v>445</v>
      </c>
      <c r="E9" s="62">
        <f t="shared" si="0"/>
        <v>0</v>
      </c>
      <c r="F9" s="91">
        <f t="shared" si="0"/>
        <v>0</v>
      </c>
      <c r="G9" s="59">
        <v>0</v>
      </c>
      <c r="H9" s="92">
        <f>IF(C9=0,0,ROUNDDOWN(G9*C9,1))</f>
        <v>0</v>
      </c>
      <c r="I9" s="93">
        <f>재료비목록표!E18</f>
        <v>0</v>
      </c>
      <c r="J9" s="94">
        <f>IF(C9=0,0,ROUNDDOWN(I9*C9,1))</f>
        <v>0</v>
      </c>
      <c r="K9" s="59">
        <v>0</v>
      </c>
      <c r="L9" s="92">
        <f>IF(C9=0,0,ROUNDDOWN(K9*C9,1))</f>
        <v>0</v>
      </c>
      <c r="M9" s="24" t="s">
        <v>1125</v>
      </c>
      <c r="N9" s="16" t="s">
        <v>1123</v>
      </c>
      <c r="O9" s="6" t="s">
        <v>1124</v>
      </c>
      <c r="P9" s="6" t="s">
        <v>1129</v>
      </c>
      <c r="Z9" s="19" t="str">
        <f ca="1">HYPERLINK("#"&amp;재료비목록표!G2&amp;"!A"&amp;ROW(재료비목록표!A18),"자재   15 →")</f>
        <v>자재   15 →</v>
      </c>
    </row>
    <row r="10" spans="1:26" ht="28.7" customHeight="1" x14ac:dyDescent="0.3">
      <c r="A10" s="9" t="s">
        <v>665</v>
      </c>
      <c r="B10" s="9"/>
      <c r="C10" s="87">
        <v>0.66</v>
      </c>
      <c r="D10" s="33" t="s">
        <v>650</v>
      </c>
      <c r="E10" s="62">
        <f t="shared" si="0"/>
        <v>165545</v>
      </c>
      <c r="F10" s="92">
        <f t="shared" si="0"/>
        <v>109259.7</v>
      </c>
      <c r="G10" s="93">
        <f>노무비목록표!E9</f>
        <v>165545</v>
      </c>
      <c r="H10" s="94">
        <f>IF(C10=0,0,ROUNDDOWN(G10*C10,1))</f>
        <v>109259.7</v>
      </c>
      <c r="I10" s="59">
        <v>0</v>
      </c>
      <c r="J10" s="91">
        <f>IF(C10=0,0,ROUNDDOWN(I10*C10,1))</f>
        <v>0</v>
      </c>
      <c r="K10" s="59">
        <v>0</v>
      </c>
      <c r="L10" s="92">
        <f>IF(C10=0,0,ROUNDDOWN(K10*C10,1))</f>
        <v>0</v>
      </c>
      <c r="M10" s="24" t="s">
        <v>1128</v>
      </c>
      <c r="N10" s="16" t="s">
        <v>1126</v>
      </c>
      <c r="O10" s="6" t="s">
        <v>1127</v>
      </c>
      <c r="P10" s="6" t="s">
        <v>1129</v>
      </c>
      <c r="Z10" s="19" t="str">
        <f ca="1">HYPERLINK("#"&amp;노무비목록표!G2&amp;"!A"&amp;ROW(노무비목록표!A9),"노무    6 →")</f>
        <v>노무    6 →</v>
      </c>
    </row>
    <row r="11" spans="1:26" ht="28.7" customHeight="1" x14ac:dyDescent="0.3">
      <c r="A11" s="24" t="s">
        <v>6</v>
      </c>
      <c r="B11" s="58"/>
      <c r="C11" s="58"/>
      <c r="D11" s="58"/>
      <c r="E11" s="58"/>
      <c r="F11" s="55">
        <f>J11+H11+L11</f>
        <v>109259</v>
      </c>
      <c r="G11" s="58"/>
      <c r="H11" s="55">
        <f>ROUNDDOWN(SUMIF(P7:P10,O11,H7:H10),0)</f>
        <v>109259</v>
      </c>
      <c r="I11" s="58"/>
      <c r="J11" s="55">
        <f>ROUNDDOWN(SUMIF(P7:P10,O11,J7:J10),0)</f>
        <v>0</v>
      </c>
      <c r="K11" s="58"/>
      <c r="L11" s="55">
        <f>ROUNDDOWN(SUMIF(P7:P10,O11,L7:L10),0)</f>
        <v>0</v>
      </c>
      <c r="M11" s="58"/>
      <c r="O11" s="6" t="s">
        <v>1129</v>
      </c>
    </row>
    <row r="12" spans="1:26" ht="28.7" customHeight="1" x14ac:dyDescent="0.3">
      <c r="A12" s="84" t="s">
        <v>16</v>
      </c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36" t="str">
        <f>HYPERLINK("#N"&amp;ROW(N14),"_x0005_`BDCOD|B00135_x0007_`POSS|"&amp;ROW(N14)&amp;"_x0007_`POSE|"&amp;ROW(N14)&amp;"_x0007_`")</f>
        <v>_x0005_`BDCOD|B00135_x0007_`POSS|14_x0007_`POSE|14_x0007_`</v>
      </c>
    </row>
    <row r="13" spans="1:26" ht="28.7" customHeight="1" x14ac:dyDescent="0.3">
      <c r="A13" s="43" t="s">
        <v>18</v>
      </c>
      <c r="B13" s="43" t="s">
        <v>19</v>
      </c>
      <c r="C13" s="86"/>
      <c r="D13" s="89" t="s">
        <v>20</v>
      </c>
      <c r="E13" s="86"/>
      <c r="F13" s="86"/>
      <c r="G13" s="86"/>
      <c r="H13" s="86"/>
      <c r="I13" s="86"/>
      <c r="J13" s="86"/>
      <c r="K13" s="86"/>
      <c r="L13" s="86"/>
      <c r="M13" s="89" t="s">
        <v>21</v>
      </c>
      <c r="O13" s="6" t="s">
        <v>1130</v>
      </c>
    </row>
    <row r="14" spans="1:26" ht="28.7" customHeight="1" x14ac:dyDescent="0.3">
      <c r="A14" s="9" t="s">
        <v>656</v>
      </c>
      <c r="B14" s="9"/>
      <c r="C14" s="87">
        <v>0.08</v>
      </c>
      <c r="D14" s="33" t="s">
        <v>650</v>
      </c>
      <c r="E14" s="62">
        <f>I14+G14+K14</f>
        <v>258935</v>
      </c>
      <c r="F14" s="92">
        <f>J14+H14+L14</f>
        <v>20714.8</v>
      </c>
      <c r="G14" s="93">
        <f>노무비목록표!E6</f>
        <v>258935</v>
      </c>
      <c r="H14" s="94">
        <f>IF(C14=0,0,ROUNDDOWN(G14*C14,1))</f>
        <v>20714.8</v>
      </c>
      <c r="I14" s="59">
        <v>0</v>
      </c>
      <c r="J14" s="91">
        <f>IF(C14=0,0,ROUNDDOWN(I14*C14,1))</f>
        <v>0</v>
      </c>
      <c r="K14" s="59">
        <v>0</v>
      </c>
      <c r="L14" s="92">
        <f>IF(C14=0,0,ROUNDDOWN(K14*C14,1))</f>
        <v>0</v>
      </c>
      <c r="M14" s="24" t="s">
        <v>1133</v>
      </c>
      <c r="N14" s="16" t="s">
        <v>1131</v>
      </c>
      <c r="O14" s="6" t="s">
        <v>1132</v>
      </c>
      <c r="P14" s="6" t="s">
        <v>1129</v>
      </c>
      <c r="Z14" s="19" t="str">
        <f ca="1">HYPERLINK("#"&amp;노무비목록표!G2&amp;"!A"&amp;ROW(노무비목록표!A6),"노무    3 →")</f>
        <v>노무    3 →</v>
      </c>
    </row>
    <row r="15" spans="1:26" ht="28.7" customHeight="1" x14ac:dyDescent="0.3">
      <c r="A15" s="24" t="s">
        <v>6</v>
      </c>
      <c r="B15" s="58"/>
      <c r="C15" s="58"/>
      <c r="D15" s="58"/>
      <c r="E15" s="58"/>
      <c r="F15" s="55">
        <f>J15+H15+L15</f>
        <v>20714</v>
      </c>
      <c r="G15" s="58"/>
      <c r="H15" s="55">
        <f>ROUNDDOWN(SUMIF(P14:P14,O15,H14:H14),0)</f>
        <v>20714</v>
      </c>
      <c r="I15" s="58"/>
      <c r="J15" s="55">
        <f>ROUNDDOWN(SUMIF(P14:P14,O15,J14:J14),0)</f>
        <v>0</v>
      </c>
      <c r="K15" s="58"/>
      <c r="L15" s="55">
        <f>ROUNDDOWN(SUMIF(P14:P14,O15,L14:L14),0)</f>
        <v>0</v>
      </c>
      <c r="M15" s="58"/>
      <c r="O15" s="6" t="s">
        <v>1129</v>
      </c>
    </row>
    <row r="16" spans="1:26" ht="28.7" customHeight="1" x14ac:dyDescent="0.3">
      <c r="A16" s="84" t="s">
        <v>22</v>
      </c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36" t="str">
        <f>HYPERLINK("#N"&amp;ROW(N21),"_x0005_`BDCOD|B00353_x0007_`POSS|"&amp;ROW(N18)&amp;"_x0007_`POSE|"&amp;ROW(N21)&amp;"_x0007_`")</f>
        <v>_x0005_`BDCOD|B00353_x0007_`POSS|18_x0007_`POSE|21_x0007_`</v>
      </c>
    </row>
    <row r="17" spans="1:26" ht="28.7" customHeight="1" x14ac:dyDescent="0.3">
      <c r="A17" s="43" t="s">
        <v>24</v>
      </c>
      <c r="B17" s="43" t="s">
        <v>25</v>
      </c>
      <c r="C17" s="86"/>
      <c r="D17" s="89" t="s">
        <v>26</v>
      </c>
      <c r="E17" s="86"/>
      <c r="F17" s="86"/>
      <c r="G17" s="86"/>
      <c r="H17" s="86"/>
      <c r="I17" s="86"/>
      <c r="J17" s="86"/>
      <c r="K17" s="86"/>
      <c r="L17" s="86"/>
      <c r="M17" s="89" t="s">
        <v>27</v>
      </c>
      <c r="O17" s="6" t="s">
        <v>1134</v>
      </c>
    </row>
    <row r="18" spans="1:26" ht="28.7" customHeight="1" x14ac:dyDescent="0.3">
      <c r="A18" s="9" t="s">
        <v>1115</v>
      </c>
      <c r="B18" s="9" t="s">
        <v>1135</v>
      </c>
      <c r="C18" s="87">
        <v>0</v>
      </c>
      <c r="D18" s="33"/>
      <c r="E18" s="23">
        <v>0</v>
      </c>
      <c r="F18" s="10">
        <v>0</v>
      </c>
      <c r="G18" s="45"/>
      <c r="H18" s="10">
        <v>0</v>
      </c>
      <c r="I18" s="45"/>
      <c r="J18" s="23">
        <v>0</v>
      </c>
      <c r="K18" s="50"/>
      <c r="L18" s="23">
        <v>0</v>
      </c>
      <c r="M18" s="24" t="s">
        <v>1119</v>
      </c>
      <c r="N18" s="16" t="s">
        <v>1117</v>
      </c>
      <c r="O18" s="6" t="s">
        <v>1118</v>
      </c>
      <c r="P18" s="6" t="s">
        <v>1118</v>
      </c>
    </row>
    <row r="19" spans="1:26" ht="28.7" customHeight="1" x14ac:dyDescent="0.3">
      <c r="A19" s="9" t="s">
        <v>656</v>
      </c>
      <c r="B19" s="9"/>
      <c r="C19" s="87">
        <v>7.1999999999999995E-2</v>
      </c>
      <c r="D19" s="33" t="s">
        <v>650</v>
      </c>
      <c r="E19" s="62">
        <f t="shared" ref="E19:F21" si="1">I19+G19+K19</f>
        <v>258935</v>
      </c>
      <c r="F19" s="92">
        <f t="shared" si="1"/>
        <v>18643.3</v>
      </c>
      <c r="G19" s="93">
        <f>노무비목록표!E6</f>
        <v>258935</v>
      </c>
      <c r="H19" s="94">
        <f>IF(C19=0,0,ROUNDDOWN(G19*C19,1))</f>
        <v>18643.3</v>
      </c>
      <c r="I19" s="59">
        <v>0</v>
      </c>
      <c r="J19" s="91">
        <f>IF(C19=0,0,ROUNDDOWN(I19*C19,1))</f>
        <v>0</v>
      </c>
      <c r="K19" s="59">
        <v>0</v>
      </c>
      <c r="L19" s="92">
        <f>IF(C19=0,0,ROUNDDOWN(K19*C19,1))</f>
        <v>0</v>
      </c>
      <c r="M19" s="24" t="s">
        <v>1133</v>
      </c>
      <c r="N19" s="16" t="s">
        <v>1131</v>
      </c>
      <c r="O19" s="6" t="s">
        <v>1132</v>
      </c>
      <c r="P19" s="6" t="s">
        <v>1129</v>
      </c>
      <c r="Z19" s="19" t="str">
        <f ca="1">HYPERLINK("#"&amp;노무비목록표!G2&amp;"!A"&amp;ROW(노무비목록표!A6),"노무    3 →")</f>
        <v>노무    3 →</v>
      </c>
    </row>
    <row r="20" spans="1:26" ht="28.7" customHeight="1" x14ac:dyDescent="0.3">
      <c r="A20" s="9" t="s">
        <v>665</v>
      </c>
      <c r="B20" s="9"/>
      <c r="C20" s="87">
        <v>3.5999999999999997E-2</v>
      </c>
      <c r="D20" s="33" t="s">
        <v>650</v>
      </c>
      <c r="E20" s="62">
        <f t="shared" si="1"/>
        <v>165545</v>
      </c>
      <c r="F20" s="92">
        <f t="shared" si="1"/>
        <v>5959.6</v>
      </c>
      <c r="G20" s="93">
        <f>노무비목록표!E9</f>
        <v>165545</v>
      </c>
      <c r="H20" s="94">
        <f>IF(C20=0,0,ROUNDDOWN(G20*C20,1))</f>
        <v>5959.6</v>
      </c>
      <c r="I20" s="59">
        <v>0</v>
      </c>
      <c r="J20" s="91">
        <f>IF(C20=0,0,ROUNDDOWN(I20*C20,1))</f>
        <v>0</v>
      </c>
      <c r="K20" s="59">
        <v>0</v>
      </c>
      <c r="L20" s="92">
        <f>IF(C20=0,0,ROUNDDOWN(K20*C20,1))</f>
        <v>0</v>
      </c>
      <c r="M20" s="24" t="s">
        <v>1128</v>
      </c>
      <c r="N20" s="16" t="s">
        <v>1126</v>
      </c>
      <c r="O20" s="6" t="s">
        <v>1127</v>
      </c>
      <c r="P20" s="6" t="s">
        <v>1129</v>
      </c>
      <c r="Z20" s="19" t="str">
        <f ca="1">HYPERLINK("#"&amp;노무비목록표!G2&amp;"!A"&amp;ROW(노무비목록표!A9),"노무    6 →")</f>
        <v>노무    6 →</v>
      </c>
    </row>
    <row r="21" spans="1:26" ht="28.7" customHeight="1" x14ac:dyDescent="0.3">
      <c r="A21" s="9" t="s">
        <v>409</v>
      </c>
      <c r="B21" s="9"/>
      <c r="C21" s="87">
        <v>0.27</v>
      </c>
      <c r="D21" s="33" t="s">
        <v>347</v>
      </c>
      <c r="E21" s="62">
        <f t="shared" si="1"/>
        <v>105164</v>
      </c>
      <c r="F21" s="92">
        <f t="shared" si="1"/>
        <v>28394.2</v>
      </c>
      <c r="G21" s="93">
        <f>중기목록표!F23</f>
        <v>55700</v>
      </c>
      <c r="H21" s="95">
        <f>IF(C21=0,0,ROUNDDOWN(G21*C21,1))</f>
        <v>15039</v>
      </c>
      <c r="I21" s="93">
        <f>중기목록표!G23</f>
        <v>18296</v>
      </c>
      <c r="J21" s="95">
        <f>IF(C21=0,0,ROUNDDOWN(I21*C21,1))</f>
        <v>4939.8999999999996</v>
      </c>
      <c r="K21" s="93">
        <f>중기목록표!H23</f>
        <v>31168</v>
      </c>
      <c r="L21" s="95">
        <f>IF(C21=0,0,ROUNDDOWN(K21*C21,1))</f>
        <v>8415.2999999999993</v>
      </c>
      <c r="M21" s="24" t="s">
        <v>1138</v>
      </c>
      <c r="N21" s="16" t="s">
        <v>1136</v>
      </c>
      <c r="O21" s="6" t="s">
        <v>1137</v>
      </c>
      <c r="P21" s="6" t="s">
        <v>1129</v>
      </c>
      <c r="Z21" s="19" t="str">
        <f ca="1">HYPERLINK("#"&amp;중기목록표!J2&amp;"!A"&amp;ROW(중기목록표!A23),"중기   20 →")</f>
        <v>중기   20 →</v>
      </c>
    </row>
    <row r="22" spans="1:26" ht="28.7" customHeight="1" x14ac:dyDescent="0.3">
      <c r="A22" s="24" t="s">
        <v>6</v>
      </c>
      <c r="B22" s="58"/>
      <c r="C22" s="58"/>
      <c r="D22" s="58"/>
      <c r="E22" s="58"/>
      <c r="F22" s="55">
        <f>J22+H22+L22</f>
        <v>52995</v>
      </c>
      <c r="G22" s="58"/>
      <c r="H22" s="55">
        <f>ROUNDDOWN(SUMIF(P18:P21,O22,H18:H21),0)</f>
        <v>39641</v>
      </c>
      <c r="I22" s="58"/>
      <c r="J22" s="55">
        <f>ROUNDDOWN(SUMIF(P18:P21,O22,J18:J21),0)</f>
        <v>4939</v>
      </c>
      <c r="K22" s="58"/>
      <c r="L22" s="55">
        <f>ROUNDDOWN(SUMIF(P18:P21,O22,L18:L21),0)</f>
        <v>8415</v>
      </c>
      <c r="M22" s="58"/>
      <c r="O22" s="6" t="s">
        <v>1129</v>
      </c>
    </row>
    <row r="23" spans="1:26" ht="28.7" customHeight="1" x14ac:dyDescent="0.3">
      <c r="A23" s="84" t="s">
        <v>28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36" t="str">
        <f>HYPERLINK("#N"&amp;ROW(N28),"_x0005_`BDCOD|B00839_x0007_`POSS|"&amp;ROW(N25)&amp;"_x0007_`POSE|"&amp;ROW(N28)&amp;"_x0007_`")</f>
        <v>_x0005_`BDCOD|B00839_x0007_`POSS|25_x0007_`POSE|28_x0007_`</v>
      </c>
    </row>
    <row r="24" spans="1:26" ht="28.7" customHeight="1" x14ac:dyDescent="0.3">
      <c r="A24" s="43" t="s">
        <v>30</v>
      </c>
      <c r="B24" s="43" t="s">
        <v>25</v>
      </c>
      <c r="C24" s="86"/>
      <c r="D24" s="89" t="s">
        <v>26</v>
      </c>
      <c r="E24" s="86"/>
      <c r="F24" s="86"/>
      <c r="G24" s="86"/>
      <c r="H24" s="86"/>
      <c r="I24" s="86"/>
      <c r="J24" s="86"/>
      <c r="K24" s="86"/>
      <c r="L24" s="86"/>
      <c r="M24" s="89" t="s">
        <v>31</v>
      </c>
      <c r="O24" s="6" t="s">
        <v>1139</v>
      </c>
    </row>
    <row r="25" spans="1:26" ht="28.7" customHeight="1" x14ac:dyDescent="0.3">
      <c r="A25" s="9" t="s">
        <v>1140</v>
      </c>
      <c r="B25" s="9" t="s">
        <v>30</v>
      </c>
      <c r="C25" s="87">
        <v>0</v>
      </c>
      <c r="D25" s="33"/>
      <c r="E25" s="23">
        <v>0</v>
      </c>
      <c r="F25" s="10">
        <v>0</v>
      </c>
      <c r="G25" s="45"/>
      <c r="H25" s="10">
        <v>0</v>
      </c>
      <c r="I25" s="45"/>
      <c r="J25" s="23">
        <v>0</v>
      </c>
      <c r="K25" s="50"/>
      <c r="L25" s="23">
        <v>0</v>
      </c>
      <c r="M25" s="24" t="s">
        <v>1119</v>
      </c>
      <c r="N25" s="16" t="s">
        <v>1117</v>
      </c>
      <c r="O25" s="6" t="s">
        <v>1118</v>
      </c>
      <c r="P25" s="6" t="s">
        <v>1118</v>
      </c>
    </row>
    <row r="26" spans="1:26" ht="28.7" customHeight="1" x14ac:dyDescent="0.3">
      <c r="A26" s="9" t="s">
        <v>656</v>
      </c>
      <c r="B26" s="9"/>
      <c r="C26" s="87">
        <v>0.1</v>
      </c>
      <c r="D26" s="33" t="s">
        <v>650</v>
      </c>
      <c r="E26" s="62">
        <f t="shared" ref="E26:F28" si="2">I26+G26+K26</f>
        <v>258935</v>
      </c>
      <c r="F26" s="92">
        <f t="shared" si="2"/>
        <v>25893.5</v>
      </c>
      <c r="G26" s="93">
        <f>노무비목록표!E6</f>
        <v>258935</v>
      </c>
      <c r="H26" s="94">
        <f>IF(C26=0,0,ROUNDDOWN(G26*C26,1))</f>
        <v>25893.5</v>
      </c>
      <c r="I26" s="59">
        <v>0</v>
      </c>
      <c r="J26" s="91">
        <f>IF(C26=0,0,ROUNDDOWN(I26*C26,1))</f>
        <v>0</v>
      </c>
      <c r="K26" s="59">
        <v>0</v>
      </c>
      <c r="L26" s="92">
        <f>IF(C26=0,0,ROUNDDOWN(K26*C26,1))</f>
        <v>0</v>
      </c>
      <c r="M26" s="24" t="s">
        <v>1133</v>
      </c>
      <c r="N26" s="16" t="s">
        <v>1131</v>
      </c>
      <c r="O26" s="6" t="s">
        <v>1132</v>
      </c>
      <c r="P26" s="6" t="s">
        <v>1129</v>
      </c>
      <c r="Z26" s="19" t="str">
        <f ca="1">HYPERLINK("#"&amp;노무비목록표!G2&amp;"!A"&amp;ROW(노무비목록표!A6),"노무    3 →")</f>
        <v>노무    3 →</v>
      </c>
    </row>
    <row r="27" spans="1:26" ht="28.7" customHeight="1" x14ac:dyDescent="0.3">
      <c r="A27" s="9" t="s">
        <v>665</v>
      </c>
      <c r="B27" s="9"/>
      <c r="C27" s="87">
        <v>0.03</v>
      </c>
      <c r="D27" s="33" t="s">
        <v>650</v>
      </c>
      <c r="E27" s="62">
        <f t="shared" si="2"/>
        <v>165545</v>
      </c>
      <c r="F27" s="92">
        <f t="shared" si="2"/>
        <v>4966.3</v>
      </c>
      <c r="G27" s="93">
        <f>노무비목록표!E9</f>
        <v>165545</v>
      </c>
      <c r="H27" s="94">
        <f>IF(C27=0,0,ROUNDDOWN(G27*C27,1))</f>
        <v>4966.3</v>
      </c>
      <c r="I27" s="59">
        <v>0</v>
      </c>
      <c r="J27" s="91">
        <f>IF(C27=0,0,ROUNDDOWN(I27*C27,1))</f>
        <v>0</v>
      </c>
      <c r="K27" s="59">
        <v>0</v>
      </c>
      <c r="L27" s="92">
        <f>IF(C27=0,0,ROUNDDOWN(K27*C27,1))</f>
        <v>0</v>
      </c>
      <c r="M27" s="24" t="s">
        <v>1128</v>
      </c>
      <c r="N27" s="16" t="s">
        <v>1126</v>
      </c>
      <c r="O27" s="6" t="s">
        <v>1127</v>
      </c>
      <c r="P27" s="6" t="s">
        <v>1129</v>
      </c>
      <c r="Z27" s="19" t="str">
        <f ca="1">HYPERLINK("#"&amp;노무비목록표!G2&amp;"!A"&amp;ROW(노무비목록표!A9),"노무    6 →")</f>
        <v>노무    6 →</v>
      </c>
    </row>
    <row r="28" spans="1:26" ht="28.7" customHeight="1" x14ac:dyDescent="0.3">
      <c r="A28" s="9" t="s">
        <v>409</v>
      </c>
      <c r="B28" s="9"/>
      <c r="C28" s="87">
        <v>0.21</v>
      </c>
      <c r="D28" s="33" t="s">
        <v>347</v>
      </c>
      <c r="E28" s="62">
        <f t="shared" si="2"/>
        <v>105164</v>
      </c>
      <c r="F28" s="92">
        <f t="shared" si="2"/>
        <v>22084.3</v>
      </c>
      <c r="G28" s="93">
        <f>중기목록표!F23</f>
        <v>55700</v>
      </c>
      <c r="H28" s="95">
        <f>IF(C28=0,0,ROUNDDOWN(G28*C28,1))</f>
        <v>11697</v>
      </c>
      <c r="I28" s="93">
        <f>중기목록표!G23</f>
        <v>18296</v>
      </c>
      <c r="J28" s="95">
        <f>IF(C28=0,0,ROUNDDOWN(I28*C28,1))</f>
        <v>3842.1</v>
      </c>
      <c r="K28" s="93">
        <f>중기목록표!H23</f>
        <v>31168</v>
      </c>
      <c r="L28" s="95">
        <f>IF(C28=0,0,ROUNDDOWN(K28*C28,1))</f>
        <v>6545.2</v>
      </c>
      <c r="M28" s="24" t="s">
        <v>1138</v>
      </c>
      <c r="N28" s="16" t="s">
        <v>1136</v>
      </c>
      <c r="O28" s="6" t="s">
        <v>1137</v>
      </c>
      <c r="P28" s="6" t="s">
        <v>1129</v>
      </c>
      <c r="Z28" s="19" t="str">
        <f ca="1">HYPERLINK("#"&amp;중기목록표!J2&amp;"!A"&amp;ROW(중기목록표!A23),"중기   20 →")</f>
        <v>중기   20 →</v>
      </c>
    </row>
    <row r="29" spans="1:26" ht="28.7" customHeight="1" x14ac:dyDescent="0.3">
      <c r="A29" s="24" t="s">
        <v>6</v>
      </c>
      <c r="B29" s="58"/>
      <c r="C29" s="58"/>
      <c r="D29" s="58"/>
      <c r="E29" s="58"/>
      <c r="F29" s="55">
        <f>J29+H29+L29</f>
        <v>52943</v>
      </c>
      <c r="G29" s="58"/>
      <c r="H29" s="55">
        <f>ROUNDDOWN(SUMIF(P25:P28,O29,H25:H28),0)</f>
        <v>42556</v>
      </c>
      <c r="I29" s="58"/>
      <c r="J29" s="55">
        <f>ROUNDDOWN(SUMIF(P25:P28,O29,J25:J28),0)</f>
        <v>3842</v>
      </c>
      <c r="K29" s="58"/>
      <c r="L29" s="55">
        <f>ROUNDDOWN(SUMIF(P25:P28,O29,L25:L28),0)</f>
        <v>6545</v>
      </c>
      <c r="M29" s="58"/>
      <c r="O29" s="6" t="s">
        <v>1129</v>
      </c>
    </row>
    <row r="30" spans="1:26" ht="28.7" customHeight="1" x14ac:dyDescent="0.3">
      <c r="A30" s="84" t="s">
        <v>32</v>
      </c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36" t="str">
        <f>HYPERLINK("#N"&amp;ROW(N35),"_x0005_`BDCOD|B00866_x0007_`POSS|"&amp;ROW(N32)&amp;"_x0007_`POSE|"&amp;ROW(N35)&amp;"_x0007_`")</f>
        <v>_x0005_`BDCOD|B00866_x0007_`POSS|32_x0007_`POSE|35_x0007_`</v>
      </c>
    </row>
    <row r="31" spans="1:26" ht="28.7" customHeight="1" x14ac:dyDescent="0.3">
      <c r="A31" s="43" t="s">
        <v>30</v>
      </c>
      <c r="B31" s="43" t="s">
        <v>34</v>
      </c>
      <c r="C31" s="86"/>
      <c r="D31" s="89" t="s">
        <v>26</v>
      </c>
      <c r="E31" s="86"/>
      <c r="F31" s="86"/>
      <c r="G31" s="86"/>
      <c r="H31" s="86"/>
      <c r="I31" s="86"/>
      <c r="J31" s="86"/>
      <c r="K31" s="86"/>
      <c r="L31" s="86"/>
      <c r="M31" s="89" t="s">
        <v>35</v>
      </c>
      <c r="O31" s="6" t="s">
        <v>1141</v>
      </c>
    </row>
    <row r="32" spans="1:26" ht="28.7" customHeight="1" x14ac:dyDescent="0.3">
      <c r="A32" s="9" t="s">
        <v>1115</v>
      </c>
      <c r="B32" s="9" t="s">
        <v>1142</v>
      </c>
      <c r="C32" s="87">
        <v>0</v>
      </c>
      <c r="D32" s="33"/>
      <c r="E32" s="23">
        <v>0</v>
      </c>
      <c r="F32" s="10">
        <v>0</v>
      </c>
      <c r="G32" s="45"/>
      <c r="H32" s="10">
        <v>0</v>
      </c>
      <c r="I32" s="45"/>
      <c r="J32" s="23">
        <v>0</v>
      </c>
      <c r="K32" s="50"/>
      <c r="L32" s="23">
        <v>0</v>
      </c>
      <c r="M32" s="24" t="s">
        <v>1119</v>
      </c>
      <c r="N32" s="16" t="s">
        <v>1117</v>
      </c>
      <c r="O32" s="6" t="s">
        <v>1118</v>
      </c>
      <c r="P32" s="6" t="s">
        <v>1118</v>
      </c>
    </row>
    <row r="33" spans="1:26" ht="28.7" customHeight="1" x14ac:dyDescent="0.3">
      <c r="A33" s="9" t="s">
        <v>656</v>
      </c>
      <c r="B33" s="9"/>
      <c r="C33" s="87">
        <v>0.11</v>
      </c>
      <c r="D33" s="33" t="s">
        <v>650</v>
      </c>
      <c r="E33" s="62">
        <f t="shared" ref="E33:F35" si="3">I33+G33+K33</f>
        <v>258935</v>
      </c>
      <c r="F33" s="92">
        <f t="shared" si="3"/>
        <v>28482.799999999999</v>
      </c>
      <c r="G33" s="93">
        <f>노무비목록표!E6</f>
        <v>258935</v>
      </c>
      <c r="H33" s="94">
        <f>IF(C33=0,0,ROUNDDOWN(G33*C33,1))</f>
        <v>28482.799999999999</v>
      </c>
      <c r="I33" s="59">
        <v>0</v>
      </c>
      <c r="J33" s="91">
        <f>IF(C33=0,0,ROUNDDOWN(I33*C33,1))</f>
        <v>0</v>
      </c>
      <c r="K33" s="59">
        <v>0</v>
      </c>
      <c r="L33" s="92">
        <f>IF(C33=0,0,ROUNDDOWN(K33*C33,1))</f>
        <v>0</v>
      </c>
      <c r="M33" s="24" t="s">
        <v>1133</v>
      </c>
      <c r="N33" s="16" t="s">
        <v>1131</v>
      </c>
      <c r="O33" s="6" t="s">
        <v>1132</v>
      </c>
      <c r="P33" s="6" t="s">
        <v>1129</v>
      </c>
      <c r="Z33" s="19" t="str">
        <f ca="1">HYPERLINK("#"&amp;노무비목록표!G2&amp;"!A"&amp;ROW(노무비목록표!A6),"노무    3 →")</f>
        <v>노무    3 →</v>
      </c>
    </row>
    <row r="34" spans="1:26" ht="28.7" customHeight="1" x14ac:dyDescent="0.3">
      <c r="A34" s="9" t="s">
        <v>665</v>
      </c>
      <c r="B34" s="9"/>
      <c r="C34" s="87">
        <v>0.04</v>
      </c>
      <c r="D34" s="33" t="s">
        <v>650</v>
      </c>
      <c r="E34" s="62">
        <f t="shared" si="3"/>
        <v>165545</v>
      </c>
      <c r="F34" s="92">
        <f t="shared" si="3"/>
        <v>6621.8</v>
      </c>
      <c r="G34" s="93">
        <f>노무비목록표!E9</f>
        <v>165545</v>
      </c>
      <c r="H34" s="94">
        <f>IF(C34=0,0,ROUNDDOWN(G34*C34,1))</f>
        <v>6621.8</v>
      </c>
      <c r="I34" s="59">
        <v>0</v>
      </c>
      <c r="J34" s="91">
        <f>IF(C34=0,0,ROUNDDOWN(I34*C34,1))</f>
        <v>0</v>
      </c>
      <c r="K34" s="59">
        <v>0</v>
      </c>
      <c r="L34" s="92">
        <f>IF(C34=0,0,ROUNDDOWN(K34*C34,1))</f>
        <v>0</v>
      </c>
      <c r="M34" s="24" t="s">
        <v>1128</v>
      </c>
      <c r="N34" s="16" t="s">
        <v>1126</v>
      </c>
      <c r="O34" s="6" t="s">
        <v>1127</v>
      </c>
      <c r="P34" s="6" t="s">
        <v>1129</v>
      </c>
      <c r="Z34" s="19" t="str">
        <f ca="1">HYPERLINK("#"&amp;노무비목록표!G2&amp;"!A"&amp;ROW(노무비목록표!A9),"노무    6 →")</f>
        <v>노무    6 →</v>
      </c>
    </row>
    <row r="35" spans="1:26" ht="28.7" customHeight="1" x14ac:dyDescent="0.3">
      <c r="A35" s="9" t="s">
        <v>409</v>
      </c>
      <c r="B35" s="9"/>
      <c r="C35" s="87">
        <v>0.22</v>
      </c>
      <c r="D35" s="33" t="s">
        <v>347</v>
      </c>
      <c r="E35" s="62">
        <f t="shared" si="3"/>
        <v>105164</v>
      </c>
      <c r="F35" s="92">
        <f t="shared" si="3"/>
        <v>23136</v>
      </c>
      <c r="G35" s="93">
        <f>중기목록표!F23</f>
        <v>55700</v>
      </c>
      <c r="H35" s="95">
        <f>IF(C35=0,0,ROUNDDOWN(G35*C35,1))</f>
        <v>12254</v>
      </c>
      <c r="I35" s="93">
        <f>중기목록표!G23</f>
        <v>18296</v>
      </c>
      <c r="J35" s="95">
        <f>IF(C35=0,0,ROUNDDOWN(I35*C35,1))</f>
        <v>4025.1</v>
      </c>
      <c r="K35" s="93">
        <f>중기목록표!H23</f>
        <v>31168</v>
      </c>
      <c r="L35" s="95">
        <f>IF(C35=0,0,ROUNDDOWN(K35*C35,1))</f>
        <v>6856.9</v>
      </c>
      <c r="M35" s="24" t="s">
        <v>1138</v>
      </c>
      <c r="N35" s="16" t="s">
        <v>1136</v>
      </c>
      <c r="O35" s="6" t="s">
        <v>1137</v>
      </c>
      <c r="P35" s="6" t="s">
        <v>1129</v>
      </c>
      <c r="Z35" s="19" t="str">
        <f ca="1">HYPERLINK("#"&amp;중기목록표!J2&amp;"!A"&amp;ROW(중기목록표!A23),"중기   20 →")</f>
        <v>중기   20 →</v>
      </c>
    </row>
    <row r="36" spans="1:26" ht="28.7" customHeight="1" x14ac:dyDescent="0.3">
      <c r="A36" s="24" t="s">
        <v>6</v>
      </c>
      <c r="B36" s="58"/>
      <c r="C36" s="58"/>
      <c r="D36" s="58"/>
      <c r="E36" s="58"/>
      <c r="F36" s="55">
        <f>J36+H36+L36</f>
        <v>58239</v>
      </c>
      <c r="G36" s="58"/>
      <c r="H36" s="55">
        <f>ROUNDDOWN(SUMIF(P32:P35,O36,H32:H35),0)</f>
        <v>47358</v>
      </c>
      <c r="I36" s="58"/>
      <c r="J36" s="55">
        <f>ROUNDDOWN(SUMIF(P32:P35,O36,J32:J35),0)</f>
        <v>4025</v>
      </c>
      <c r="K36" s="58"/>
      <c r="L36" s="55">
        <f>ROUNDDOWN(SUMIF(P32:P35,O36,L32:L35),0)</f>
        <v>6856</v>
      </c>
      <c r="M36" s="58"/>
      <c r="O36" s="6" t="s">
        <v>1129</v>
      </c>
    </row>
    <row r="37" spans="1:26" ht="28.7" customHeight="1" x14ac:dyDescent="0.3">
      <c r="A37" s="84" t="s">
        <v>36</v>
      </c>
      <c r="B37" s="84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36" t="str">
        <f>HYPERLINK("#N"&amp;ROW(N42),"_x0005_`BDCOD|B00884_x0007_`POSS|"&amp;ROW(N39)&amp;"_x0007_`POSE|"&amp;ROW(N42)&amp;"_x0007_`")</f>
        <v>_x0005_`BDCOD|B00884_x0007_`POSS|39_x0007_`POSE|42_x0007_`</v>
      </c>
    </row>
    <row r="38" spans="1:26" ht="28.7" customHeight="1" x14ac:dyDescent="0.3">
      <c r="A38" s="43" t="s">
        <v>38</v>
      </c>
      <c r="B38" s="43" t="s">
        <v>25</v>
      </c>
      <c r="C38" s="86"/>
      <c r="D38" s="89" t="s">
        <v>26</v>
      </c>
      <c r="E38" s="86"/>
      <c r="F38" s="86"/>
      <c r="G38" s="86"/>
      <c r="H38" s="86"/>
      <c r="I38" s="86"/>
      <c r="J38" s="86"/>
      <c r="K38" s="86"/>
      <c r="L38" s="86"/>
      <c r="M38" s="89" t="s">
        <v>39</v>
      </c>
      <c r="O38" s="6" t="s">
        <v>1143</v>
      </c>
    </row>
    <row r="39" spans="1:26" ht="28.7" customHeight="1" x14ac:dyDescent="0.3">
      <c r="A39" s="9" t="s">
        <v>1115</v>
      </c>
      <c r="B39" s="9" t="s">
        <v>1144</v>
      </c>
      <c r="C39" s="87">
        <v>0</v>
      </c>
      <c r="D39" s="33"/>
      <c r="E39" s="23">
        <v>0</v>
      </c>
      <c r="F39" s="10">
        <v>0</v>
      </c>
      <c r="G39" s="45"/>
      <c r="H39" s="10">
        <v>0</v>
      </c>
      <c r="I39" s="45"/>
      <c r="J39" s="23">
        <v>0</v>
      </c>
      <c r="K39" s="50"/>
      <c r="L39" s="23">
        <v>0</v>
      </c>
      <c r="M39" s="24" t="s">
        <v>1119</v>
      </c>
      <c r="N39" s="16" t="s">
        <v>1117</v>
      </c>
      <c r="O39" s="6" t="s">
        <v>1118</v>
      </c>
      <c r="P39" s="6" t="s">
        <v>1118</v>
      </c>
    </row>
    <row r="40" spans="1:26" ht="28.7" customHeight="1" x14ac:dyDescent="0.3">
      <c r="A40" s="9" t="s">
        <v>656</v>
      </c>
      <c r="B40" s="9"/>
      <c r="C40" s="87">
        <v>0.09</v>
      </c>
      <c r="D40" s="33" t="s">
        <v>650</v>
      </c>
      <c r="E40" s="62">
        <f t="shared" ref="E40:F42" si="4">I40+G40+K40</f>
        <v>258935</v>
      </c>
      <c r="F40" s="92">
        <f t="shared" si="4"/>
        <v>23304.1</v>
      </c>
      <c r="G40" s="93">
        <f>노무비목록표!E6</f>
        <v>258935</v>
      </c>
      <c r="H40" s="94">
        <f>IF(C40=0,0,ROUNDDOWN(G40*C40,1))</f>
        <v>23304.1</v>
      </c>
      <c r="I40" s="59">
        <v>0</v>
      </c>
      <c r="J40" s="91">
        <f>IF(C40=0,0,ROUNDDOWN(I40*C40,1))</f>
        <v>0</v>
      </c>
      <c r="K40" s="59">
        <v>0</v>
      </c>
      <c r="L40" s="92">
        <f>IF(C40=0,0,ROUNDDOWN(K40*C40,1))</f>
        <v>0</v>
      </c>
      <c r="M40" s="24" t="s">
        <v>1133</v>
      </c>
      <c r="N40" s="16" t="s">
        <v>1131</v>
      </c>
      <c r="O40" s="6" t="s">
        <v>1132</v>
      </c>
      <c r="P40" s="6" t="s">
        <v>1129</v>
      </c>
      <c r="Z40" s="19" t="str">
        <f ca="1">HYPERLINK("#"&amp;노무비목록표!G2&amp;"!A"&amp;ROW(노무비목록표!A6),"노무    3 →")</f>
        <v>노무    3 →</v>
      </c>
    </row>
    <row r="41" spans="1:26" ht="28.7" customHeight="1" x14ac:dyDescent="0.3">
      <c r="A41" s="9" t="s">
        <v>665</v>
      </c>
      <c r="B41" s="9"/>
      <c r="C41" s="87">
        <v>0.04</v>
      </c>
      <c r="D41" s="33" t="s">
        <v>650</v>
      </c>
      <c r="E41" s="62">
        <f t="shared" si="4"/>
        <v>165545</v>
      </c>
      <c r="F41" s="92">
        <f t="shared" si="4"/>
        <v>6621.8</v>
      </c>
      <c r="G41" s="93">
        <f>노무비목록표!E9</f>
        <v>165545</v>
      </c>
      <c r="H41" s="94">
        <f>IF(C41=0,0,ROUNDDOWN(G41*C41,1))</f>
        <v>6621.8</v>
      </c>
      <c r="I41" s="59">
        <v>0</v>
      </c>
      <c r="J41" s="91">
        <f>IF(C41=0,0,ROUNDDOWN(I41*C41,1))</f>
        <v>0</v>
      </c>
      <c r="K41" s="59">
        <v>0</v>
      </c>
      <c r="L41" s="92">
        <f>IF(C41=0,0,ROUNDDOWN(K41*C41,1))</f>
        <v>0</v>
      </c>
      <c r="M41" s="24" t="s">
        <v>1128</v>
      </c>
      <c r="N41" s="16" t="s">
        <v>1126</v>
      </c>
      <c r="O41" s="6" t="s">
        <v>1127</v>
      </c>
      <c r="P41" s="6" t="s">
        <v>1129</v>
      </c>
      <c r="Z41" s="19" t="str">
        <f ca="1">HYPERLINK("#"&amp;노무비목록표!G2&amp;"!A"&amp;ROW(노무비목록표!A9),"노무    6 →")</f>
        <v>노무    6 →</v>
      </c>
    </row>
    <row r="42" spans="1:26" ht="28.7" customHeight="1" x14ac:dyDescent="0.3">
      <c r="A42" s="9" t="s">
        <v>409</v>
      </c>
      <c r="B42" s="9"/>
      <c r="C42" s="87">
        <v>0.37</v>
      </c>
      <c r="D42" s="33" t="s">
        <v>347</v>
      </c>
      <c r="E42" s="62">
        <f t="shared" si="4"/>
        <v>105164</v>
      </c>
      <c r="F42" s="92">
        <f t="shared" si="4"/>
        <v>38910.6</v>
      </c>
      <c r="G42" s="93">
        <f>중기목록표!F23</f>
        <v>55700</v>
      </c>
      <c r="H42" s="95">
        <f>IF(C42=0,0,ROUNDDOWN(G42*C42,1))</f>
        <v>20609</v>
      </c>
      <c r="I42" s="93">
        <f>중기목록표!G23</f>
        <v>18296</v>
      </c>
      <c r="J42" s="95">
        <f>IF(C42=0,0,ROUNDDOWN(I42*C42,1))</f>
        <v>6769.5</v>
      </c>
      <c r="K42" s="93">
        <f>중기목록표!H23</f>
        <v>31168</v>
      </c>
      <c r="L42" s="95">
        <f>IF(C42=0,0,ROUNDDOWN(K42*C42,1))</f>
        <v>11532.1</v>
      </c>
      <c r="M42" s="24" t="s">
        <v>1138</v>
      </c>
      <c r="N42" s="16" t="s">
        <v>1136</v>
      </c>
      <c r="O42" s="6" t="s">
        <v>1137</v>
      </c>
      <c r="P42" s="6" t="s">
        <v>1129</v>
      </c>
      <c r="Z42" s="19" t="str">
        <f ca="1">HYPERLINK("#"&amp;중기목록표!J2&amp;"!A"&amp;ROW(중기목록표!A23),"중기   20 →")</f>
        <v>중기   20 →</v>
      </c>
    </row>
    <row r="43" spans="1:26" ht="28.7" customHeight="1" x14ac:dyDescent="0.3">
      <c r="A43" s="24" t="s">
        <v>6</v>
      </c>
      <c r="B43" s="58"/>
      <c r="C43" s="58"/>
      <c r="D43" s="58"/>
      <c r="E43" s="58"/>
      <c r="F43" s="55">
        <f>J43+H43+L43</f>
        <v>68835</v>
      </c>
      <c r="G43" s="58"/>
      <c r="H43" s="55">
        <f>ROUNDDOWN(SUMIF(P39:P42,O43,H39:H42),0)</f>
        <v>50534</v>
      </c>
      <c r="I43" s="58"/>
      <c r="J43" s="55">
        <f>ROUNDDOWN(SUMIF(P39:P42,O43,J39:J42),0)</f>
        <v>6769</v>
      </c>
      <c r="K43" s="58"/>
      <c r="L43" s="55">
        <f>ROUNDDOWN(SUMIF(P39:P42,O43,L39:L42),0)</f>
        <v>11532</v>
      </c>
      <c r="M43" s="58"/>
      <c r="O43" s="6" t="s">
        <v>1129</v>
      </c>
    </row>
    <row r="44" spans="1:26" ht="28.7" customHeight="1" x14ac:dyDescent="0.3">
      <c r="A44" s="84" t="s">
        <v>40</v>
      </c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36" t="str">
        <f>HYPERLINK("#N"&amp;ROW(N52),"_x0005_`BDCOD|B01190_x0007_`POSS|"&amp;ROW(N46)&amp;"_x0007_`POSE|"&amp;ROW(N52)&amp;"_x0007_`")</f>
        <v>_x0005_`BDCOD|B01190_x0007_`POSS|46_x0007_`POSE|52_x0007_`</v>
      </c>
    </row>
    <row r="45" spans="1:26" ht="28.7" customHeight="1" x14ac:dyDescent="0.3">
      <c r="A45" s="43" t="s">
        <v>42</v>
      </c>
      <c r="B45" s="43" t="s">
        <v>43</v>
      </c>
      <c r="C45" s="86"/>
      <c r="D45" s="89" t="s">
        <v>14</v>
      </c>
      <c r="E45" s="86"/>
      <c r="F45" s="86"/>
      <c r="G45" s="86"/>
      <c r="H45" s="86"/>
      <c r="I45" s="86"/>
      <c r="J45" s="86"/>
      <c r="K45" s="86"/>
      <c r="L45" s="86"/>
      <c r="M45" s="89" t="s">
        <v>44</v>
      </c>
      <c r="O45" s="6" t="s">
        <v>1145</v>
      </c>
    </row>
    <row r="46" spans="1:26" ht="28.7" customHeight="1" x14ac:dyDescent="0.3">
      <c r="A46" s="9" t="s">
        <v>1115</v>
      </c>
      <c r="B46" s="9" t="s">
        <v>1146</v>
      </c>
      <c r="C46" s="87">
        <v>0</v>
      </c>
      <c r="D46" s="33"/>
      <c r="E46" s="23">
        <v>0</v>
      </c>
      <c r="F46" s="10">
        <v>0</v>
      </c>
      <c r="G46" s="45"/>
      <c r="H46" s="10">
        <v>0</v>
      </c>
      <c r="I46" s="45"/>
      <c r="J46" s="23">
        <v>0</v>
      </c>
      <c r="K46" s="50"/>
      <c r="L46" s="23">
        <v>0</v>
      </c>
      <c r="M46" s="24" t="s">
        <v>1119</v>
      </c>
      <c r="N46" s="16" t="s">
        <v>1117</v>
      </c>
      <c r="O46" s="6" t="s">
        <v>1118</v>
      </c>
      <c r="P46" s="6" t="s">
        <v>1118</v>
      </c>
    </row>
    <row r="47" spans="1:26" ht="28.7" customHeight="1" x14ac:dyDescent="0.3">
      <c r="A47" s="9" t="s">
        <v>501</v>
      </c>
      <c r="B47" s="9" t="s">
        <v>502</v>
      </c>
      <c r="C47" s="87">
        <v>323</v>
      </c>
      <c r="D47" s="33" t="s">
        <v>451</v>
      </c>
      <c r="E47" s="62">
        <f t="shared" ref="E47:F52" si="5">I47+G47+K47</f>
        <v>0</v>
      </c>
      <c r="F47" s="91">
        <f t="shared" si="5"/>
        <v>0</v>
      </c>
      <c r="G47" s="59">
        <v>0</v>
      </c>
      <c r="H47" s="92">
        <f t="shared" ref="H47:H52" si="6">IF(C47=0,0,ROUNDDOWN(G47*C47,1))</f>
        <v>0</v>
      </c>
      <c r="I47" s="93">
        <f>재료비목록표!E17</f>
        <v>0</v>
      </c>
      <c r="J47" s="94">
        <f t="shared" ref="J47:J52" si="7">IF(C47=0,0,ROUNDDOWN(I47*C47,1))</f>
        <v>0</v>
      </c>
      <c r="K47" s="59">
        <v>0</v>
      </c>
      <c r="L47" s="92">
        <f t="shared" ref="L47:L52" si="8">IF(C47=0,0,ROUNDDOWN(K47*C47,1))</f>
        <v>0</v>
      </c>
      <c r="M47" s="24" t="s">
        <v>1122</v>
      </c>
      <c r="N47" s="16" t="s">
        <v>1120</v>
      </c>
      <c r="O47" s="6" t="s">
        <v>1121</v>
      </c>
      <c r="P47" s="6" t="s">
        <v>1129</v>
      </c>
      <c r="Z47" s="19" t="str">
        <f ca="1">HYPERLINK("#"&amp;재료비목록표!G2&amp;"!A"&amp;ROW(재료비목록표!A17),"자재   14 →")</f>
        <v>자재   14 →</v>
      </c>
    </row>
    <row r="48" spans="1:26" ht="28.7" customHeight="1" x14ac:dyDescent="0.3">
      <c r="A48" s="9" t="s">
        <v>506</v>
      </c>
      <c r="B48" s="9" t="s">
        <v>502</v>
      </c>
      <c r="C48" s="87">
        <v>0.48</v>
      </c>
      <c r="D48" s="33" t="s">
        <v>445</v>
      </c>
      <c r="E48" s="62">
        <f t="shared" si="5"/>
        <v>0</v>
      </c>
      <c r="F48" s="91">
        <f t="shared" si="5"/>
        <v>0</v>
      </c>
      <c r="G48" s="59">
        <v>0</v>
      </c>
      <c r="H48" s="92">
        <f t="shared" si="6"/>
        <v>0</v>
      </c>
      <c r="I48" s="93">
        <f>재료비목록표!E18</f>
        <v>0</v>
      </c>
      <c r="J48" s="94">
        <f t="shared" si="7"/>
        <v>0</v>
      </c>
      <c r="K48" s="59">
        <v>0</v>
      </c>
      <c r="L48" s="92">
        <f t="shared" si="8"/>
        <v>0</v>
      </c>
      <c r="M48" s="24" t="s">
        <v>1125</v>
      </c>
      <c r="N48" s="16" t="s">
        <v>1123</v>
      </c>
      <c r="O48" s="6" t="s">
        <v>1124</v>
      </c>
      <c r="P48" s="6" t="s">
        <v>1129</v>
      </c>
      <c r="Z48" s="19" t="str">
        <f ca="1">HYPERLINK("#"&amp;재료비목록표!G2&amp;"!A"&amp;ROW(재료비목록표!A18),"자재   15 →")</f>
        <v>자재   15 →</v>
      </c>
    </row>
    <row r="49" spans="1:26" ht="28.7" customHeight="1" x14ac:dyDescent="0.3">
      <c r="A49" s="9" t="s">
        <v>564</v>
      </c>
      <c r="B49" s="9" t="s">
        <v>502</v>
      </c>
      <c r="C49" s="87">
        <v>0.65</v>
      </c>
      <c r="D49" s="33" t="s">
        <v>445</v>
      </c>
      <c r="E49" s="62">
        <f t="shared" si="5"/>
        <v>0</v>
      </c>
      <c r="F49" s="91">
        <f t="shared" si="5"/>
        <v>0</v>
      </c>
      <c r="G49" s="59">
        <v>0</v>
      </c>
      <c r="H49" s="92">
        <f t="shared" si="6"/>
        <v>0</v>
      </c>
      <c r="I49" s="93">
        <f>재료비목록표!E31</f>
        <v>0</v>
      </c>
      <c r="J49" s="94">
        <f t="shared" si="7"/>
        <v>0</v>
      </c>
      <c r="K49" s="59">
        <v>0</v>
      </c>
      <c r="L49" s="92">
        <f t="shared" si="8"/>
        <v>0</v>
      </c>
      <c r="M49" s="24" t="s">
        <v>1149</v>
      </c>
      <c r="N49" s="16" t="s">
        <v>1147</v>
      </c>
      <c r="O49" s="6" t="s">
        <v>1148</v>
      </c>
      <c r="P49" s="6" t="s">
        <v>1129</v>
      </c>
      <c r="Z49" s="19" t="str">
        <f ca="1">HYPERLINK("#"&amp;재료비목록표!G2&amp;"!A"&amp;ROW(재료비목록표!A31),"자재   28 →")</f>
        <v>자재   28 →</v>
      </c>
    </row>
    <row r="50" spans="1:26" ht="28.7" customHeight="1" x14ac:dyDescent="0.3">
      <c r="A50" s="9" t="s">
        <v>659</v>
      </c>
      <c r="B50" s="9"/>
      <c r="C50" s="87">
        <v>0.15</v>
      </c>
      <c r="D50" s="33" t="s">
        <v>650</v>
      </c>
      <c r="E50" s="62">
        <f t="shared" si="5"/>
        <v>261283</v>
      </c>
      <c r="F50" s="92">
        <f t="shared" si="5"/>
        <v>39192.400000000001</v>
      </c>
      <c r="G50" s="93">
        <f>노무비목록표!E7</f>
        <v>261283</v>
      </c>
      <c r="H50" s="94">
        <f t="shared" si="6"/>
        <v>39192.400000000001</v>
      </c>
      <c r="I50" s="59">
        <v>0</v>
      </c>
      <c r="J50" s="91">
        <f t="shared" si="7"/>
        <v>0</v>
      </c>
      <c r="K50" s="59">
        <v>0</v>
      </c>
      <c r="L50" s="92">
        <f t="shared" si="8"/>
        <v>0</v>
      </c>
      <c r="M50" s="24" t="s">
        <v>1152</v>
      </c>
      <c r="N50" s="16" t="s">
        <v>1150</v>
      </c>
      <c r="O50" s="6" t="s">
        <v>1151</v>
      </c>
      <c r="P50" s="6" t="s">
        <v>1129</v>
      </c>
      <c r="Z50" s="19" t="str">
        <f ca="1">HYPERLINK("#"&amp;노무비목록표!G2&amp;"!A"&amp;ROW(노무비목록표!A7),"노무    4 →")</f>
        <v>노무    4 →</v>
      </c>
    </row>
    <row r="51" spans="1:26" ht="28.7" customHeight="1" x14ac:dyDescent="0.3">
      <c r="A51" s="9" t="s">
        <v>665</v>
      </c>
      <c r="B51" s="9"/>
      <c r="C51" s="87">
        <v>0.46</v>
      </c>
      <c r="D51" s="33" t="s">
        <v>650</v>
      </c>
      <c r="E51" s="62">
        <f t="shared" si="5"/>
        <v>165545</v>
      </c>
      <c r="F51" s="92">
        <f t="shared" si="5"/>
        <v>76150.7</v>
      </c>
      <c r="G51" s="93">
        <f>노무비목록표!E9</f>
        <v>165545</v>
      </c>
      <c r="H51" s="94">
        <f t="shared" si="6"/>
        <v>76150.7</v>
      </c>
      <c r="I51" s="59">
        <v>0</v>
      </c>
      <c r="J51" s="91">
        <f t="shared" si="7"/>
        <v>0</v>
      </c>
      <c r="K51" s="59">
        <v>0</v>
      </c>
      <c r="L51" s="92">
        <f t="shared" si="8"/>
        <v>0</v>
      </c>
      <c r="M51" s="24" t="s">
        <v>1128</v>
      </c>
      <c r="N51" s="16" t="s">
        <v>1126</v>
      </c>
      <c r="O51" s="6" t="s">
        <v>1127</v>
      </c>
      <c r="P51" s="6" t="s">
        <v>1129</v>
      </c>
      <c r="Z51" s="19" t="str">
        <f ca="1">HYPERLINK("#"&amp;노무비목록표!G2&amp;"!A"&amp;ROW(노무비목록표!A9),"노무    6 →")</f>
        <v>노무    6 →</v>
      </c>
    </row>
    <row r="52" spans="1:26" ht="28.7" customHeight="1" x14ac:dyDescent="0.3">
      <c r="A52" s="9" t="s">
        <v>168</v>
      </c>
      <c r="B52" s="9" t="s">
        <v>169</v>
      </c>
      <c r="C52" s="87">
        <v>1</v>
      </c>
      <c r="D52" s="33" t="s">
        <v>14</v>
      </c>
      <c r="E52" s="62">
        <f t="shared" si="5"/>
        <v>7528</v>
      </c>
      <c r="F52" s="92">
        <f t="shared" si="5"/>
        <v>7528</v>
      </c>
      <c r="G52" s="93">
        <f>단가산출근거목록표!F4</f>
        <v>6216</v>
      </c>
      <c r="H52" s="95">
        <f t="shared" si="6"/>
        <v>6216</v>
      </c>
      <c r="I52" s="93">
        <f>단가산출근거목록표!G4</f>
        <v>1008</v>
      </c>
      <c r="J52" s="95">
        <f t="shared" si="7"/>
        <v>1008</v>
      </c>
      <c r="K52" s="93">
        <f>단가산출근거목록표!H4</f>
        <v>304</v>
      </c>
      <c r="L52" s="95">
        <f t="shared" si="8"/>
        <v>304</v>
      </c>
      <c r="M52" s="24" t="s">
        <v>1155</v>
      </c>
      <c r="N52" s="16" t="s">
        <v>1153</v>
      </c>
      <c r="O52" s="6" t="s">
        <v>1154</v>
      </c>
      <c r="P52" s="6" t="s">
        <v>1129</v>
      </c>
      <c r="Z52" s="19" t="str">
        <f ca="1">HYPERLINK("#"&amp;단가산출근거목록표!J2&amp;"!A"&amp;ROW(단가산출근거목록표!A4),"산근    1 →")</f>
        <v>산근    1 →</v>
      </c>
    </row>
    <row r="53" spans="1:26" ht="28.7" customHeight="1" x14ac:dyDescent="0.3">
      <c r="A53" s="24" t="s">
        <v>6</v>
      </c>
      <c r="B53" s="58"/>
      <c r="C53" s="58"/>
      <c r="D53" s="58"/>
      <c r="E53" s="58"/>
      <c r="F53" s="55">
        <f>J53+H53+L53</f>
        <v>122871</v>
      </c>
      <c r="G53" s="58"/>
      <c r="H53" s="55">
        <f>ROUNDDOWN(SUMIF(P46:P52,O53,H46:H52),0)</f>
        <v>121559</v>
      </c>
      <c r="I53" s="58"/>
      <c r="J53" s="55">
        <f>ROUNDDOWN(SUMIF(P46:P52,O53,J46:J52),0)</f>
        <v>1008</v>
      </c>
      <c r="K53" s="58"/>
      <c r="L53" s="55">
        <f>ROUNDDOWN(SUMIF(P46:P52,O53,L46:L52),0)</f>
        <v>304</v>
      </c>
      <c r="M53" s="58"/>
      <c r="O53" s="6" t="s">
        <v>1129</v>
      </c>
    </row>
    <row r="54" spans="1:26" ht="28.7" customHeight="1" x14ac:dyDescent="0.3">
      <c r="A54" s="84" t="s">
        <v>45</v>
      </c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36" t="str">
        <f>HYPERLINK("#N"&amp;ROW(N59),"_x0005_`BDCOD|B01198_x0007_`POSS|"&amp;ROW(N56)&amp;"_x0007_`POSE|"&amp;ROW(N59)&amp;"_x0007_`")</f>
        <v>_x0005_`BDCOD|B01198_x0007_`POSS|56_x0007_`POSE|59_x0007_`</v>
      </c>
    </row>
    <row r="55" spans="1:26" ht="28.7" customHeight="1" x14ac:dyDescent="0.3">
      <c r="A55" s="43" t="s">
        <v>47</v>
      </c>
      <c r="B55" s="43" t="s">
        <v>25</v>
      </c>
      <c r="C55" s="86"/>
      <c r="D55" s="89" t="s">
        <v>26</v>
      </c>
      <c r="E55" s="86"/>
      <c r="F55" s="86"/>
      <c r="G55" s="86"/>
      <c r="H55" s="86"/>
      <c r="I55" s="86"/>
      <c r="J55" s="86"/>
      <c r="K55" s="86"/>
      <c r="L55" s="86"/>
      <c r="M55" s="89" t="s">
        <v>48</v>
      </c>
      <c r="O55" s="6" t="s">
        <v>1156</v>
      </c>
    </row>
    <row r="56" spans="1:26" ht="28.7" customHeight="1" x14ac:dyDescent="0.3">
      <c r="A56" s="9" t="s">
        <v>1115</v>
      </c>
      <c r="B56" s="9" t="s">
        <v>1157</v>
      </c>
      <c r="C56" s="87">
        <v>0</v>
      </c>
      <c r="D56" s="33"/>
      <c r="E56" s="23">
        <v>0</v>
      </c>
      <c r="F56" s="10">
        <v>0</v>
      </c>
      <c r="G56" s="45"/>
      <c r="H56" s="10">
        <v>0</v>
      </c>
      <c r="I56" s="45"/>
      <c r="J56" s="23">
        <v>0</v>
      </c>
      <c r="K56" s="50"/>
      <c r="L56" s="23">
        <v>0</v>
      </c>
      <c r="M56" s="24" t="s">
        <v>1119</v>
      </c>
      <c r="N56" s="16" t="s">
        <v>1117</v>
      </c>
      <c r="O56" s="6" t="s">
        <v>1118</v>
      </c>
      <c r="P56" s="6" t="s">
        <v>1118</v>
      </c>
    </row>
    <row r="57" spans="1:26" ht="28.7" customHeight="1" x14ac:dyDescent="0.3">
      <c r="A57" s="9" t="s">
        <v>656</v>
      </c>
      <c r="B57" s="9"/>
      <c r="C57" s="87">
        <v>0.12</v>
      </c>
      <c r="D57" s="33" t="s">
        <v>650</v>
      </c>
      <c r="E57" s="62">
        <f t="shared" ref="E57:F59" si="9">I57+G57+K57</f>
        <v>258935</v>
      </c>
      <c r="F57" s="92">
        <f t="shared" si="9"/>
        <v>31072.2</v>
      </c>
      <c r="G57" s="93">
        <f>노무비목록표!E6</f>
        <v>258935</v>
      </c>
      <c r="H57" s="94">
        <f>IF(C57=0,0,ROUNDDOWN(G57*C57,1))</f>
        <v>31072.2</v>
      </c>
      <c r="I57" s="59">
        <v>0</v>
      </c>
      <c r="J57" s="91">
        <f>IF(C57=0,0,ROUNDDOWN(I57*C57,1))</f>
        <v>0</v>
      </c>
      <c r="K57" s="59">
        <v>0</v>
      </c>
      <c r="L57" s="92">
        <f>IF(C57=0,0,ROUNDDOWN(K57*C57,1))</f>
        <v>0</v>
      </c>
      <c r="M57" s="24" t="s">
        <v>1133</v>
      </c>
      <c r="N57" s="16" t="s">
        <v>1131</v>
      </c>
      <c r="O57" s="6" t="s">
        <v>1132</v>
      </c>
      <c r="P57" s="6" t="s">
        <v>1129</v>
      </c>
      <c r="Z57" s="19" t="str">
        <f ca="1">HYPERLINK("#"&amp;노무비목록표!G2&amp;"!A"&amp;ROW(노무비목록표!A6),"노무    3 →")</f>
        <v>노무    3 →</v>
      </c>
    </row>
    <row r="58" spans="1:26" ht="28.7" customHeight="1" x14ac:dyDescent="0.3">
      <c r="A58" s="9" t="s">
        <v>665</v>
      </c>
      <c r="B58" s="9"/>
      <c r="C58" s="87">
        <v>0.03</v>
      </c>
      <c r="D58" s="33" t="s">
        <v>650</v>
      </c>
      <c r="E58" s="62">
        <f t="shared" si="9"/>
        <v>165545</v>
      </c>
      <c r="F58" s="92">
        <f t="shared" si="9"/>
        <v>4966.3</v>
      </c>
      <c r="G58" s="93">
        <f>노무비목록표!E9</f>
        <v>165545</v>
      </c>
      <c r="H58" s="94">
        <f>IF(C58=0,0,ROUNDDOWN(G58*C58,1))</f>
        <v>4966.3</v>
      </c>
      <c r="I58" s="59">
        <v>0</v>
      </c>
      <c r="J58" s="91">
        <f>IF(C58=0,0,ROUNDDOWN(I58*C58,1))</f>
        <v>0</v>
      </c>
      <c r="K58" s="59">
        <v>0</v>
      </c>
      <c r="L58" s="92">
        <f>IF(C58=0,0,ROUNDDOWN(K58*C58,1))</f>
        <v>0</v>
      </c>
      <c r="M58" s="24" t="s">
        <v>1128</v>
      </c>
      <c r="N58" s="16" t="s">
        <v>1126</v>
      </c>
      <c r="O58" s="6" t="s">
        <v>1127</v>
      </c>
      <c r="P58" s="6" t="s">
        <v>1129</v>
      </c>
      <c r="Z58" s="19" t="str">
        <f ca="1">HYPERLINK("#"&amp;노무비목록표!G2&amp;"!A"&amp;ROW(노무비목록표!A9),"노무    6 →")</f>
        <v>노무    6 →</v>
      </c>
    </row>
    <row r="59" spans="1:26" ht="28.7" customHeight="1" x14ac:dyDescent="0.3">
      <c r="A59" s="9" t="s">
        <v>409</v>
      </c>
      <c r="B59" s="9"/>
      <c r="C59" s="87">
        <v>0.24</v>
      </c>
      <c r="D59" s="33" t="s">
        <v>347</v>
      </c>
      <c r="E59" s="62">
        <f t="shared" si="9"/>
        <v>105164</v>
      </c>
      <c r="F59" s="92">
        <f t="shared" si="9"/>
        <v>25239.3</v>
      </c>
      <c r="G59" s="93">
        <f>중기목록표!F23</f>
        <v>55700</v>
      </c>
      <c r="H59" s="95">
        <f>IF(C59=0,0,ROUNDDOWN(G59*C59,1))</f>
        <v>13368</v>
      </c>
      <c r="I59" s="93">
        <f>중기목록표!G23</f>
        <v>18296</v>
      </c>
      <c r="J59" s="95">
        <f>IF(C59=0,0,ROUNDDOWN(I59*C59,1))</f>
        <v>4391</v>
      </c>
      <c r="K59" s="93">
        <f>중기목록표!H23</f>
        <v>31168</v>
      </c>
      <c r="L59" s="95">
        <f>IF(C59=0,0,ROUNDDOWN(K59*C59,1))</f>
        <v>7480.3</v>
      </c>
      <c r="M59" s="24" t="s">
        <v>1138</v>
      </c>
      <c r="N59" s="16" t="s">
        <v>1136</v>
      </c>
      <c r="O59" s="6" t="s">
        <v>1137</v>
      </c>
      <c r="P59" s="6" t="s">
        <v>1129</v>
      </c>
      <c r="Z59" s="19" t="str">
        <f ca="1">HYPERLINK("#"&amp;중기목록표!J2&amp;"!A"&amp;ROW(중기목록표!A23),"중기   20 →")</f>
        <v>중기   20 →</v>
      </c>
    </row>
    <row r="60" spans="1:26" ht="28.7" customHeight="1" x14ac:dyDescent="0.3">
      <c r="A60" s="24" t="s">
        <v>6</v>
      </c>
      <c r="B60" s="58"/>
      <c r="C60" s="58"/>
      <c r="D60" s="58"/>
      <c r="E60" s="58"/>
      <c r="F60" s="55">
        <f>J60+H60+L60</f>
        <v>61277</v>
      </c>
      <c r="G60" s="58"/>
      <c r="H60" s="55">
        <f>ROUNDDOWN(SUMIF(P56:P59,O60,H56:H59),0)</f>
        <v>49406</v>
      </c>
      <c r="I60" s="58"/>
      <c r="J60" s="55">
        <f>ROUNDDOWN(SUMIF(P56:P59,O60,J56:J59),0)</f>
        <v>4391</v>
      </c>
      <c r="K60" s="58"/>
      <c r="L60" s="55">
        <f>ROUNDDOWN(SUMIF(P56:P59,O60,L56:L59),0)</f>
        <v>7480</v>
      </c>
      <c r="M60" s="58"/>
      <c r="O60" s="6" t="s">
        <v>1129</v>
      </c>
    </row>
    <row r="61" spans="1:26" ht="28.7" customHeight="1" x14ac:dyDescent="0.3">
      <c r="A61" s="84" t="s">
        <v>49</v>
      </c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36" t="str">
        <f>HYPERLINK("#N"&amp;ROW(N67),"_x0005_`BDCOD|B01209_x0007_`POSS|"&amp;ROW(N63)&amp;"_x0007_`POSE|"&amp;ROW(N67)&amp;"_x0007_`")</f>
        <v>_x0005_`BDCOD|B01209_x0007_`POSS|63_x0007_`POSE|67_x0007_`</v>
      </c>
    </row>
    <row r="62" spans="1:26" ht="28.7" customHeight="1" x14ac:dyDescent="0.3">
      <c r="A62" s="43" t="s">
        <v>51</v>
      </c>
      <c r="B62" s="43" t="s">
        <v>52</v>
      </c>
      <c r="C62" s="86"/>
      <c r="D62" s="89" t="s">
        <v>53</v>
      </c>
      <c r="E62" s="86"/>
      <c r="F62" s="86"/>
      <c r="G62" s="86"/>
      <c r="H62" s="86"/>
      <c r="I62" s="86"/>
      <c r="J62" s="86"/>
      <c r="K62" s="86"/>
      <c r="L62" s="86"/>
      <c r="M62" s="89" t="s">
        <v>54</v>
      </c>
      <c r="O62" s="6" t="s">
        <v>1158</v>
      </c>
    </row>
    <row r="63" spans="1:26" ht="28.7" customHeight="1" x14ac:dyDescent="0.3">
      <c r="A63" s="9" t="s">
        <v>443</v>
      </c>
      <c r="B63" s="9" t="s">
        <v>444</v>
      </c>
      <c r="C63" s="87">
        <v>4.3800000000000002E-3</v>
      </c>
      <c r="D63" s="33" t="s">
        <v>445</v>
      </c>
      <c r="E63" s="62">
        <f t="shared" ref="E63:F67" si="10">I63+G63+K63</f>
        <v>500661</v>
      </c>
      <c r="F63" s="91">
        <f t="shared" si="10"/>
        <v>2192.8000000000002</v>
      </c>
      <c r="G63" s="59">
        <v>0</v>
      </c>
      <c r="H63" s="92">
        <f>IF(C63=0,0,ROUNDDOWN(G63*C63,1))</f>
        <v>0</v>
      </c>
      <c r="I63" s="93">
        <f>재료비목록표!E6</f>
        <v>500661</v>
      </c>
      <c r="J63" s="94">
        <f>IF(C63=0,0,ROUNDDOWN(I63*C63,1))</f>
        <v>2192.8000000000002</v>
      </c>
      <c r="K63" s="59">
        <v>0</v>
      </c>
      <c r="L63" s="92">
        <f>IF(C63=0,0,ROUNDDOWN(K63*C63,1))</f>
        <v>0</v>
      </c>
      <c r="M63" s="24" t="s">
        <v>1161</v>
      </c>
      <c r="N63" s="16" t="s">
        <v>1159</v>
      </c>
      <c r="O63" s="6" t="s">
        <v>1160</v>
      </c>
      <c r="P63" s="6" t="s">
        <v>1129</v>
      </c>
      <c r="Z63" s="19" t="str">
        <f ca="1">HYPERLINK("#"&amp;재료비목록표!G2&amp;"!A"&amp;ROW(재료비목록표!A6),"자재    3 →")</f>
        <v>자재    3 →</v>
      </c>
    </row>
    <row r="64" spans="1:26" ht="28.7" customHeight="1" x14ac:dyDescent="0.3">
      <c r="A64" s="9" t="s">
        <v>455</v>
      </c>
      <c r="B64" s="9" t="s">
        <v>444</v>
      </c>
      <c r="C64" s="87">
        <v>2.8800000000000002E-3</v>
      </c>
      <c r="D64" s="33" t="s">
        <v>445</v>
      </c>
      <c r="E64" s="62">
        <f t="shared" si="10"/>
        <v>572185</v>
      </c>
      <c r="F64" s="91">
        <f t="shared" si="10"/>
        <v>1647.8</v>
      </c>
      <c r="G64" s="59">
        <v>0</v>
      </c>
      <c r="H64" s="92">
        <f>IF(C64=0,0,ROUNDDOWN(G64*C64,1))</f>
        <v>0</v>
      </c>
      <c r="I64" s="93">
        <f>재료비목록표!E8</f>
        <v>572185</v>
      </c>
      <c r="J64" s="94">
        <f>IF(C64=0,0,ROUNDDOWN(I64*C64,1))</f>
        <v>1647.8</v>
      </c>
      <c r="K64" s="59">
        <v>0</v>
      </c>
      <c r="L64" s="92">
        <f>IF(C64=0,0,ROUNDDOWN(K64*C64,1))</f>
        <v>0</v>
      </c>
      <c r="M64" s="24" t="s">
        <v>1164</v>
      </c>
      <c r="N64" s="16" t="s">
        <v>1162</v>
      </c>
      <c r="O64" s="6" t="s">
        <v>1163</v>
      </c>
      <c r="P64" s="6" t="s">
        <v>1129</v>
      </c>
      <c r="Z64" s="19" t="str">
        <f ca="1">HYPERLINK("#"&amp;재료비목록표!G2&amp;"!A"&amp;ROW(재료비목록표!A8),"자재    5 →")</f>
        <v>자재    5 →</v>
      </c>
    </row>
    <row r="65" spans="1:26" ht="28.7" customHeight="1" x14ac:dyDescent="0.3">
      <c r="A65" s="9" t="s">
        <v>449</v>
      </c>
      <c r="B65" s="9" t="s">
        <v>450</v>
      </c>
      <c r="C65" s="87">
        <v>0.03</v>
      </c>
      <c r="D65" s="33" t="s">
        <v>451</v>
      </c>
      <c r="E65" s="62">
        <f t="shared" si="10"/>
        <v>1503</v>
      </c>
      <c r="F65" s="91">
        <f t="shared" si="10"/>
        <v>45</v>
      </c>
      <c r="G65" s="59">
        <v>0</v>
      </c>
      <c r="H65" s="92">
        <f>IF(C65=0,0,ROUNDDOWN(G65*C65,1))</f>
        <v>0</v>
      </c>
      <c r="I65" s="93">
        <f>재료비목록표!E7</f>
        <v>1503</v>
      </c>
      <c r="J65" s="94">
        <f>IF(C65=0,0,ROUNDDOWN(I65*C65,1))</f>
        <v>45</v>
      </c>
      <c r="K65" s="59">
        <v>0</v>
      </c>
      <c r="L65" s="92">
        <f>IF(C65=0,0,ROUNDDOWN(K65*C65,1))</f>
        <v>0</v>
      </c>
      <c r="M65" s="24" t="s">
        <v>1167</v>
      </c>
      <c r="N65" s="16" t="s">
        <v>1165</v>
      </c>
      <c r="O65" s="6" t="s">
        <v>1166</v>
      </c>
      <c r="P65" s="6" t="s">
        <v>1129</v>
      </c>
      <c r="Z65" s="19" t="str">
        <f ca="1">HYPERLINK("#"&amp;재료비목록표!G2&amp;"!A"&amp;ROW(재료비목록표!A7),"자재    4 →")</f>
        <v>자재    4 →</v>
      </c>
    </row>
    <row r="66" spans="1:26" ht="28.7" customHeight="1" x14ac:dyDescent="0.3">
      <c r="A66" s="9" t="s">
        <v>649</v>
      </c>
      <c r="B66" s="9"/>
      <c r="C66" s="87">
        <v>5.2499999999999998E-2</v>
      </c>
      <c r="D66" s="33" t="s">
        <v>650</v>
      </c>
      <c r="E66" s="62">
        <f t="shared" si="10"/>
        <v>268058</v>
      </c>
      <c r="F66" s="92">
        <f t="shared" si="10"/>
        <v>14073</v>
      </c>
      <c r="G66" s="93">
        <f>노무비목록표!E4</f>
        <v>268058</v>
      </c>
      <c r="H66" s="94">
        <f>IF(C66=0,0,ROUNDDOWN(G66*C66,1))</f>
        <v>14073</v>
      </c>
      <c r="I66" s="59">
        <v>0</v>
      </c>
      <c r="J66" s="91">
        <f>IF(C66=0,0,ROUNDDOWN(I66*C66,1))</f>
        <v>0</v>
      </c>
      <c r="K66" s="59">
        <v>0</v>
      </c>
      <c r="L66" s="92">
        <f>IF(C66=0,0,ROUNDDOWN(K66*C66,1))</f>
        <v>0</v>
      </c>
      <c r="M66" s="24" t="s">
        <v>1170</v>
      </c>
      <c r="N66" s="16" t="s">
        <v>1168</v>
      </c>
      <c r="O66" s="6" t="s">
        <v>1169</v>
      </c>
      <c r="P66" s="6" t="s">
        <v>1129</v>
      </c>
      <c r="Z66" s="19" t="str">
        <f ca="1">HYPERLINK("#"&amp;노무비목록표!G2&amp;"!A"&amp;ROW(노무비목록표!A4),"노무    1 →")</f>
        <v>노무    1 →</v>
      </c>
    </row>
    <row r="67" spans="1:26" ht="28.7" customHeight="1" x14ac:dyDescent="0.3">
      <c r="A67" s="9" t="s">
        <v>665</v>
      </c>
      <c r="B67" s="9"/>
      <c r="C67" s="87">
        <v>4.7500000000000001E-2</v>
      </c>
      <c r="D67" s="33" t="s">
        <v>650</v>
      </c>
      <c r="E67" s="62">
        <f t="shared" si="10"/>
        <v>165545</v>
      </c>
      <c r="F67" s="92">
        <f t="shared" si="10"/>
        <v>7863.3</v>
      </c>
      <c r="G67" s="93">
        <f>노무비목록표!E9</f>
        <v>165545</v>
      </c>
      <c r="H67" s="94">
        <f>IF(C67=0,0,ROUNDDOWN(G67*C67,1))</f>
        <v>7863.3</v>
      </c>
      <c r="I67" s="59">
        <v>0</v>
      </c>
      <c r="J67" s="91">
        <f>IF(C67=0,0,ROUNDDOWN(I67*C67,1))</f>
        <v>0</v>
      </c>
      <c r="K67" s="59">
        <v>0</v>
      </c>
      <c r="L67" s="92">
        <f>IF(C67=0,0,ROUNDDOWN(K67*C67,1))</f>
        <v>0</v>
      </c>
      <c r="M67" s="24" t="s">
        <v>1128</v>
      </c>
      <c r="N67" s="16" t="s">
        <v>1126</v>
      </c>
      <c r="O67" s="6" t="s">
        <v>1127</v>
      </c>
      <c r="P67" s="6" t="s">
        <v>1129</v>
      </c>
      <c r="Z67" s="19" t="str">
        <f ca="1">HYPERLINK("#"&amp;노무비목록표!G2&amp;"!A"&amp;ROW(노무비목록표!A9),"노무    6 →")</f>
        <v>노무    6 →</v>
      </c>
    </row>
    <row r="68" spans="1:26" ht="28.7" customHeight="1" x14ac:dyDescent="0.3">
      <c r="A68" s="24" t="s">
        <v>1171</v>
      </c>
      <c r="B68" s="58"/>
      <c r="C68" s="58"/>
      <c r="D68" s="58"/>
      <c r="E68" s="58"/>
      <c r="F68" s="55">
        <f>J68+H68+L68</f>
        <v>25821</v>
      </c>
      <c r="G68" s="58"/>
      <c r="H68" s="55">
        <f>ROUNDDOWN(SUMIF(P63:P67,O68,H63:H67),0)</f>
        <v>21936</v>
      </c>
      <c r="I68" s="58"/>
      <c r="J68" s="55">
        <f>ROUNDDOWN(SUMIF(P63:P67,O68,J63:J67),0)</f>
        <v>3885</v>
      </c>
      <c r="K68" s="58"/>
      <c r="L68" s="55">
        <f>ROUNDDOWN(SUMIF(P63:P67,O68,L63:L67),0)</f>
        <v>0</v>
      </c>
      <c r="M68" s="58"/>
      <c r="O68" s="6" t="s">
        <v>1129</v>
      </c>
      <c r="P68" s="6" t="s">
        <v>1172</v>
      </c>
    </row>
    <row r="69" spans="1:26" ht="28.7" customHeight="1" x14ac:dyDescent="0.3">
      <c r="A69" s="13" t="s">
        <v>1173</v>
      </c>
      <c r="B69" s="13"/>
      <c r="C69" s="88">
        <v>88.5</v>
      </c>
      <c r="D69" s="13"/>
      <c r="E69" s="90"/>
      <c r="F69" s="74">
        <f>J69+H69+L69</f>
        <v>22851</v>
      </c>
      <c r="G69" s="90"/>
      <c r="H69" s="74">
        <f>ROUNDDOWN(H68*C69/100,0)</f>
        <v>19413</v>
      </c>
      <c r="I69" s="90"/>
      <c r="J69" s="74">
        <f>ROUNDDOWN(J68*C69/100,0)</f>
        <v>3438</v>
      </c>
      <c r="K69" s="90"/>
      <c r="L69" s="74">
        <f>ROUNDDOWN(L68*C69/100,0)</f>
        <v>0</v>
      </c>
      <c r="M69" s="90"/>
      <c r="O69" s="6" t="s">
        <v>1172</v>
      </c>
    </row>
    <row r="70" spans="1:26" ht="28.7" customHeight="1" x14ac:dyDescent="0.3">
      <c r="A70" s="84" t="s">
        <v>55</v>
      </c>
      <c r="B70" s="84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36" t="str">
        <f>HYPERLINK("#N"&amp;ROW(N76),"_x0005_`BDCOD|B01210_x0007_`POSS|"&amp;ROW(N72)&amp;"_x0007_`POSE|"&amp;ROW(N76)&amp;"_x0007_`")</f>
        <v>_x0005_`BDCOD|B01210_x0007_`POSS|72_x0007_`POSE|76_x0007_`</v>
      </c>
    </row>
    <row r="71" spans="1:26" ht="28.7" customHeight="1" x14ac:dyDescent="0.3">
      <c r="A71" s="43" t="s">
        <v>51</v>
      </c>
      <c r="B71" s="43" t="s">
        <v>57</v>
      </c>
      <c r="C71" s="86"/>
      <c r="D71" s="89" t="s">
        <v>53</v>
      </c>
      <c r="E71" s="86"/>
      <c r="F71" s="86"/>
      <c r="G71" s="86"/>
      <c r="H71" s="86"/>
      <c r="I71" s="86"/>
      <c r="J71" s="86"/>
      <c r="K71" s="86"/>
      <c r="L71" s="86"/>
      <c r="M71" s="89" t="s">
        <v>58</v>
      </c>
      <c r="O71" s="6" t="s">
        <v>1174</v>
      </c>
    </row>
    <row r="72" spans="1:26" ht="28.7" customHeight="1" x14ac:dyDescent="0.3">
      <c r="A72" s="9" t="s">
        <v>443</v>
      </c>
      <c r="B72" s="9" t="s">
        <v>444</v>
      </c>
      <c r="C72" s="87">
        <v>5.0000000000000001E-3</v>
      </c>
      <c r="D72" s="33" t="s">
        <v>445</v>
      </c>
      <c r="E72" s="62">
        <f t="shared" ref="E72:F76" si="11">I72+G72+K72</f>
        <v>500661</v>
      </c>
      <c r="F72" s="91">
        <f t="shared" si="11"/>
        <v>2503.3000000000002</v>
      </c>
      <c r="G72" s="59">
        <v>0</v>
      </c>
      <c r="H72" s="92">
        <f>IF(C72=0,0,ROUNDDOWN(G72*C72,1))</f>
        <v>0</v>
      </c>
      <c r="I72" s="93">
        <f>재료비목록표!E6</f>
        <v>500661</v>
      </c>
      <c r="J72" s="94">
        <f>IF(C72=0,0,ROUNDDOWN(I72*C72,1))</f>
        <v>2503.3000000000002</v>
      </c>
      <c r="K72" s="59">
        <v>0</v>
      </c>
      <c r="L72" s="92">
        <f>IF(C72=0,0,ROUNDDOWN(K72*C72,1))</f>
        <v>0</v>
      </c>
      <c r="M72" s="24" t="s">
        <v>1161</v>
      </c>
      <c r="N72" s="16" t="s">
        <v>1159</v>
      </c>
      <c r="O72" s="6" t="s">
        <v>1160</v>
      </c>
      <c r="P72" s="6" t="s">
        <v>1129</v>
      </c>
      <c r="Z72" s="19" t="str">
        <f ca="1">HYPERLINK("#"&amp;재료비목록표!G2&amp;"!A"&amp;ROW(재료비목록표!A6),"자재    3 →")</f>
        <v>자재    3 →</v>
      </c>
    </row>
    <row r="73" spans="1:26" ht="28.7" customHeight="1" x14ac:dyDescent="0.3">
      <c r="A73" s="9" t="s">
        <v>455</v>
      </c>
      <c r="B73" s="9" t="s">
        <v>444</v>
      </c>
      <c r="C73" s="87">
        <v>7.6800000000000002E-3</v>
      </c>
      <c r="D73" s="33" t="s">
        <v>445</v>
      </c>
      <c r="E73" s="62">
        <f t="shared" si="11"/>
        <v>572185</v>
      </c>
      <c r="F73" s="91">
        <f t="shared" si="11"/>
        <v>4394.3</v>
      </c>
      <c r="G73" s="59">
        <v>0</v>
      </c>
      <c r="H73" s="92">
        <f>IF(C73=0,0,ROUNDDOWN(G73*C73,1))</f>
        <v>0</v>
      </c>
      <c r="I73" s="93">
        <f>재료비목록표!E8</f>
        <v>572185</v>
      </c>
      <c r="J73" s="94">
        <f>IF(C73=0,0,ROUNDDOWN(I73*C73,1))</f>
        <v>4394.3</v>
      </c>
      <c r="K73" s="59">
        <v>0</v>
      </c>
      <c r="L73" s="92">
        <f>IF(C73=0,0,ROUNDDOWN(K73*C73,1))</f>
        <v>0</v>
      </c>
      <c r="M73" s="24" t="s">
        <v>1164</v>
      </c>
      <c r="N73" s="16" t="s">
        <v>1162</v>
      </c>
      <c r="O73" s="6" t="s">
        <v>1163</v>
      </c>
      <c r="P73" s="6" t="s">
        <v>1129</v>
      </c>
      <c r="Z73" s="19" t="str">
        <f ca="1">HYPERLINK("#"&amp;재료비목록표!G2&amp;"!A"&amp;ROW(재료비목록표!A8),"자재    5 →")</f>
        <v>자재    5 →</v>
      </c>
    </row>
    <row r="74" spans="1:26" ht="28.7" customHeight="1" x14ac:dyDescent="0.3">
      <c r="A74" s="9" t="s">
        <v>449</v>
      </c>
      <c r="B74" s="9" t="s">
        <v>450</v>
      </c>
      <c r="C74" s="87">
        <v>0.03</v>
      </c>
      <c r="D74" s="33" t="s">
        <v>451</v>
      </c>
      <c r="E74" s="62">
        <f t="shared" si="11"/>
        <v>1503</v>
      </c>
      <c r="F74" s="91">
        <f t="shared" si="11"/>
        <v>45</v>
      </c>
      <c r="G74" s="59">
        <v>0</v>
      </c>
      <c r="H74" s="92">
        <f>IF(C74=0,0,ROUNDDOWN(G74*C74,1))</f>
        <v>0</v>
      </c>
      <c r="I74" s="93">
        <f>재료비목록표!E7</f>
        <v>1503</v>
      </c>
      <c r="J74" s="94">
        <f>IF(C74=0,0,ROUNDDOWN(I74*C74,1))</f>
        <v>45</v>
      </c>
      <c r="K74" s="59">
        <v>0</v>
      </c>
      <c r="L74" s="92">
        <f>IF(C74=0,0,ROUNDDOWN(K74*C74,1))</f>
        <v>0</v>
      </c>
      <c r="M74" s="24" t="s">
        <v>1167</v>
      </c>
      <c r="N74" s="16" t="s">
        <v>1165</v>
      </c>
      <c r="O74" s="6" t="s">
        <v>1166</v>
      </c>
      <c r="P74" s="6" t="s">
        <v>1129</v>
      </c>
      <c r="Z74" s="19" t="str">
        <f ca="1">HYPERLINK("#"&amp;재료비목록표!G2&amp;"!A"&amp;ROW(재료비목록표!A7),"자재    4 →")</f>
        <v>자재    4 →</v>
      </c>
    </row>
    <row r="75" spans="1:26" ht="28.7" customHeight="1" x14ac:dyDescent="0.3">
      <c r="A75" s="9" t="s">
        <v>649</v>
      </c>
      <c r="B75" s="9"/>
      <c r="C75" s="87">
        <v>0.08</v>
      </c>
      <c r="D75" s="33" t="s">
        <v>650</v>
      </c>
      <c r="E75" s="62">
        <f t="shared" si="11"/>
        <v>268058</v>
      </c>
      <c r="F75" s="92">
        <f t="shared" si="11"/>
        <v>21444.6</v>
      </c>
      <c r="G75" s="93">
        <f>노무비목록표!E4</f>
        <v>268058</v>
      </c>
      <c r="H75" s="94">
        <f>IF(C75=0,0,ROUNDDOWN(G75*C75,1))</f>
        <v>21444.6</v>
      </c>
      <c r="I75" s="59">
        <v>0</v>
      </c>
      <c r="J75" s="91">
        <f>IF(C75=0,0,ROUNDDOWN(I75*C75,1))</f>
        <v>0</v>
      </c>
      <c r="K75" s="59">
        <v>0</v>
      </c>
      <c r="L75" s="92">
        <f>IF(C75=0,0,ROUNDDOWN(K75*C75,1))</f>
        <v>0</v>
      </c>
      <c r="M75" s="24" t="s">
        <v>1170</v>
      </c>
      <c r="N75" s="16" t="s">
        <v>1168</v>
      </c>
      <c r="O75" s="6" t="s">
        <v>1169</v>
      </c>
      <c r="P75" s="6" t="s">
        <v>1129</v>
      </c>
      <c r="Z75" s="19" t="str">
        <f ca="1">HYPERLINK("#"&amp;노무비목록표!G2&amp;"!A"&amp;ROW(노무비목록표!A4),"노무    1 →")</f>
        <v>노무    1 →</v>
      </c>
    </row>
    <row r="76" spans="1:26" ht="28.7" customHeight="1" x14ac:dyDescent="0.3">
      <c r="A76" s="9" t="s">
        <v>665</v>
      </c>
      <c r="B76" s="9"/>
      <c r="C76" s="87">
        <v>7.0000000000000007E-2</v>
      </c>
      <c r="D76" s="33" t="s">
        <v>650</v>
      </c>
      <c r="E76" s="62">
        <f t="shared" si="11"/>
        <v>165545</v>
      </c>
      <c r="F76" s="92">
        <f t="shared" si="11"/>
        <v>11588.1</v>
      </c>
      <c r="G76" s="93">
        <f>노무비목록표!E9</f>
        <v>165545</v>
      </c>
      <c r="H76" s="94">
        <f>IF(C76=0,0,ROUNDDOWN(G76*C76,1))</f>
        <v>11588.1</v>
      </c>
      <c r="I76" s="59">
        <v>0</v>
      </c>
      <c r="J76" s="91">
        <f>IF(C76=0,0,ROUNDDOWN(I76*C76,1))</f>
        <v>0</v>
      </c>
      <c r="K76" s="59">
        <v>0</v>
      </c>
      <c r="L76" s="92">
        <f>IF(C76=0,0,ROUNDDOWN(K76*C76,1))</f>
        <v>0</v>
      </c>
      <c r="M76" s="24" t="s">
        <v>1128</v>
      </c>
      <c r="N76" s="16" t="s">
        <v>1126</v>
      </c>
      <c r="O76" s="6" t="s">
        <v>1127</v>
      </c>
      <c r="P76" s="6" t="s">
        <v>1129</v>
      </c>
      <c r="Z76" s="19" t="str">
        <f ca="1">HYPERLINK("#"&amp;노무비목록표!G2&amp;"!A"&amp;ROW(노무비목록표!A9),"노무    6 →")</f>
        <v>노무    6 →</v>
      </c>
    </row>
    <row r="77" spans="1:26" ht="28.7" customHeight="1" x14ac:dyDescent="0.3">
      <c r="A77" s="24" t="s">
        <v>1171</v>
      </c>
      <c r="B77" s="58"/>
      <c r="C77" s="58"/>
      <c r="D77" s="58"/>
      <c r="E77" s="58"/>
      <c r="F77" s="55">
        <f>J77+H77+L77</f>
        <v>39974</v>
      </c>
      <c r="G77" s="58"/>
      <c r="H77" s="55">
        <f>ROUNDDOWN(SUMIF(P72:P76,O77,H72:H76),0)</f>
        <v>33032</v>
      </c>
      <c r="I77" s="58"/>
      <c r="J77" s="55">
        <f>ROUNDDOWN(SUMIF(P72:P76,O77,J72:J76),0)</f>
        <v>6942</v>
      </c>
      <c r="K77" s="58"/>
      <c r="L77" s="55">
        <f>ROUNDDOWN(SUMIF(P72:P76,O77,L72:L76),0)</f>
        <v>0</v>
      </c>
      <c r="M77" s="58"/>
      <c r="O77" s="6" t="s">
        <v>1129</v>
      </c>
      <c r="P77" s="6" t="s">
        <v>1172</v>
      </c>
    </row>
    <row r="78" spans="1:26" ht="28.7" customHeight="1" x14ac:dyDescent="0.3">
      <c r="A78" s="13" t="s">
        <v>1173</v>
      </c>
      <c r="B78" s="13"/>
      <c r="C78" s="88">
        <v>88.5</v>
      </c>
      <c r="D78" s="13"/>
      <c r="E78" s="90"/>
      <c r="F78" s="74">
        <f>J78+H78+L78</f>
        <v>35376</v>
      </c>
      <c r="G78" s="90"/>
      <c r="H78" s="74">
        <f>ROUNDDOWN(H77*C78/100,0)</f>
        <v>29233</v>
      </c>
      <c r="I78" s="90"/>
      <c r="J78" s="74">
        <f>ROUNDDOWN(J77*C78/100,0)</f>
        <v>6143</v>
      </c>
      <c r="K78" s="90"/>
      <c r="L78" s="74">
        <f>ROUNDDOWN(L77*C78/100,0)</f>
        <v>0</v>
      </c>
      <c r="M78" s="90"/>
      <c r="O78" s="6" t="s">
        <v>1172</v>
      </c>
    </row>
    <row r="79" spans="1:26" ht="28.7" customHeight="1" x14ac:dyDescent="0.3">
      <c r="A79" s="84" t="s">
        <v>59</v>
      </c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36" t="str">
        <f>HYPERLINK("#N"&amp;ROW(N83),"_x0005_`BDCOD|B01211_x0007_`POSS|"&amp;ROW(N81)&amp;"_x0007_`POSE|"&amp;ROW(N83)&amp;"_x0007_`")</f>
        <v>_x0005_`BDCOD|B01211_x0007_`POSS|81_x0007_`POSE|83_x0007_`</v>
      </c>
    </row>
    <row r="80" spans="1:26" ht="28.7" customHeight="1" x14ac:dyDescent="0.3">
      <c r="A80" s="43" t="s">
        <v>61</v>
      </c>
      <c r="B80" s="43" t="s">
        <v>62</v>
      </c>
      <c r="C80" s="86"/>
      <c r="D80" s="89" t="s">
        <v>26</v>
      </c>
      <c r="E80" s="86"/>
      <c r="F80" s="86"/>
      <c r="G80" s="86"/>
      <c r="H80" s="86"/>
      <c r="I80" s="86"/>
      <c r="J80" s="86"/>
      <c r="K80" s="86"/>
      <c r="L80" s="86"/>
      <c r="M80" s="89" t="s">
        <v>63</v>
      </c>
      <c r="O80" s="6" t="s">
        <v>1175</v>
      </c>
    </row>
    <row r="81" spans="1:26" ht="28.7" customHeight="1" x14ac:dyDescent="0.3">
      <c r="A81" s="9" t="s">
        <v>1176</v>
      </c>
      <c r="B81" s="9" t="s">
        <v>1177</v>
      </c>
      <c r="C81" s="87">
        <v>0</v>
      </c>
      <c r="D81" s="33"/>
      <c r="E81" s="23">
        <v>0</v>
      </c>
      <c r="F81" s="10">
        <v>0</v>
      </c>
      <c r="G81" s="45"/>
      <c r="H81" s="10">
        <v>0</v>
      </c>
      <c r="I81" s="45"/>
      <c r="J81" s="23">
        <v>0</v>
      </c>
      <c r="K81" s="50"/>
      <c r="L81" s="23">
        <v>0</v>
      </c>
      <c r="M81" s="24" t="s">
        <v>1119</v>
      </c>
      <c r="N81" s="16" t="s">
        <v>1117</v>
      </c>
      <c r="O81" s="6" t="s">
        <v>1118</v>
      </c>
      <c r="P81" s="6" t="s">
        <v>1118</v>
      </c>
    </row>
    <row r="82" spans="1:26" ht="28.7" customHeight="1" x14ac:dyDescent="0.3">
      <c r="A82" s="9" t="s">
        <v>356</v>
      </c>
      <c r="B82" s="9"/>
      <c r="C82" s="87">
        <v>7.0000000000000001E-3</v>
      </c>
      <c r="D82" s="33" t="s">
        <v>347</v>
      </c>
      <c r="E82" s="62">
        <f>I82+G82+K82</f>
        <v>96829</v>
      </c>
      <c r="F82" s="92">
        <f>J82+H82+L82</f>
        <v>677.7</v>
      </c>
      <c r="G82" s="93">
        <f>중기목록표!F7</f>
        <v>55700</v>
      </c>
      <c r="H82" s="95">
        <f>IF(C82=0,0,ROUNDDOWN(G82*C82,1))</f>
        <v>389.9</v>
      </c>
      <c r="I82" s="93">
        <f>중기목록표!G7</f>
        <v>18001</v>
      </c>
      <c r="J82" s="95">
        <f>IF(C82=0,0,ROUNDDOWN(I82*C82,1))</f>
        <v>126</v>
      </c>
      <c r="K82" s="93">
        <f>중기목록표!H7</f>
        <v>23128</v>
      </c>
      <c r="L82" s="95">
        <f>IF(C82=0,0,ROUNDDOWN(K82*C82,1))</f>
        <v>161.80000000000001</v>
      </c>
      <c r="M82" s="24" t="s">
        <v>1180</v>
      </c>
      <c r="N82" s="16" t="s">
        <v>1178</v>
      </c>
      <c r="O82" s="6" t="s">
        <v>1179</v>
      </c>
      <c r="P82" s="6" t="s">
        <v>1129</v>
      </c>
      <c r="Z82" s="19" t="str">
        <f ca="1">HYPERLINK("#"&amp;중기목록표!J2&amp;"!A"&amp;ROW(중기목록표!A7),"중기    4 →")</f>
        <v>중기    4 →</v>
      </c>
    </row>
    <row r="83" spans="1:26" ht="28.7" customHeight="1" x14ac:dyDescent="0.3">
      <c r="A83" s="9" t="s">
        <v>665</v>
      </c>
      <c r="B83" s="9"/>
      <c r="C83" s="87">
        <v>5.0000000000000001E-4</v>
      </c>
      <c r="D83" s="33" t="s">
        <v>650</v>
      </c>
      <c r="E83" s="62">
        <f>I83+G83+K83</f>
        <v>165545</v>
      </c>
      <c r="F83" s="92">
        <f>J83+H83+L83</f>
        <v>82.7</v>
      </c>
      <c r="G83" s="93">
        <f>노무비목록표!E9</f>
        <v>165545</v>
      </c>
      <c r="H83" s="94">
        <f>IF(C83=0,0,ROUNDDOWN(G83*C83,1))</f>
        <v>82.7</v>
      </c>
      <c r="I83" s="59">
        <v>0</v>
      </c>
      <c r="J83" s="91">
        <f>IF(C83=0,0,ROUNDDOWN(I83*C83,1))</f>
        <v>0</v>
      </c>
      <c r="K83" s="59">
        <v>0</v>
      </c>
      <c r="L83" s="92">
        <f>IF(C83=0,0,ROUNDDOWN(K83*C83,1))</f>
        <v>0</v>
      </c>
      <c r="M83" s="24" t="s">
        <v>1128</v>
      </c>
      <c r="N83" s="16" t="s">
        <v>1126</v>
      </c>
      <c r="O83" s="6" t="s">
        <v>1127</v>
      </c>
      <c r="P83" s="6" t="s">
        <v>1129</v>
      </c>
      <c r="Z83" s="19" t="str">
        <f ca="1">HYPERLINK("#"&amp;노무비목록표!G2&amp;"!A"&amp;ROW(노무비목록표!A9),"노무    6 →")</f>
        <v>노무    6 →</v>
      </c>
    </row>
    <row r="84" spans="1:26" ht="28.7" customHeight="1" x14ac:dyDescent="0.3">
      <c r="A84" s="24" t="s">
        <v>1171</v>
      </c>
      <c r="B84" s="58"/>
      <c r="C84" s="58"/>
      <c r="D84" s="58"/>
      <c r="E84" s="58"/>
      <c r="F84" s="55">
        <f>J84+H84+L84</f>
        <v>759</v>
      </c>
      <c r="G84" s="58"/>
      <c r="H84" s="55">
        <f>ROUNDDOWN(SUMIF(P81:P83,O84,H81:H83),0)</f>
        <v>472</v>
      </c>
      <c r="I84" s="58"/>
      <c r="J84" s="55">
        <f>ROUNDDOWN(SUMIF(P81:P83,O84,J81:J83),0)</f>
        <v>126</v>
      </c>
      <c r="K84" s="58"/>
      <c r="L84" s="55">
        <f>ROUNDDOWN(SUMIF(P81:P83,O84,L81:L83),0)</f>
        <v>161</v>
      </c>
      <c r="M84" s="58"/>
      <c r="O84" s="6" t="s">
        <v>1129</v>
      </c>
      <c r="P84" s="6" t="s">
        <v>1172</v>
      </c>
    </row>
    <row r="85" spans="1:26" ht="28.7" customHeight="1" x14ac:dyDescent="0.3">
      <c r="A85" s="13" t="s">
        <v>1173</v>
      </c>
      <c r="B85" s="13"/>
      <c r="C85" s="88">
        <v>88.5</v>
      </c>
      <c r="D85" s="13"/>
      <c r="E85" s="90"/>
      <c r="F85" s="74">
        <f>J85+H85+L85</f>
        <v>670</v>
      </c>
      <c r="G85" s="90"/>
      <c r="H85" s="74">
        <f>ROUNDDOWN(H84*C85/100,0)</f>
        <v>417</v>
      </c>
      <c r="I85" s="90"/>
      <c r="J85" s="74">
        <f>ROUNDDOWN(J84*C85/100,0)</f>
        <v>111</v>
      </c>
      <c r="K85" s="90"/>
      <c r="L85" s="74">
        <f>ROUNDDOWN(L84*C85/100,0)</f>
        <v>142</v>
      </c>
      <c r="M85" s="90"/>
      <c r="O85" s="6" t="s">
        <v>1172</v>
      </c>
    </row>
    <row r="86" spans="1:26" ht="28.7" customHeight="1" x14ac:dyDescent="0.3">
      <c r="A86" s="84" t="s">
        <v>64</v>
      </c>
      <c r="B86" s="84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36" t="str">
        <f>HYPERLINK("#N"&amp;ROW(N95),"_x0005_`BDCOD|B01212_x0007_`POSS|"&amp;ROW(N88)&amp;"_x0007_`POSE|"&amp;ROW(N95)&amp;"_x0007_`")</f>
        <v>_x0005_`BDCOD|B01212_x0007_`POSS|88_x0007_`POSE|95_x0007_`</v>
      </c>
    </row>
    <row r="87" spans="1:26" ht="28.7" customHeight="1" x14ac:dyDescent="0.3">
      <c r="A87" s="43" t="s">
        <v>66</v>
      </c>
      <c r="B87" s="43" t="s">
        <v>67</v>
      </c>
      <c r="C87" s="86"/>
      <c r="D87" s="89" t="s">
        <v>68</v>
      </c>
      <c r="E87" s="86"/>
      <c r="F87" s="86"/>
      <c r="G87" s="86"/>
      <c r="H87" s="86"/>
      <c r="I87" s="86"/>
      <c r="J87" s="86"/>
      <c r="K87" s="86"/>
      <c r="L87" s="86"/>
      <c r="M87" s="89" t="s">
        <v>69</v>
      </c>
      <c r="O87" s="6" t="s">
        <v>1181</v>
      </c>
    </row>
    <row r="88" spans="1:26" ht="28.7" customHeight="1" x14ac:dyDescent="0.3">
      <c r="A88" s="9" t="s">
        <v>536</v>
      </c>
      <c r="B88" s="9" t="s">
        <v>502</v>
      </c>
      <c r="C88" s="87">
        <v>1.57</v>
      </c>
      <c r="D88" s="33" t="s">
        <v>537</v>
      </c>
      <c r="E88" s="62">
        <f t="shared" ref="E88:F95" si="12">I88+G88+K88</f>
        <v>0</v>
      </c>
      <c r="F88" s="91">
        <f t="shared" si="12"/>
        <v>0</v>
      </c>
      <c r="G88" s="59">
        <v>0</v>
      </c>
      <c r="H88" s="92">
        <f t="shared" ref="H88:H95" si="13">IF(C88=0,0,ROUNDDOWN(G88*C88,1))</f>
        <v>0</v>
      </c>
      <c r="I88" s="93">
        <f>재료비목록표!E25</f>
        <v>0</v>
      </c>
      <c r="J88" s="94">
        <f t="shared" ref="J88:J95" si="14">IF(C88=0,0,ROUNDDOWN(I88*C88,1))</f>
        <v>0</v>
      </c>
      <c r="K88" s="59">
        <v>0</v>
      </c>
      <c r="L88" s="92">
        <f t="shared" ref="L88:L95" si="15">IF(C88=0,0,ROUNDDOWN(K88*C88,1))</f>
        <v>0</v>
      </c>
      <c r="M88" s="24" t="s">
        <v>1184</v>
      </c>
      <c r="N88" s="16" t="s">
        <v>1182</v>
      </c>
      <c r="O88" s="6" t="s">
        <v>1183</v>
      </c>
      <c r="P88" s="6" t="s">
        <v>1129</v>
      </c>
      <c r="Z88" s="19" t="str">
        <f ca="1">HYPERLINK("#"&amp;재료비목록표!G2&amp;"!A"&amp;ROW(재료비목록표!A25),"자재   22 →")</f>
        <v>자재   22 →</v>
      </c>
    </row>
    <row r="89" spans="1:26" ht="28.7" customHeight="1" x14ac:dyDescent="0.3">
      <c r="A89" s="9" t="s">
        <v>24</v>
      </c>
      <c r="B89" s="9" t="s">
        <v>25</v>
      </c>
      <c r="C89" s="87">
        <v>1.57</v>
      </c>
      <c r="D89" s="33" t="s">
        <v>26</v>
      </c>
      <c r="E89" s="62">
        <f t="shared" si="12"/>
        <v>52995</v>
      </c>
      <c r="F89" s="92">
        <f t="shared" si="12"/>
        <v>83202</v>
      </c>
      <c r="G89" s="93">
        <f>일위대가목록표!F6</f>
        <v>39641</v>
      </c>
      <c r="H89" s="95">
        <f t="shared" si="13"/>
        <v>62236.3</v>
      </c>
      <c r="I89" s="93">
        <f>일위대가목록표!G6</f>
        <v>4939</v>
      </c>
      <c r="J89" s="95">
        <f t="shared" si="14"/>
        <v>7754.2</v>
      </c>
      <c r="K89" s="93">
        <f>일위대가목록표!H6</f>
        <v>8415</v>
      </c>
      <c r="L89" s="95">
        <f t="shared" si="15"/>
        <v>13211.5</v>
      </c>
      <c r="M89" s="24" t="s">
        <v>1187</v>
      </c>
      <c r="N89" s="16" t="s">
        <v>1185</v>
      </c>
      <c r="O89" s="6" t="s">
        <v>1186</v>
      </c>
      <c r="P89" s="6" t="s">
        <v>1129</v>
      </c>
      <c r="Z89" s="19" t="str">
        <f ca="1">HYPERLINK("#"&amp;일위대가목록표!J2&amp;"!A"&amp;ROW(일위대가목록표!A6),"대가    3 →")</f>
        <v>대가    3 →</v>
      </c>
    </row>
    <row r="90" spans="1:26" ht="28.7" customHeight="1" x14ac:dyDescent="0.3">
      <c r="A90" s="9" t="s">
        <v>180</v>
      </c>
      <c r="B90" s="9" t="s">
        <v>177</v>
      </c>
      <c r="C90" s="87">
        <v>0.24</v>
      </c>
      <c r="D90" s="33" t="s">
        <v>14</v>
      </c>
      <c r="E90" s="62">
        <f t="shared" si="12"/>
        <v>24816</v>
      </c>
      <c r="F90" s="92">
        <f t="shared" si="12"/>
        <v>5955.7000000000007</v>
      </c>
      <c r="G90" s="93">
        <f>단가산출근거목록표!F7</f>
        <v>18084</v>
      </c>
      <c r="H90" s="95">
        <f t="shared" si="13"/>
        <v>4340.1000000000004</v>
      </c>
      <c r="I90" s="93">
        <f>단가산출근거목록표!G7</f>
        <v>2498</v>
      </c>
      <c r="J90" s="95">
        <f t="shared" si="14"/>
        <v>599.5</v>
      </c>
      <c r="K90" s="93">
        <f>단가산출근거목록표!H7</f>
        <v>4234</v>
      </c>
      <c r="L90" s="95">
        <f t="shared" si="15"/>
        <v>1016.1</v>
      </c>
      <c r="M90" s="24" t="s">
        <v>1190</v>
      </c>
      <c r="N90" s="16" t="s">
        <v>1188</v>
      </c>
      <c r="O90" s="6" t="s">
        <v>1189</v>
      </c>
      <c r="P90" s="6" t="s">
        <v>1129</v>
      </c>
      <c r="Z90" s="19" t="str">
        <f ca="1">HYPERLINK("#"&amp;단가산출근거목록표!J2&amp;"!A"&amp;ROW(단가산출근거목록표!A7),"산근    4 →")</f>
        <v>산근    4 →</v>
      </c>
    </row>
    <row r="91" spans="1:26" ht="28.7" customHeight="1" x14ac:dyDescent="0.3">
      <c r="A91" s="9" t="s">
        <v>172</v>
      </c>
      <c r="B91" s="9" t="s">
        <v>173</v>
      </c>
      <c r="C91" s="87">
        <v>0.56000000000000005</v>
      </c>
      <c r="D91" s="33" t="s">
        <v>14</v>
      </c>
      <c r="E91" s="62">
        <f t="shared" si="12"/>
        <v>8328</v>
      </c>
      <c r="F91" s="92">
        <f t="shared" si="12"/>
        <v>4663.5</v>
      </c>
      <c r="G91" s="93">
        <f>단가산출근거목록표!F5</f>
        <v>6878</v>
      </c>
      <c r="H91" s="95">
        <f t="shared" si="13"/>
        <v>3851.6</v>
      </c>
      <c r="I91" s="93">
        <f>단가산출근거목록표!G5</f>
        <v>538</v>
      </c>
      <c r="J91" s="95">
        <f t="shared" si="14"/>
        <v>301.2</v>
      </c>
      <c r="K91" s="93">
        <f>단가산출근거목록표!H5</f>
        <v>912</v>
      </c>
      <c r="L91" s="95">
        <f t="shared" si="15"/>
        <v>510.7</v>
      </c>
      <c r="M91" s="24" t="s">
        <v>1193</v>
      </c>
      <c r="N91" s="16" t="s">
        <v>1191</v>
      </c>
      <c r="O91" s="6" t="s">
        <v>1192</v>
      </c>
      <c r="P91" s="6" t="s">
        <v>1129</v>
      </c>
      <c r="Z91" s="19" t="str">
        <f ca="1">HYPERLINK("#"&amp;단가산출근거목록표!J2&amp;"!A"&amp;ROW(단가산출근거목록표!A5),"산근    2 →")</f>
        <v>산근    2 →</v>
      </c>
    </row>
    <row r="92" spans="1:26" ht="28.7" customHeight="1" x14ac:dyDescent="0.3">
      <c r="A92" s="9" t="s">
        <v>176</v>
      </c>
      <c r="B92" s="9" t="s">
        <v>177</v>
      </c>
      <c r="C92" s="87">
        <v>0.56000000000000005</v>
      </c>
      <c r="D92" s="33" t="s">
        <v>14</v>
      </c>
      <c r="E92" s="62">
        <f t="shared" si="12"/>
        <v>12701</v>
      </c>
      <c r="F92" s="92">
        <f t="shared" si="12"/>
        <v>7112.4</v>
      </c>
      <c r="G92" s="93">
        <f>단가산출근거목록표!F6</f>
        <v>7908</v>
      </c>
      <c r="H92" s="95">
        <f t="shared" si="13"/>
        <v>4428.3999999999996</v>
      </c>
      <c r="I92" s="93">
        <f>단가산출근거목록표!G6</f>
        <v>1963</v>
      </c>
      <c r="J92" s="95">
        <f t="shared" si="14"/>
        <v>1099.2</v>
      </c>
      <c r="K92" s="93">
        <f>단가산출근거목록표!H6</f>
        <v>2830</v>
      </c>
      <c r="L92" s="95">
        <f t="shared" si="15"/>
        <v>1584.8</v>
      </c>
      <c r="M92" s="24" t="s">
        <v>1196</v>
      </c>
      <c r="N92" s="16" t="s">
        <v>1194</v>
      </c>
      <c r="O92" s="6" t="s">
        <v>1195</v>
      </c>
      <c r="P92" s="6" t="s">
        <v>1129</v>
      </c>
      <c r="Z92" s="19" t="str">
        <f ca="1">HYPERLINK("#"&amp;단가산출근거목록표!J2&amp;"!A"&amp;ROW(단가산출근거목록표!A6),"산근    3 →")</f>
        <v>산근    3 →</v>
      </c>
    </row>
    <row r="93" spans="1:26" ht="28.7" customHeight="1" x14ac:dyDescent="0.3">
      <c r="A93" s="9" t="s">
        <v>475</v>
      </c>
      <c r="B93" s="9" t="s">
        <v>476</v>
      </c>
      <c r="C93" s="87">
        <v>0.65</v>
      </c>
      <c r="D93" s="33" t="s">
        <v>477</v>
      </c>
      <c r="E93" s="62">
        <f t="shared" si="12"/>
        <v>1912</v>
      </c>
      <c r="F93" s="91">
        <f t="shared" si="12"/>
        <v>1242.8</v>
      </c>
      <c r="G93" s="59">
        <v>0</v>
      </c>
      <c r="H93" s="92">
        <f t="shared" si="13"/>
        <v>0</v>
      </c>
      <c r="I93" s="93">
        <f>재료비목록표!E12</f>
        <v>1912</v>
      </c>
      <c r="J93" s="94">
        <f t="shared" si="14"/>
        <v>1242.8</v>
      </c>
      <c r="K93" s="59">
        <v>0</v>
      </c>
      <c r="L93" s="92">
        <f t="shared" si="15"/>
        <v>0</v>
      </c>
      <c r="M93" s="24" t="s">
        <v>1199</v>
      </c>
      <c r="N93" s="16" t="s">
        <v>1197</v>
      </c>
      <c r="O93" s="6" t="s">
        <v>1198</v>
      </c>
      <c r="P93" s="6" t="s">
        <v>1129</v>
      </c>
      <c r="Z93" s="19" t="str">
        <f ca="1">HYPERLINK("#"&amp;재료비목록표!G2&amp;"!A"&amp;ROW(재료비목록표!A12),"자재    9 →")</f>
        <v>자재    9 →</v>
      </c>
    </row>
    <row r="94" spans="1:26" ht="28.7" customHeight="1" x14ac:dyDescent="0.3">
      <c r="A94" s="9" t="s">
        <v>42</v>
      </c>
      <c r="B94" s="9" t="s">
        <v>201</v>
      </c>
      <c r="C94" s="87">
        <v>0.31</v>
      </c>
      <c r="D94" s="33" t="s">
        <v>14</v>
      </c>
      <c r="E94" s="62">
        <f t="shared" si="12"/>
        <v>67383</v>
      </c>
      <c r="F94" s="92">
        <f t="shared" si="12"/>
        <v>20888.600000000002</v>
      </c>
      <c r="G94" s="93">
        <f>단가산출근거목록표!F13</f>
        <v>66071</v>
      </c>
      <c r="H94" s="95">
        <f t="shared" si="13"/>
        <v>20482</v>
      </c>
      <c r="I94" s="93">
        <f>단가산출근거목록표!G13</f>
        <v>1008</v>
      </c>
      <c r="J94" s="95">
        <f t="shared" si="14"/>
        <v>312.39999999999998</v>
      </c>
      <c r="K94" s="93">
        <f>단가산출근거목록표!H13</f>
        <v>304</v>
      </c>
      <c r="L94" s="95">
        <f t="shared" si="15"/>
        <v>94.2</v>
      </c>
      <c r="M94" s="24" t="s">
        <v>1202</v>
      </c>
      <c r="N94" s="16" t="s">
        <v>1200</v>
      </c>
      <c r="O94" s="6" t="s">
        <v>1201</v>
      </c>
      <c r="P94" s="6" t="s">
        <v>1129</v>
      </c>
      <c r="Z94" s="19" t="str">
        <f ca="1">HYPERLINK("#"&amp;단가산출근거목록표!J2&amp;"!A"&amp;ROW(단가산출근거목록표!A13),"산근   10 →")</f>
        <v>산근   10 →</v>
      </c>
    </row>
    <row r="95" spans="1:26" ht="28.7" customHeight="1" x14ac:dyDescent="0.3">
      <c r="A95" s="9" t="s">
        <v>12</v>
      </c>
      <c r="B95" s="9" t="s">
        <v>13</v>
      </c>
      <c r="C95" s="87">
        <v>1.4E-2</v>
      </c>
      <c r="D95" s="33" t="s">
        <v>14</v>
      </c>
      <c r="E95" s="62">
        <f t="shared" si="12"/>
        <v>109259</v>
      </c>
      <c r="F95" s="92">
        <f t="shared" si="12"/>
        <v>1529.6</v>
      </c>
      <c r="G95" s="93">
        <f>일위대가목록표!F4</f>
        <v>109259</v>
      </c>
      <c r="H95" s="95">
        <f t="shared" si="13"/>
        <v>1529.6</v>
      </c>
      <c r="I95" s="93">
        <f>일위대가목록표!G4</f>
        <v>0</v>
      </c>
      <c r="J95" s="95">
        <f t="shared" si="14"/>
        <v>0</v>
      </c>
      <c r="K95" s="93">
        <f>일위대가목록표!H4</f>
        <v>0</v>
      </c>
      <c r="L95" s="95">
        <f t="shared" si="15"/>
        <v>0</v>
      </c>
      <c r="M95" s="24" t="s">
        <v>1205</v>
      </c>
      <c r="N95" s="16" t="s">
        <v>1203</v>
      </c>
      <c r="O95" s="6" t="s">
        <v>1204</v>
      </c>
      <c r="P95" s="6" t="s">
        <v>1129</v>
      </c>
      <c r="Z95" s="19" t="str">
        <f ca="1">HYPERLINK("#"&amp;일위대가목록표!J2&amp;"!A"&amp;ROW(일위대가목록표!A4),"대가    1 →")</f>
        <v>대가    1 →</v>
      </c>
    </row>
    <row r="96" spans="1:26" ht="28.7" customHeight="1" x14ac:dyDescent="0.3">
      <c r="A96" s="24" t="s">
        <v>1171</v>
      </c>
      <c r="B96" s="58"/>
      <c r="C96" s="58"/>
      <c r="D96" s="58"/>
      <c r="E96" s="58"/>
      <c r="F96" s="55">
        <f>J96+H96+L96</f>
        <v>124594</v>
      </c>
      <c r="G96" s="58"/>
      <c r="H96" s="55">
        <f>ROUNDDOWN(SUMIF(P88:P95,O96,H88:H95),0)</f>
        <v>96868</v>
      </c>
      <c r="I96" s="58"/>
      <c r="J96" s="55">
        <f>ROUNDDOWN(SUMIF(P88:P95,O96,J88:J95),0)</f>
        <v>11309</v>
      </c>
      <c r="K96" s="58"/>
      <c r="L96" s="55">
        <f>ROUNDDOWN(SUMIF(P88:P95,O96,L88:L95),0)</f>
        <v>16417</v>
      </c>
      <c r="M96" s="58"/>
      <c r="O96" s="6" t="s">
        <v>1129</v>
      </c>
      <c r="P96" s="6" t="s">
        <v>1172</v>
      </c>
    </row>
    <row r="97" spans="1:26" ht="28.7" customHeight="1" x14ac:dyDescent="0.3">
      <c r="A97" s="13" t="s">
        <v>1173</v>
      </c>
      <c r="B97" s="13"/>
      <c r="C97" s="88">
        <v>88.5</v>
      </c>
      <c r="D97" s="13"/>
      <c r="E97" s="90"/>
      <c r="F97" s="74">
        <f>J97+H97+L97</f>
        <v>110265</v>
      </c>
      <c r="G97" s="90"/>
      <c r="H97" s="74">
        <f>ROUNDDOWN(H96*C97/100,0)</f>
        <v>85728</v>
      </c>
      <c r="I97" s="90"/>
      <c r="J97" s="74">
        <f>ROUNDDOWN(J96*C97/100,0)</f>
        <v>10008</v>
      </c>
      <c r="K97" s="90"/>
      <c r="L97" s="74">
        <f>ROUNDDOWN(L96*C97/100,0)</f>
        <v>14529</v>
      </c>
      <c r="M97" s="90"/>
      <c r="O97" s="6" t="s">
        <v>1172</v>
      </c>
    </row>
    <row r="98" spans="1:26" ht="28.7" customHeight="1" x14ac:dyDescent="0.3">
      <c r="A98" s="84" t="s">
        <v>70</v>
      </c>
      <c r="B98" s="8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36" t="str">
        <f>HYPERLINK("#N"&amp;ROW(N107),"_x0005_`BDCOD|B01213_x0007_`POSS|"&amp;ROW(N100)&amp;"_x0007_`POSE|"&amp;ROW(N107)&amp;"_x0007_`")</f>
        <v>_x0005_`BDCOD|B01213_x0007_`POSS|100_x0007_`POSE|107_x0007_`</v>
      </c>
    </row>
    <row r="99" spans="1:26" ht="28.7" customHeight="1" x14ac:dyDescent="0.3">
      <c r="A99" s="43" t="s">
        <v>66</v>
      </c>
      <c r="B99" s="43" t="s">
        <v>72</v>
      </c>
      <c r="C99" s="86"/>
      <c r="D99" s="89" t="s">
        <v>68</v>
      </c>
      <c r="E99" s="86"/>
      <c r="F99" s="86"/>
      <c r="G99" s="86"/>
      <c r="H99" s="86"/>
      <c r="I99" s="86"/>
      <c r="J99" s="86"/>
      <c r="K99" s="86"/>
      <c r="L99" s="86"/>
      <c r="M99" s="89" t="s">
        <v>73</v>
      </c>
      <c r="O99" s="6" t="s">
        <v>1206</v>
      </c>
    </row>
    <row r="100" spans="1:26" ht="28.7" customHeight="1" x14ac:dyDescent="0.3">
      <c r="A100" s="9" t="s">
        <v>536</v>
      </c>
      <c r="B100" s="9" t="s">
        <v>502</v>
      </c>
      <c r="C100" s="87">
        <v>2.09</v>
      </c>
      <c r="D100" s="33" t="s">
        <v>537</v>
      </c>
      <c r="E100" s="62">
        <f t="shared" ref="E100:F107" si="16">I100+G100+K100</f>
        <v>0</v>
      </c>
      <c r="F100" s="91">
        <f t="shared" si="16"/>
        <v>0</v>
      </c>
      <c r="G100" s="59">
        <v>0</v>
      </c>
      <c r="H100" s="92">
        <f t="shared" ref="H100:H107" si="17">IF(C100=0,0,ROUNDDOWN(G100*C100,1))</f>
        <v>0</v>
      </c>
      <c r="I100" s="93">
        <f>재료비목록표!E25</f>
        <v>0</v>
      </c>
      <c r="J100" s="94">
        <f t="shared" ref="J100:J107" si="18">IF(C100=0,0,ROUNDDOWN(I100*C100,1))</f>
        <v>0</v>
      </c>
      <c r="K100" s="59">
        <v>0</v>
      </c>
      <c r="L100" s="92">
        <f t="shared" ref="L100:L107" si="19">IF(C100=0,0,ROUNDDOWN(K100*C100,1))</f>
        <v>0</v>
      </c>
      <c r="M100" s="24" t="s">
        <v>1184</v>
      </c>
      <c r="N100" s="16" t="s">
        <v>1182</v>
      </c>
      <c r="O100" s="6" t="s">
        <v>1183</v>
      </c>
      <c r="P100" s="6" t="s">
        <v>1129</v>
      </c>
      <c r="Z100" s="19" t="str">
        <f ca="1">HYPERLINK("#"&amp;재료비목록표!G2&amp;"!A"&amp;ROW(재료비목록표!A25),"자재   22 →")</f>
        <v>자재   22 →</v>
      </c>
    </row>
    <row r="101" spans="1:26" ht="28.7" customHeight="1" x14ac:dyDescent="0.3">
      <c r="A101" s="9" t="s">
        <v>24</v>
      </c>
      <c r="B101" s="9" t="s">
        <v>25</v>
      </c>
      <c r="C101" s="87">
        <v>2.09</v>
      </c>
      <c r="D101" s="33" t="s">
        <v>26</v>
      </c>
      <c r="E101" s="62">
        <f t="shared" si="16"/>
        <v>52995</v>
      </c>
      <c r="F101" s="92">
        <f t="shared" si="16"/>
        <v>110759.40000000001</v>
      </c>
      <c r="G101" s="93">
        <f>일위대가목록표!F6</f>
        <v>39641</v>
      </c>
      <c r="H101" s="95">
        <f t="shared" si="17"/>
        <v>82849.600000000006</v>
      </c>
      <c r="I101" s="93">
        <f>일위대가목록표!G6</f>
        <v>4939</v>
      </c>
      <c r="J101" s="95">
        <f t="shared" si="18"/>
        <v>10322.5</v>
      </c>
      <c r="K101" s="93">
        <f>일위대가목록표!H6</f>
        <v>8415</v>
      </c>
      <c r="L101" s="95">
        <f t="shared" si="19"/>
        <v>17587.3</v>
      </c>
      <c r="M101" s="24" t="s">
        <v>1187</v>
      </c>
      <c r="N101" s="16" t="s">
        <v>1185</v>
      </c>
      <c r="O101" s="6" t="s">
        <v>1186</v>
      </c>
      <c r="P101" s="6" t="s">
        <v>1129</v>
      </c>
      <c r="Z101" s="19" t="str">
        <f ca="1">HYPERLINK("#"&amp;일위대가목록표!J2&amp;"!A"&amp;ROW(일위대가목록표!A6),"대가    3 →")</f>
        <v>대가    3 →</v>
      </c>
    </row>
    <row r="102" spans="1:26" ht="28.7" customHeight="1" x14ac:dyDescent="0.3">
      <c r="A102" s="9" t="s">
        <v>180</v>
      </c>
      <c r="B102" s="9" t="s">
        <v>177</v>
      </c>
      <c r="C102" s="87">
        <v>0.31</v>
      </c>
      <c r="D102" s="33" t="s">
        <v>14</v>
      </c>
      <c r="E102" s="62">
        <f t="shared" si="16"/>
        <v>24816</v>
      </c>
      <c r="F102" s="92">
        <f t="shared" si="16"/>
        <v>7692.8</v>
      </c>
      <c r="G102" s="93">
        <f>단가산출근거목록표!F7</f>
        <v>18084</v>
      </c>
      <c r="H102" s="95">
        <f t="shared" si="17"/>
        <v>5606</v>
      </c>
      <c r="I102" s="93">
        <f>단가산출근거목록표!G7</f>
        <v>2498</v>
      </c>
      <c r="J102" s="95">
        <f t="shared" si="18"/>
        <v>774.3</v>
      </c>
      <c r="K102" s="93">
        <f>단가산출근거목록표!H7</f>
        <v>4234</v>
      </c>
      <c r="L102" s="95">
        <f t="shared" si="19"/>
        <v>1312.5</v>
      </c>
      <c r="M102" s="24" t="s">
        <v>1190</v>
      </c>
      <c r="N102" s="16" t="s">
        <v>1188</v>
      </c>
      <c r="O102" s="6" t="s">
        <v>1189</v>
      </c>
      <c r="P102" s="6" t="s">
        <v>1129</v>
      </c>
      <c r="Z102" s="19" t="str">
        <f ca="1">HYPERLINK("#"&amp;단가산출근거목록표!J2&amp;"!A"&amp;ROW(단가산출근거목록표!A7),"산근    4 →")</f>
        <v>산근    4 →</v>
      </c>
    </row>
    <row r="103" spans="1:26" ht="28.7" customHeight="1" x14ac:dyDescent="0.3">
      <c r="A103" s="9" t="s">
        <v>172</v>
      </c>
      <c r="B103" s="9" t="s">
        <v>173</v>
      </c>
      <c r="C103" s="87">
        <v>0.75</v>
      </c>
      <c r="D103" s="33" t="s">
        <v>14</v>
      </c>
      <c r="E103" s="62">
        <f t="shared" si="16"/>
        <v>8328</v>
      </c>
      <c r="F103" s="92">
        <f t="shared" si="16"/>
        <v>6246</v>
      </c>
      <c r="G103" s="93">
        <f>단가산출근거목록표!F5</f>
        <v>6878</v>
      </c>
      <c r="H103" s="95">
        <f t="shared" si="17"/>
        <v>5158.5</v>
      </c>
      <c r="I103" s="93">
        <f>단가산출근거목록표!G5</f>
        <v>538</v>
      </c>
      <c r="J103" s="95">
        <f t="shared" si="18"/>
        <v>403.5</v>
      </c>
      <c r="K103" s="93">
        <f>단가산출근거목록표!H5</f>
        <v>912</v>
      </c>
      <c r="L103" s="95">
        <f t="shared" si="19"/>
        <v>684</v>
      </c>
      <c r="M103" s="24" t="s">
        <v>1193</v>
      </c>
      <c r="N103" s="16" t="s">
        <v>1191</v>
      </c>
      <c r="O103" s="6" t="s">
        <v>1192</v>
      </c>
      <c r="P103" s="6" t="s">
        <v>1129</v>
      </c>
      <c r="Z103" s="19" t="str">
        <f ca="1">HYPERLINK("#"&amp;단가산출근거목록표!J2&amp;"!A"&amp;ROW(단가산출근거목록표!A5),"산근    2 →")</f>
        <v>산근    2 →</v>
      </c>
    </row>
    <row r="104" spans="1:26" ht="28.7" customHeight="1" x14ac:dyDescent="0.3">
      <c r="A104" s="9" t="s">
        <v>176</v>
      </c>
      <c r="B104" s="9" t="s">
        <v>177</v>
      </c>
      <c r="C104" s="87">
        <v>0.75</v>
      </c>
      <c r="D104" s="33" t="s">
        <v>14</v>
      </c>
      <c r="E104" s="62">
        <f t="shared" si="16"/>
        <v>12701</v>
      </c>
      <c r="F104" s="92">
        <f t="shared" si="16"/>
        <v>9525.7000000000007</v>
      </c>
      <c r="G104" s="93">
        <f>단가산출근거목록표!F6</f>
        <v>7908</v>
      </c>
      <c r="H104" s="95">
        <f t="shared" si="17"/>
        <v>5931</v>
      </c>
      <c r="I104" s="93">
        <f>단가산출근거목록표!G6</f>
        <v>1963</v>
      </c>
      <c r="J104" s="95">
        <f t="shared" si="18"/>
        <v>1472.2</v>
      </c>
      <c r="K104" s="93">
        <f>단가산출근거목록표!H6</f>
        <v>2830</v>
      </c>
      <c r="L104" s="95">
        <f t="shared" si="19"/>
        <v>2122.5</v>
      </c>
      <c r="M104" s="24" t="s">
        <v>1196</v>
      </c>
      <c r="N104" s="16" t="s">
        <v>1194</v>
      </c>
      <c r="O104" s="6" t="s">
        <v>1195</v>
      </c>
      <c r="P104" s="6" t="s">
        <v>1129</v>
      </c>
      <c r="Z104" s="19" t="str">
        <f ca="1">HYPERLINK("#"&amp;단가산출근거목록표!J2&amp;"!A"&amp;ROW(단가산출근거목록표!A6),"산근    3 →")</f>
        <v>산근    3 →</v>
      </c>
    </row>
    <row r="105" spans="1:26" ht="28.7" customHeight="1" x14ac:dyDescent="0.3">
      <c r="A105" s="9" t="s">
        <v>475</v>
      </c>
      <c r="B105" s="9" t="s">
        <v>476</v>
      </c>
      <c r="C105" s="87">
        <v>0.87</v>
      </c>
      <c r="D105" s="33" t="s">
        <v>477</v>
      </c>
      <c r="E105" s="62">
        <f t="shared" si="16"/>
        <v>1912</v>
      </c>
      <c r="F105" s="91">
        <f t="shared" si="16"/>
        <v>1663.4</v>
      </c>
      <c r="G105" s="59">
        <v>0</v>
      </c>
      <c r="H105" s="92">
        <f t="shared" si="17"/>
        <v>0</v>
      </c>
      <c r="I105" s="93">
        <f>재료비목록표!E12</f>
        <v>1912</v>
      </c>
      <c r="J105" s="94">
        <f t="shared" si="18"/>
        <v>1663.4</v>
      </c>
      <c r="K105" s="59">
        <v>0</v>
      </c>
      <c r="L105" s="92">
        <f t="shared" si="19"/>
        <v>0</v>
      </c>
      <c r="M105" s="24" t="s">
        <v>1199</v>
      </c>
      <c r="N105" s="16" t="s">
        <v>1197</v>
      </c>
      <c r="O105" s="6" t="s">
        <v>1198</v>
      </c>
      <c r="P105" s="6" t="s">
        <v>1129</v>
      </c>
      <c r="Z105" s="19" t="str">
        <f ca="1">HYPERLINK("#"&amp;재료비목록표!G2&amp;"!A"&amp;ROW(재료비목록표!A12),"자재    9 →")</f>
        <v>자재    9 →</v>
      </c>
    </row>
    <row r="106" spans="1:26" ht="28.7" customHeight="1" x14ac:dyDescent="0.3">
      <c r="A106" s="9" t="s">
        <v>42</v>
      </c>
      <c r="B106" s="9" t="s">
        <v>201</v>
      </c>
      <c r="C106" s="87">
        <v>0.42</v>
      </c>
      <c r="D106" s="33" t="s">
        <v>14</v>
      </c>
      <c r="E106" s="62">
        <f t="shared" si="16"/>
        <v>67383</v>
      </c>
      <c r="F106" s="92">
        <f t="shared" si="16"/>
        <v>28300.699999999997</v>
      </c>
      <c r="G106" s="93">
        <f>단가산출근거목록표!F13</f>
        <v>66071</v>
      </c>
      <c r="H106" s="95">
        <f t="shared" si="17"/>
        <v>27749.8</v>
      </c>
      <c r="I106" s="93">
        <f>단가산출근거목록표!G13</f>
        <v>1008</v>
      </c>
      <c r="J106" s="95">
        <f t="shared" si="18"/>
        <v>423.3</v>
      </c>
      <c r="K106" s="93">
        <f>단가산출근거목록표!H13</f>
        <v>304</v>
      </c>
      <c r="L106" s="95">
        <f t="shared" si="19"/>
        <v>127.6</v>
      </c>
      <c r="M106" s="24" t="s">
        <v>1202</v>
      </c>
      <c r="N106" s="16" t="s">
        <v>1200</v>
      </c>
      <c r="O106" s="6" t="s">
        <v>1201</v>
      </c>
      <c r="P106" s="6" t="s">
        <v>1129</v>
      </c>
      <c r="Z106" s="19" t="str">
        <f ca="1">HYPERLINK("#"&amp;단가산출근거목록표!J2&amp;"!A"&amp;ROW(단가산출근거목록표!A13),"산근   10 →")</f>
        <v>산근   10 →</v>
      </c>
    </row>
    <row r="107" spans="1:26" ht="28.7" customHeight="1" x14ac:dyDescent="0.3">
      <c r="A107" s="9" t="s">
        <v>12</v>
      </c>
      <c r="B107" s="9" t="s">
        <v>13</v>
      </c>
      <c r="C107" s="87">
        <v>1.9E-2</v>
      </c>
      <c r="D107" s="33" t="s">
        <v>14</v>
      </c>
      <c r="E107" s="62">
        <f t="shared" si="16"/>
        <v>109259</v>
      </c>
      <c r="F107" s="92">
        <f t="shared" si="16"/>
        <v>2075.9</v>
      </c>
      <c r="G107" s="93">
        <f>일위대가목록표!F4</f>
        <v>109259</v>
      </c>
      <c r="H107" s="95">
        <f t="shared" si="17"/>
        <v>2075.9</v>
      </c>
      <c r="I107" s="93">
        <f>일위대가목록표!G4</f>
        <v>0</v>
      </c>
      <c r="J107" s="95">
        <f t="shared" si="18"/>
        <v>0</v>
      </c>
      <c r="K107" s="93">
        <f>일위대가목록표!H4</f>
        <v>0</v>
      </c>
      <c r="L107" s="95">
        <f t="shared" si="19"/>
        <v>0</v>
      </c>
      <c r="M107" s="24" t="s">
        <v>1205</v>
      </c>
      <c r="N107" s="16" t="s">
        <v>1203</v>
      </c>
      <c r="O107" s="6" t="s">
        <v>1204</v>
      </c>
      <c r="P107" s="6" t="s">
        <v>1129</v>
      </c>
      <c r="Z107" s="19" t="str">
        <f ca="1">HYPERLINK("#"&amp;일위대가목록표!J2&amp;"!A"&amp;ROW(일위대가목록표!A4),"대가    1 →")</f>
        <v>대가    1 →</v>
      </c>
    </row>
    <row r="108" spans="1:26" ht="28.7" customHeight="1" x14ac:dyDescent="0.3">
      <c r="A108" s="24" t="s">
        <v>1171</v>
      </c>
      <c r="B108" s="58"/>
      <c r="C108" s="58"/>
      <c r="D108" s="58"/>
      <c r="E108" s="58"/>
      <c r="F108" s="55">
        <f>J108+H108+L108</f>
        <v>166262</v>
      </c>
      <c r="G108" s="58"/>
      <c r="H108" s="55">
        <f>ROUNDDOWN(SUMIF(P100:P107,O108,H100:H107),0)</f>
        <v>129370</v>
      </c>
      <c r="I108" s="58"/>
      <c r="J108" s="55">
        <f>ROUNDDOWN(SUMIF(P100:P107,O108,J100:J107),0)</f>
        <v>15059</v>
      </c>
      <c r="K108" s="58"/>
      <c r="L108" s="55">
        <f>ROUNDDOWN(SUMIF(P100:P107,O108,L100:L107),0)</f>
        <v>21833</v>
      </c>
      <c r="M108" s="58"/>
      <c r="O108" s="6" t="s">
        <v>1129</v>
      </c>
      <c r="P108" s="6" t="s">
        <v>1172</v>
      </c>
    </row>
    <row r="109" spans="1:26" ht="28.7" customHeight="1" x14ac:dyDescent="0.3">
      <c r="A109" s="13" t="s">
        <v>1173</v>
      </c>
      <c r="B109" s="13"/>
      <c r="C109" s="88">
        <v>88.5</v>
      </c>
      <c r="D109" s="13"/>
      <c r="E109" s="90"/>
      <c r="F109" s="74">
        <f>J109+H109+L109</f>
        <v>147141</v>
      </c>
      <c r="G109" s="90"/>
      <c r="H109" s="74">
        <f>ROUNDDOWN(H108*C109/100,0)</f>
        <v>114492</v>
      </c>
      <c r="I109" s="90"/>
      <c r="J109" s="74">
        <f>ROUNDDOWN(J108*C109/100,0)</f>
        <v>13327</v>
      </c>
      <c r="K109" s="90"/>
      <c r="L109" s="74">
        <f>ROUNDDOWN(L108*C109/100,0)</f>
        <v>19322</v>
      </c>
      <c r="M109" s="90"/>
      <c r="O109" s="6" t="s">
        <v>1172</v>
      </c>
    </row>
    <row r="110" spans="1:26" ht="28.7" customHeight="1" x14ac:dyDescent="0.3">
      <c r="A110" s="84" t="s">
        <v>74</v>
      </c>
      <c r="B110" s="84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36" t="str">
        <f>HYPERLINK("#N"&amp;ROW(N119),"_x0005_`BDCOD|B01214_x0007_`POSS|"&amp;ROW(N112)&amp;"_x0007_`POSE|"&amp;ROW(N119)&amp;"_x0007_`")</f>
        <v>_x0005_`BDCOD|B01214_x0007_`POSS|112_x0007_`POSE|119_x0007_`</v>
      </c>
    </row>
    <row r="111" spans="1:26" ht="28.7" customHeight="1" x14ac:dyDescent="0.3">
      <c r="A111" s="43" t="s">
        <v>66</v>
      </c>
      <c r="B111" s="43" t="s">
        <v>76</v>
      </c>
      <c r="C111" s="86"/>
      <c r="D111" s="89" t="s">
        <v>68</v>
      </c>
      <c r="E111" s="86"/>
      <c r="F111" s="86"/>
      <c r="G111" s="86"/>
      <c r="H111" s="86"/>
      <c r="I111" s="86"/>
      <c r="J111" s="86"/>
      <c r="K111" s="86"/>
      <c r="L111" s="86"/>
      <c r="M111" s="89" t="s">
        <v>77</v>
      </c>
      <c r="O111" s="6" t="s">
        <v>1207</v>
      </c>
    </row>
    <row r="112" spans="1:26" ht="28.7" customHeight="1" x14ac:dyDescent="0.3">
      <c r="A112" s="9" t="s">
        <v>536</v>
      </c>
      <c r="B112" s="9" t="s">
        <v>502</v>
      </c>
      <c r="C112" s="87">
        <v>2.61</v>
      </c>
      <c r="D112" s="33" t="s">
        <v>537</v>
      </c>
      <c r="E112" s="62">
        <f t="shared" ref="E112:F119" si="20">I112+G112+K112</f>
        <v>0</v>
      </c>
      <c r="F112" s="91">
        <f t="shared" si="20"/>
        <v>0</v>
      </c>
      <c r="G112" s="59">
        <v>0</v>
      </c>
      <c r="H112" s="92">
        <f t="shared" ref="H112:H119" si="21">IF(C112=0,0,ROUNDDOWN(G112*C112,1))</f>
        <v>0</v>
      </c>
      <c r="I112" s="93">
        <f>재료비목록표!E25</f>
        <v>0</v>
      </c>
      <c r="J112" s="94">
        <f t="shared" ref="J112:J119" si="22">IF(C112=0,0,ROUNDDOWN(I112*C112,1))</f>
        <v>0</v>
      </c>
      <c r="K112" s="59">
        <v>0</v>
      </c>
      <c r="L112" s="92">
        <f t="shared" ref="L112:L119" si="23">IF(C112=0,0,ROUNDDOWN(K112*C112,1))</f>
        <v>0</v>
      </c>
      <c r="M112" s="24" t="s">
        <v>1184</v>
      </c>
      <c r="N112" s="16" t="s">
        <v>1182</v>
      </c>
      <c r="O112" s="6" t="s">
        <v>1183</v>
      </c>
      <c r="P112" s="6" t="s">
        <v>1129</v>
      </c>
      <c r="Z112" s="19" t="str">
        <f ca="1">HYPERLINK("#"&amp;재료비목록표!G2&amp;"!A"&amp;ROW(재료비목록표!A25),"자재   22 →")</f>
        <v>자재   22 →</v>
      </c>
    </row>
    <row r="113" spans="1:26" ht="28.7" customHeight="1" x14ac:dyDescent="0.3">
      <c r="A113" s="9" t="s">
        <v>24</v>
      </c>
      <c r="B113" s="9" t="s">
        <v>25</v>
      </c>
      <c r="C113" s="87">
        <v>2.61</v>
      </c>
      <c r="D113" s="33" t="s">
        <v>26</v>
      </c>
      <c r="E113" s="62">
        <f t="shared" si="20"/>
        <v>52995</v>
      </c>
      <c r="F113" s="92">
        <f t="shared" si="20"/>
        <v>138316.79999999999</v>
      </c>
      <c r="G113" s="93">
        <f>일위대가목록표!F6</f>
        <v>39641</v>
      </c>
      <c r="H113" s="95">
        <f t="shared" si="21"/>
        <v>103463</v>
      </c>
      <c r="I113" s="93">
        <f>일위대가목록표!G6</f>
        <v>4939</v>
      </c>
      <c r="J113" s="95">
        <f t="shared" si="22"/>
        <v>12890.7</v>
      </c>
      <c r="K113" s="93">
        <f>일위대가목록표!H6</f>
        <v>8415</v>
      </c>
      <c r="L113" s="95">
        <f t="shared" si="23"/>
        <v>21963.1</v>
      </c>
      <c r="M113" s="24" t="s">
        <v>1187</v>
      </c>
      <c r="N113" s="16" t="s">
        <v>1185</v>
      </c>
      <c r="O113" s="6" t="s">
        <v>1186</v>
      </c>
      <c r="P113" s="6" t="s">
        <v>1129</v>
      </c>
      <c r="Z113" s="19" t="str">
        <f ca="1">HYPERLINK("#"&amp;일위대가목록표!J2&amp;"!A"&amp;ROW(일위대가목록표!A6),"대가    3 →")</f>
        <v>대가    3 →</v>
      </c>
    </row>
    <row r="114" spans="1:26" ht="28.7" customHeight="1" x14ac:dyDescent="0.3">
      <c r="A114" s="9" t="s">
        <v>180</v>
      </c>
      <c r="B114" s="9" t="s">
        <v>177</v>
      </c>
      <c r="C114" s="87">
        <v>0.39</v>
      </c>
      <c r="D114" s="33" t="s">
        <v>14</v>
      </c>
      <c r="E114" s="62">
        <f t="shared" si="20"/>
        <v>24816</v>
      </c>
      <c r="F114" s="92">
        <f t="shared" si="20"/>
        <v>9678.1</v>
      </c>
      <c r="G114" s="93">
        <f>단가산출근거목록표!F7</f>
        <v>18084</v>
      </c>
      <c r="H114" s="95">
        <f t="shared" si="21"/>
        <v>7052.7</v>
      </c>
      <c r="I114" s="93">
        <f>단가산출근거목록표!G7</f>
        <v>2498</v>
      </c>
      <c r="J114" s="95">
        <f t="shared" si="22"/>
        <v>974.2</v>
      </c>
      <c r="K114" s="93">
        <f>단가산출근거목록표!H7</f>
        <v>4234</v>
      </c>
      <c r="L114" s="95">
        <f t="shared" si="23"/>
        <v>1651.2</v>
      </c>
      <c r="M114" s="24" t="s">
        <v>1190</v>
      </c>
      <c r="N114" s="16" t="s">
        <v>1188</v>
      </c>
      <c r="O114" s="6" t="s">
        <v>1189</v>
      </c>
      <c r="P114" s="6" t="s">
        <v>1129</v>
      </c>
      <c r="Z114" s="19" t="str">
        <f ca="1">HYPERLINK("#"&amp;단가산출근거목록표!J2&amp;"!A"&amp;ROW(단가산출근거목록표!A7),"산근    4 →")</f>
        <v>산근    4 →</v>
      </c>
    </row>
    <row r="115" spans="1:26" ht="28.7" customHeight="1" x14ac:dyDescent="0.3">
      <c r="A115" s="9" t="s">
        <v>172</v>
      </c>
      <c r="B115" s="9" t="s">
        <v>173</v>
      </c>
      <c r="C115" s="87">
        <v>0.94</v>
      </c>
      <c r="D115" s="33" t="s">
        <v>14</v>
      </c>
      <c r="E115" s="62">
        <f t="shared" si="20"/>
        <v>8328</v>
      </c>
      <c r="F115" s="92">
        <f t="shared" si="20"/>
        <v>7828.2</v>
      </c>
      <c r="G115" s="93">
        <f>단가산출근거목록표!F5</f>
        <v>6878</v>
      </c>
      <c r="H115" s="95">
        <f t="shared" si="21"/>
        <v>6465.3</v>
      </c>
      <c r="I115" s="93">
        <f>단가산출근거목록표!G5</f>
        <v>538</v>
      </c>
      <c r="J115" s="95">
        <f t="shared" si="22"/>
        <v>505.7</v>
      </c>
      <c r="K115" s="93">
        <f>단가산출근거목록표!H5</f>
        <v>912</v>
      </c>
      <c r="L115" s="95">
        <f t="shared" si="23"/>
        <v>857.2</v>
      </c>
      <c r="M115" s="24" t="s">
        <v>1193</v>
      </c>
      <c r="N115" s="16" t="s">
        <v>1191</v>
      </c>
      <c r="O115" s="6" t="s">
        <v>1192</v>
      </c>
      <c r="P115" s="6" t="s">
        <v>1129</v>
      </c>
      <c r="Z115" s="19" t="str">
        <f ca="1">HYPERLINK("#"&amp;단가산출근거목록표!J2&amp;"!A"&amp;ROW(단가산출근거목록표!A5),"산근    2 →")</f>
        <v>산근    2 →</v>
      </c>
    </row>
    <row r="116" spans="1:26" ht="28.7" customHeight="1" x14ac:dyDescent="0.3">
      <c r="A116" s="9" t="s">
        <v>176</v>
      </c>
      <c r="B116" s="9" t="s">
        <v>177</v>
      </c>
      <c r="C116" s="87">
        <v>0.94</v>
      </c>
      <c r="D116" s="33" t="s">
        <v>14</v>
      </c>
      <c r="E116" s="62">
        <f t="shared" si="20"/>
        <v>12701</v>
      </c>
      <c r="F116" s="92">
        <f t="shared" si="20"/>
        <v>11938.900000000001</v>
      </c>
      <c r="G116" s="93">
        <f>단가산출근거목록표!F6</f>
        <v>7908</v>
      </c>
      <c r="H116" s="95">
        <f t="shared" si="21"/>
        <v>7433.5</v>
      </c>
      <c r="I116" s="93">
        <f>단가산출근거목록표!G6</f>
        <v>1963</v>
      </c>
      <c r="J116" s="95">
        <f t="shared" si="22"/>
        <v>1845.2</v>
      </c>
      <c r="K116" s="93">
        <f>단가산출근거목록표!H6</f>
        <v>2830</v>
      </c>
      <c r="L116" s="95">
        <f t="shared" si="23"/>
        <v>2660.2</v>
      </c>
      <c r="M116" s="24" t="s">
        <v>1196</v>
      </c>
      <c r="N116" s="16" t="s">
        <v>1194</v>
      </c>
      <c r="O116" s="6" t="s">
        <v>1195</v>
      </c>
      <c r="P116" s="6" t="s">
        <v>1129</v>
      </c>
      <c r="Z116" s="19" t="str">
        <f ca="1">HYPERLINK("#"&amp;단가산출근거목록표!J2&amp;"!A"&amp;ROW(단가산출근거목록표!A6),"산근    3 →")</f>
        <v>산근    3 →</v>
      </c>
    </row>
    <row r="117" spans="1:26" ht="28.7" customHeight="1" x14ac:dyDescent="0.3">
      <c r="A117" s="9" t="s">
        <v>475</v>
      </c>
      <c r="B117" s="9" t="s">
        <v>476</v>
      </c>
      <c r="C117" s="87">
        <v>1.08</v>
      </c>
      <c r="D117" s="33" t="s">
        <v>477</v>
      </c>
      <c r="E117" s="62">
        <f t="shared" si="20"/>
        <v>1912</v>
      </c>
      <c r="F117" s="91">
        <f t="shared" si="20"/>
        <v>2064.9</v>
      </c>
      <c r="G117" s="59">
        <v>0</v>
      </c>
      <c r="H117" s="92">
        <f t="shared" si="21"/>
        <v>0</v>
      </c>
      <c r="I117" s="93">
        <f>재료비목록표!E12</f>
        <v>1912</v>
      </c>
      <c r="J117" s="94">
        <f t="shared" si="22"/>
        <v>2064.9</v>
      </c>
      <c r="K117" s="59">
        <v>0</v>
      </c>
      <c r="L117" s="92">
        <f t="shared" si="23"/>
        <v>0</v>
      </c>
      <c r="M117" s="24" t="s">
        <v>1199</v>
      </c>
      <c r="N117" s="16" t="s">
        <v>1197</v>
      </c>
      <c r="O117" s="6" t="s">
        <v>1198</v>
      </c>
      <c r="P117" s="6" t="s">
        <v>1129</v>
      </c>
      <c r="Z117" s="19" t="str">
        <f ca="1">HYPERLINK("#"&amp;재료비목록표!G2&amp;"!A"&amp;ROW(재료비목록표!A12),"자재    9 →")</f>
        <v>자재    9 →</v>
      </c>
    </row>
    <row r="118" spans="1:26" ht="28.7" customHeight="1" x14ac:dyDescent="0.3">
      <c r="A118" s="9" t="s">
        <v>42</v>
      </c>
      <c r="B118" s="9" t="s">
        <v>201</v>
      </c>
      <c r="C118" s="87">
        <v>0.52</v>
      </c>
      <c r="D118" s="33" t="s">
        <v>14</v>
      </c>
      <c r="E118" s="62">
        <f t="shared" si="20"/>
        <v>67383</v>
      </c>
      <c r="F118" s="92">
        <f t="shared" si="20"/>
        <v>35039</v>
      </c>
      <c r="G118" s="93">
        <f>단가산출근거목록표!F13</f>
        <v>66071</v>
      </c>
      <c r="H118" s="95">
        <f t="shared" si="21"/>
        <v>34356.9</v>
      </c>
      <c r="I118" s="93">
        <f>단가산출근거목록표!G13</f>
        <v>1008</v>
      </c>
      <c r="J118" s="95">
        <f t="shared" si="22"/>
        <v>524.1</v>
      </c>
      <c r="K118" s="93">
        <f>단가산출근거목록표!H13</f>
        <v>304</v>
      </c>
      <c r="L118" s="95">
        <f t="shared" si="23"/>
        <v>158</v>
      </c>
      <c r="M118" s="24" t="s">
        <v>1202</v>
      </c>
      <c r="N118" s="16" t="s">
        <v>1200</v>
      </c>
      <c r="O118" s="6" t="s">
        <v>1201</v>
      </c>
      <c r="P118" s="6" t="s">
        <v>1129</v>
      </c>
      <c r="Z118" s="19" t="str">
        <f ca="1">HYPERLINK("#"&amp;단가산출근거목록표!J2&amp;"!A"&amp;ROW(단가산출근거목록표!A13),"산근   10 →")</f>
        <v>산근   10 →</v>
      </c>
    </row>
    <row r="119" spans="1:26" ht="28.7" customHeight="1" x14ac:dyDescent="0.3">
      <c r="A119" s="9" t="s">
        <v>12</v>
      </c>
      <c r="B119" s="9" t="s">
        <v>13</v>
      </c>
      <c r="C119" s="87">
        <v>2.3E-2</v>
      </c>
      <c r="D119" s="33" t="s">
        <v>14</v>
      </c>
      <c r="E119" s="62">
        <f t="shared" si="20"/>
        <v>109259</v>
      </c>
      <c r="F119" s="92">
        <f t="shared" si="20"/>
        <v>2512.9</v>
      </c>
      <c r="G119" s="93">
        <f>일위대가목록표!F4</f>
        <v>109259</v>
      </c>
      <c r="H119" s="95">
        <f t="shared" si="21"/>
        <v>2512.9</v>
      </c>
      <c r="I119" s="93">
        <f>일위대가목록표!G4</f>
        <v>0</v>
      </c>
      <c r="J119" s="95">
        <f t="shared" si="22"/>
        <v>0</v>
      </c>
      <c r="K119" s="93">
        <f>일위대가목록표!H4</f>
        <v>0</v>
      </c>
      <c r="L119" s="95">
        <f t="shared" si="23"/>
        <v>0</v>
      </c>
      <c r="M119" s="24" t="s">
        <v>1205</v>
      </c>
      <c r="N119" s="16" t="s">
        <v>1203</v>
      </c>
      <c r="O119" s="6" t="s">
        <v>1204</v>
      </c>
      <c r="P119" s="6" t="s">
        <v>1129</v>
      </c>
      <c r="Z119" s="19" t="str">
        <f ca="1">HYPERLINK("#"&amp;일위대가목록표!J2&amp;"!A"&amp;ROW(일위대가목록표!A4),"대가    1 →")</f>
        <v>대가    1 →</v>
      </c>
    </row>
    <row r="120" spans="1:26" ht="28.7" customHeight="1" x14ac:dyDescent="0.3">
      <c r="A120" s="24" t="s">
        <v>1171</v>
      </c>
      <c r="B120" s="58"/>
      <c r="C120" s="58"/>
      <c r="D120" s="58"/>
      <c r="E120" s="58"/>
      <c r="F120" s="55">
        <f>J120+H120+L120</f>
        <v>207377</v>
      </c>
      <c r="G120" s="58"/>
      <c r="H120" s="55">
        <f>ROUNDDOWN(SUMIF(P112:P119,O120,H112:H119),0)</f>
        <v>161284</v>
      </c>
      <c r="I120" s="58"/>
      <c r="J120" s="55">
        <f>ROUNDDOWN(SUMIF(P112:P119,O120,J112:J119),0)</f>
        <v>18804</v>
      </c>
      <c r="K120" s="58"/>
      <c r="L120" s="55">
        <f>ROUNDDOWN(SUMIF(P112:P119,O120,L112:L119),0)</f>
        <v>27289</v>
      </c>
      <c r="M120" s="58"/>
      <c r="O120" s="6" t="s">
        <v>1129</v>
      </c>
      <c r="P120" s="6" t="s">
        <v>1172</v>
      </c>
    </row>
    <row r="121" spans="1:26" ht="28.7" customHeight="1" x14ac:dyDescent="0.3">
      <c r="A121" s="13" t="s">
        <v>1173</v>
      </c>
      <c r="B121" s="13"/>
      <c r="C121" s="88">
        <v>88.5</v>
      </c>
      <c r="D121" s="13"/>
      <c r="E121" s="90"/>
      <c r="F121" s="74">
        <f>J121+H121+L121</f>
        <v>183527</v>
      </c>
      <c r="G121" s="90"/>
      <c r="H121" s="74">
        <f>ROUNDDOWN(H120*C121/100,0)</f>
        <v>142736</v>
      </c>
      <c r="I121" s="90"/>
      <c r="J121" s="74">
        <f>ROUNDDOWN(J120*C121/100,0)</f>
        <v>16641</v>
      </c>
      <c r="K121" s="90"/>
      <c r="L121" s="74">
        <f>ROUNDDOWN(L120*C121/100,0)</f>
        <v>24150</v>
      </c>
      <c r="M121" s="90"/>
      <c r="O121" s="6" t="s">
        <v>1172</v>
      </c>
    </row>
    <row r="122" spans="1:26" ht="28.7" customHeight="1" x14ac:dyDescent="0.3">
      <c r="A122" s="84" t="s">
        <v>78</v>
      </c>
      <c r="B122" s="84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36" t="str">
        <f>HYPERLINK("#N"&amp;ROW(N128),"_x0005_`BDCOD|B01215_x0007_`POSS|"&amp;ROW(N124)&amp;"_x0007_`POSE|"&amp;ROW(N128)&amp;"_x0007_`")</f>
        <v>_x0005_`BDCOD|B01215_x0007_`POSS|124_x0007_`POSE|128_x0007_`</v>
      </c>
    </row>
    <row r="123" spans="1:26" ht="28.7" customHeight="1" x14ac:dyDescent="0.3">
      <c r="A123" s="43" t="s">
        <v>80</v>
      </c>
      <c r="B123" s="43" t="s">
        <v>67</v>
      </c>
      <c r="C123" s="86"/>
      <c r="D123" s="89" t="s">
        <v>68</v>
      </c>
      <c r="E123" s="86"/>
      <c r="F123" s="86"/>
      <c r="G123" s="86"/>
      <c r="H123" s="86"/>
      <c r="I123" s="86"/>
      <c r="J123" s="86"/>
      <c r="K123" s="86"/>
      <c r="L123" s="86"/>
      <c r="M123" s="89" t="s">
        <v>81</v>
      </c>
      <c r="O123" s="6" t="s">
        <v>1208</v>
      </c>
    </row>
    <row r="124" spans="1:26" ht="28.7" customHeight="1" x14ac:dyDescent="0.3">
      <c r="A124" s="9" t="s">
        <v>536</v>
      </c>
      <c r="B124" s="9" t="s">
        <v>502</v>
      </c>
      <c r="C124" s="87">
        <v>1.57</v>
      </c>
      <c r="D124" s="33" t="s">
        <v>537</v>
      </c>
      <c r="E124" s="62">
        <f t="shared" ref="E124:F128" si="24">I124+G124+K124</f>
        <v>0</v>
      </c>
      <c r="F124" s="91">
        <f t="shared" si="24"/>
        <v>0</v>
      </c>
      <c r="G124" s="59">
        <v>0</v>
      </c>
      <c r="H124" s="92">
        <f>IF(C124=0,0,ROUNDDOWN(G124*C124,1))</f>
        <v>0</v>
      </c>
      <c r="I124" s="93">
        <f>재료비목록표!E25</f>
        <v>0</v>
      </c>
      <c r="J124" s="94">
        <f>IF(C124=0,0,ROUNDDOWN(I124*C124,1))</f>
        <v>0</v>
      </c>
      <c r="K124" s="59">
        <v>0</v>
      </c>
      <c r="L124" s="92">
        <f>IF(C124=0,0,ROUNDDOWN(K124*C124,1))</f>
        <v>0</v>
      </c>
      <c r="M124" s="24" t="s">
        <v>1184</v>
      </c>
      <c r="N124" s="16" t="s">
        <v>1182</v>
      </c>
      <c r="O124" s="6" t="s">
        <v>1183</v>
      </c>
      <c r="P124" s="6" t="s">
        <v>1129</v>
      </c>
      <c r="Z124" s="19" t="str">
        <f ca="1">HYPERLINK("#"&amp;재료비목록표!G2&amp;"!A"&amp;ROW(재료비목록표!A25),"자재   22 →")</f>
        <v>자재   22 →</v>
      </c>
    </row>
    <row r="125" spans="1:26" ht="28.7" customHeight="1" x14ac:dyDescent="0.3">
      <c r="A125" s="9" t="s">
        <v>38</v>
      </c>
      <c r="B125" s="9" t="s">
        <v>25</v>
      </c>
      <c r="C125" s="87">
        <v>1.57</v>
      </c>
      <c r="D125" s="33" t="s">
        <v>26</v>
      </c>
      <c r="E125" s="62">
        <f t="shared" si="24"/>
        <v>68835</v>
      </c>
      <c r="F125" s="92">
        <f t="shared" si="24"/>
        <v>108070.8</v>
      </c>
      <c r="G125" s="93">
        <f>일위대가목록표!F9</f>
        <v>50534</v>
      </c>
      <c r="H125" s="95">
        <f>IF(C125=0,0,ROUNDDOWN(G125*C125,1))</f>
        <v>79338.3</v>
      </c>
      <c r="I125" s="93">
        <f>일위대가목록표!G9</f>
        <v>6769</v>
      </c>
      <c r="J125" s="95">
        <f>IF(C125=0,0,ROUNDDOWN(I125*C125,1))</f>
        <v>10627.3</v>
      </c>
      <c r="K125" s="93">
        <f>일위대가목록표!H9</f>
        <v>11532</v>
      </c>
      <c r="L125" s="95">
        <f>IF(C125=0,0,ROUNDDOWN(K125*C125,1))</f>
        <v>18105.2</v>
      </c>
      <c r="M125" s="24" t="s">
        <v>1211</v>
      </c>
      <c r="N125" s="16" t="s">
        <v>1209</v>
      </c>
      <c r="O125" s="6" t="s">
        <v>1210</v>
      </c>
      <c r="P125" s="6" t="s">
        <v>1129</v>
      </c>
      <c r="Z125" s="19" t="str">
        <f ca="1">HYPERLINK("#"&amp;일위대가목록표!J2&amp;"!A"&amp;ROW(일위대가목록표!A9),"대가    6 →")</f>
        <v>대가    6 →</v>
      </c>
    </row>
    <row r="126" spans="1:26" ht="28.7" customHeight="1" x14ac:dyDescent="0.3">
      <c r="A126" s="9" t="s">
        <v>180</v>
      </c>
      <c r="B126" s="9" t="s">
        <v>177</v>
      </c>
      <c r="C126" s="87">
        <v>0.24</v>
      </c>
      <c r="D126" s="33" t="s">
        <v>14</v>
      </c>
      <c r="E126" s="62">
        <f t="shared" si="24"/>
        <v>24816</v>
      </c>
      <c r="F126" s="92">
        <f t="shared" si="24"/>
        <v>5955.7000000000007</v>
      </c>
      <c r="G126" s="93">
        <f>단가산출근거목록표!F7</f>
        <v>18084</v>
      </c>
      <c r="H126" s="95">
        <f>IF(C126=0,0,ROUNDDOWN(G126*C126,1))</f>
        <v>4340.1000000000004</v>
      </c>
      <c r="I126" s="93">
        <f>단가산출근거목록표!G7</f>
        <v>2498</v>
      </c>
      <c r="J126" s="95">
        <f>IF(C126=0,0,ROUNDDOWN(I126*C126,1))</f>
        <v>599.5</v>
      </c>
      <c r="K126" s="93">
        <f>단가산출근거목록표!H7</f>
        <v>4234</v>
      </c>
      <c r="L126" s="95">
        <f>IF(C126=0,0,ROUNDDOWN(K126*C126,1))</f>
        <v>1016.1</v>
      </c>
      <c r="M126" s="24" t="s">
        <v>1190</v>
      </c>
      <c r="N126" s="16" t="s">
        <v>1188</v>
      </c>
      <c r="O126" s="6" t="s">
        <v>1189</v>
      </c>
      <c r="P126" s="6" t="s">
        <v>1129</v>
      </c>
      <c r="Z126" s="19" t="str">
        <f ca="1">HYPERLINK("#"&amp;단가산출근거목록표!J2&amp;"!A"&amp;ROW(단가산출근거목록표!A7),"산근    4 →")</f>
        <v>산근    4 →</v>
      </c>
    </row>
    <row r="127" spans="1:26" ht="28.7" customHeight="1" x14ac:dyDescent="0.3">
      <c r="A127" s="9" t="s">
        <v>172</v>
      </c>
      <c r="B127" s="9" t="s">
        <v>173</v>
      </c>
      <c r="C127" s="87">
        <v>0.56000000000000005</v>
      </c>
      <c r="D127" s="33" t="s">
        <v>14</v>
      </c>
      <c r="E127" s="62">
        <f t="shared" si="24"/>
        <v>8328</v>
      </c>
      <c r="F127" s="92">
        <f t="shared" si="24"/>
        <v>4663.5</v>
      </c>
      <c r="G127" s="93">
        <f>단가산출근거목록표!F5</f>
        <v>6878</v>
      </c>
      <c r="H127" s="95">
        <f>IF(C127=0,0,ROUNDDOWN(G127*C127,1))</f>
        <v>3851.6</v>
      </c>
      <c r="I127" s="93">
        <f>단가산출근거목록표!G5</f>
        <v>538</v>
      </c>
      <c r="J127" s="95">
        <f>IF(C127=0,0,ROUNDDOWN(I127*C127,1))</f>
        <v>301.2</v>
      </c>
      <c r="K127" s="93">
        <f>단가산출근거목록표!H5</f>
        <v>912</v>
      </c>
      <c r="L127" s="95">
        <f>IF(C127=0,0,ROUNDDOWN(K127*C127,1))</f>
        <v>510.7</v>
      </c>
      <c r="M127" s="24" t="s">
        <v>1193</v>
      </c>
      <c r="N127" s="16" t="s">
        <v>1191</v>
      </c>
      <c r="O127" s="6" t="s">
        <v>1192</v>
      </c>
      <c r="P127" s="6" t="s">
        <v>1129</v>
      </c>
      <c r="Z127" s="19" t="str">
        <f ca="1">HYPERLINK("#"&amp;단가산출근거목록표!J2&amp;"!A"&amp;ROW(단가산출근거목록표!A5),"산근    2 →")</f>
        <v>산근    2 →</v>
      </c>
    </row>
    <row r="128" spans="1:26" ht="28.7" customHeight="1" x14ac:dyDescent="0.3">
      <c r="A128" s="9" t="s">
        <v>176</v>
      </c>
      <c r="B128" s="9" t="s">
        <v>177</v>
      </c>
      <c r="C128" s="87">
        <v>0.56000000000000005</v>
      </c>
      <c r="D128" s="33" t="s">
        <v>14</v>
      </c>
      <c r="E128" s="62">
        <f t="shared" si="24"/>
        <v>12701</v>
      </c>
      <c r="F128" s="92">
        <f t="shared" si="24"/>
        <v>7112.4</v>
      </c>
      <c r="G128" s="93">
        <f>단가산출근거목록표!F6</f>
        <v>7908</v>
      </c>
      <c r="H128" s="95">
        <f>IF(C128=0,0,ROUNDDOWN(G128*C128,1))</f>
        <v>4428.3999999999996</v>
      </c>
      <c r="I128" s="93">
        <f>단가산출근거목록표!G6</f>
        <v>1963</v>
      </c>
      <c r="J128" s="95">
        <f>IF(C128=0,0,ROUNDDOWN(I128*C128,1))</f>
        <v>1099.2</v>
      </c>
      <c r="K128" s="93">
        <f>단가산출근거목록표!H6</f>
        <v>2830</v>
      </c>
      <c r="L128" s="95">
        <f>IF(C128=0,0,ROUNDDOWN(K128*C128,1))</f>
        <v>1584.8</v>
      </c>
      <c r="M128" s="24" t="s">
        <v>1196</v>
      </c>
      <c r="N128" s="16" t="s">
        <v>1194</v>
      </c>
      <c r="O128" s="6" t="s">
        <v>1195</v>
      </c>
      <c r="P128" s="6" t="s">
        <v>1129</v>
      </c>
      <c r="Z128" s="19" t="str">
        <f ca="1">HYPERLINK("#"&amp;단가산출근거목록표!J2&amp;"!A"&amp;ROW(단가산출근거목록표!A6),"산근    3 →")</f>
        <v>산근    3 →</v>
      </c>
    </row>
    <row r="129" spans="1:26" ht="28.7" customHeight="1" x14ac:dyDescent="0.3">
      <c r="A129" s="24" t="s">
        <v>1171</v>
      </c>
      <c r="B129" s="58"/>
      <c r="C129" s="58"/>
      <c r="D129" s="58"/>
      <c r="E129" s="58"/>
      <c r="F129" s="55">
        <f>J129+H129+L129</f>
        <v>125801</v>
      </c>
      <c r="G129" s="58"/>
      <c r="H129" s="55">
        <f>ROUNDDOWN(SUMIF(P124:P128,O129,H124:H128),0)</f>
        <v>91958</v>
      </c>
      <c r="I129" s="58"/>
      <c r="J129" s="55">
        <f>ROUNDDOWN(SUMIF(P124:P128,O129,J124:J128),0)</f>
        <v>12627</v>
      </c>
      <c r="K129" s="58"/>
      <c r="L129" s="55">
        <f>ROUNDDOWN(SUMIF(P124:P128,O129,L124:L128),0)</f>
        <v>21216</v>
      </c>
      <c r="M129" s="58"/>
      <c r="O129" s="6" t="s">
        <v>1129</v>
      </c>
      <c r="P129" s="6" t="s">
        <v>1172</v>
      </c>
    </row>
    <row r="130" spans="1:26" ht="28.7" customHeight="1" x14ac:dyDescent="0.3">
      <c r="A130" s="13" t="s">
        <v>1173</v>
      </c>
      <c r="B130" s="13"/>
      <c r="C130" s="88">
        <v>88.5</v>
      </c>
      <c r="D130" s="13"/>
      <c r="E130" s="90"/>
      <c r="F130" s="74">
        <f>J130+H130+L130</f>
        <v>111332</v>
      </c>
      <c r="G130" s="90"/>
      <c r="H130" s="74">
        <f>ROUNDDOWN(H129*C130/100,0)</f>
        <v>81382</v>
      </c>
      <c r="I130" s="90"/>
      <c r="J130" s="74">
        <f>ROUNDDOWN(J129*C130/100,0)</f>
        <v>11174</v>
      </c>
      <c r="K130" s="90"/>
      <c r="L130" s="74">
        <f>ROUNDDOWN(L129*C130/100,0)</f>
        <v>18776</v>
      </c>
      <c r="M130" s="90"/>
      <c r="O130" s="6" t="s">
        <v>1172</v>
      </c>
    </row>
    <row r="131" spans="1:26" ht="28.7" customHeight="1" x14ac:dyDescent="0.3">
      <c r="A131" s="84" t="s">
        <v>82</v>
      </c>
      <c r="B131" s="84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36" t="str">
        <f>HYPERLINK("#N"&amp;ROW(N137),"_x0005_`BDCOD|B01216_x0007_`POSS|"&amp;ROW(N133)&amp;"_x0007_`POSE|"&amp;ROW(N137)&amp;"_x0007_`")</f>
        <v>_x0005_`BDCOD|B01216_x0007_`POSS|133_x0007_`POSE|137_x0007_`</v>
      </c>
    </row>
    <row r="132" spans="1:26" ht="28.7" customHeight="1" x14ac:dyDescent="0.3">
      <c r="A132" s="43" t="s">
        <v>80</v>
      </c>
      <c r="B132" s="43" t="s">
        <v>76</v>
      </c>
      <c r="C132" s="86"/>
      <c r="D132" s="89" t="s">
        <v>68</v>
      </c>
      <c r="E132" s="86"/>
      <c r="F132" s="86"/>
      <c r="G132" s="86"/>
      <c r="H132" s="86"/>
      <c r="I132" s="86"/>
      <c r="J132" s="86"/>
      <c r="K132" s="86"/>
      <c r="L132" s="86"/>
      <c r="M132" s="89" t="s">
        <v>84</v>
      </c>
      <c r="O132" s="6" t="s">
        <v>1212</v>
      </c>
    </row>
    <row r="133" spans="1:26" ht="28.7" customHeight="1" x14ac:dyDescent="0.3">
      <c r="A133" s="9" t="s">
        <v>536</v>
      </c>
      <c r="B133" s="9" t="s">
        <v>502</v>
      </c>
      <c r="C133" s="87">
        <v>2.61</v>
      </c>
      <c r="D133" s="33" t="s">
        <v>537</v>
      </c>
      <c r="E133" s="62">
        <f t="shared" ref="E133:F137" si="25">I133+G133+K133</f>
        <v>0</v>
      </c>
      <c r="F133" s="91">
        <f t="shared" si="25"/>
        <v>0</v>
      </c>
      <c r="G133" s="59">
        <v>0</v>
      </c>
      <c r="H133" s="92">
        <f>IF(C133=0,0,ROUNDDOWN(G133*C133,1))</f>
        <v>0</v>
      </c>
      <c r="I133" s="93">
        <f>재료비목록표!E25</f>
        <v>0</v>
      </c>
      <c r="J133" s="94">
        <f>IF(C133=0,0,ROUNDDOWN(I133*C133,1))</f>
        <v>0</v>
      </c>
      <c r="K133" s="59">
        <v>0</v>
      </c>
      <c r="L133" s="92">
        <f>IF(C133=0,0,ROUNDDOWN(K133*C133,1))</f>
        <v>0</v>
      </c>
      <c r="M133" s="24" t="s">
        <v>1184</v>
      </c>
      <c r="N133" s="16" t="s">
        <v>1182</v>
      </c>
      <c r="O133" s="6" t="s">
        <v>1183</v>
      </c>
      <c r="P133" s="6" t="s">
        <v>1129</v>
      </c>
      <c r="Z133" s="19" t="str">
        <f ca="1">HYPERLINK("#"&amp;재료비목록표!G2&amp;"!A"&amp;ROW(재료비목록표!A25),"자재   22 →")</f>
        <v>자재   22 →</v>
      </c>
    </row>
    <row r="134" spans="1:26" ht="28.7" customHeight="1" x14ac:dyDescent="0.3">
      <c r="A134" s="9" t="s">
        <v>38</v>
      </c>
      <c r="B134" s="9" t="s">
        <v>25</v>
      </c>
      <c r="C134" s="87">
        <v>2.61</v>
      </c>
      <c r="D134" s="33" t="s">
        <v>26</v>
      </c>
      <c r="E134" s="62">
        <f t="shared" si="25"/>
        <v>68835</v>
      </c>
      <c r="F134" s="92">
        <f t="shared" si="25"/>
        <v>179659.2</v>
      </c>
      <c r="G134" s="93">
        <f>일위대가목록표!F9</f>
        <v>50534</v>
      </c>
      <c r="H134" s="95">
        <f>IF(C134=0,0,ROUNDDOWN(G134*C134,1))</f>
        <v>131893.70000000001</v>
      </c>
      <c r="I134" s="93">
        <f>일위대가목록표!G9</f>
        <v>6769</v>
      </c>
      <c r="J134" s="95">
        <f>IF(C134=0,0,ROUNDDOWN(I134*C134,1))</f>
        <v>17667</v>
      </c>
      <c r="K134" s="93">
        <f>일위대가목록표!H9</f>
        <v>11532</v>
      </c>
      <c r="L134" s="95">
        <f>IF(C134=0,0,ROUNDDOWN(K134*C134,1))</f>
        <v>30098.5</v>
      </c>
      <c r="M134" s="24" t="s">
        <v>1211</v>
      </c>
      <c r="N134" s="16" t="s">
        <v>1209</v>
      </c>
      <c r="O134" s="6" t="s">
        <v>1210</v>
      </c>
      <c r="P134" s="6" t="s">
        <v>1129</v>
      </c>
      <c r="Z134" s="19" t="str">
        <f ca="1">HYPERLINK("#"&amp;일위대가목록표!J2&amp;"!A"&amp;ROW(일위대가목록표!A9),"대가    6 →")</f>
        <v>대가    6 →</v>
      </c>
    </row>
    <row r="135" spans="1:26" ht="28.7" customHeight="1" x14ac:dyDescent="0.3">
      <c r="A135" s="9" t="s">
        <v>180</v>
      </c>
      <c r="B135" s="9" t="s">
        <v>177</v>
      </c>
      <c r="C135" s="87">
        <v>0.39</v>
      </c>
      <c r="D135" s="33" t="s">
        <v>14</v>
      </c>
      <c r="E135" s="62">
        <f t="shared" si="25"/>
        <v>24816</v>
      </c>
      <c r="F135" s="92">
        <f t="shared" si="25"/>
        <v>9678.1</v>
      </c>
      <c r="G135" s="93">
        <f>단가산출근거목록표!F7</f>
        <v>18084</v>
      </c>
      <c r="H135" s="95">
        <f>IF(C135=0,0,ROUNDDOWN(G135*C135,1))</f>
        <v>7052.7</v>
      </c>
      <c r="I135" s="93">
        <f>단가산출근거목록표!G7</f>
        <v>2498</v>
      </c>
      <c r="J135" s="95">
        <f>IF(C135=0,0,ROUNDDOWN(I135*C135,1))</f>
        <v>974.2</v>
      </c>
      <c r="K135" s="93">
        <f>단가산출근거목록표!H7</f>
        <v>4234</v>
      </c>
      <c r="L135" s="95">
        <f>IF(C135=0,0,ROUNDDOWN(K135*C135,1))</f>
        <v>1651.2</v>
      </c>
      <c r="M135" s="24" t="s">
        <v>1190</v>
      </c>
      <c r="N135" s="16" t="s">
        <v>1188</v>
      </c>
      <c r="O135" s="6" t="s">
        <v>1189</v>
      </c>
      <c r="P135" s="6" t="s">
        <v>1129</v>
      </c>
      <c r="Z135" s="19" t="str">
        <f ca="1">HYPERLINK("#"&amp;단가산출근거목록표!J2&amp;"!A"&amp;ROW(단가산출근거목록표!A7),"산근    4 →")</f>
        <v>산근    4 →</v>
      </c>
    </row>
    <row r="136" spans="1:26" ht="28.7" customHeight="1" x14ac:dyDescent="0.3">
      <c r="A136" s="9" t="s">
        <v>172</v>
      </c>
      <c r="B136" s="9" t="s">
        <v>173</v>
      </c>
      <c r="C136" s="87">
        <v>0.94</v>
      </c>
      <c r="D136" s="33" t="s">
        <v>14</v>
      </c>
      <c r="E136" s="62">
        <f t="shared" si="25"/>
        <v>8328</v>
      </c>
      <c r="F136" s="92">
        <f t="shared" si="25"/>
        <v>7828.2</v>
      </c>
      <c r="G136" s="93">
        <f>단가산출근거목록표!F5</f>
        <v>6878</v>
      </c>
      <c r="H136" s="95">
        <f>IF(C136=0,0,ROUNDDOWN(G136*C136,1))</f>
        <v>6465.3</v>
      </c>
      <c r="I136" s="93">
        <f>단가산출근거목록표!G5</f>
        <v>538</v>
      </c>
      <c r="J136" s="95">
        <f>IF(C136=0,0,ROUNDDOWN(I136*C136,1))</f>
        <v>505.7</v>
      </c>
      <c r="K136" s="93">
        <f>단가산출근거목록표!H5</f>
        <v>912</v>
      </c>
      <c r="L136" s="95">
        <f>IF(C136=0,0,ROUNDDOWN(K136*C136,1))</f>
        <v>857.2</v>
      </c>
      <c r="M136" s="24" t="s">
        <v>1193</v>
      </c>
      <c r="N136" s="16" t="s">
        <v>1191</v>
      </c>
      <c r="O136" s="6" t="s">
        <v>1192</v>
      </c>
      <c r="P136" s="6" t="s">
        <v>1129</v>
      </c>
      <c r="Z136" s="19" t="str">
        <f ca="1">HYPERLINK("#"&amp;단가산출근거목록표!J2&amp;"!A"&amp;ROW(단가산출근거목록표!A5),"산근    2 →")</f>
        <v>산근    2 →</v>
      </c>
    </row>
    <row r="137" spans="1:26" ht="28.7" customHeight="1" x14ac:dyDescent="0.3">
      <c r="A137" s="9" t="s">
        <v>176</v>
      </c>
      <c r="B137" s="9" t="s">
        <v>177</v>
      </c>
      <c r="C137" s="87">
        <v>0.94</v>
      </c>
      <c r="D137" s="33" t="s">
        <v>14</v>
      </c>
      <c r="E137" s="62">
        <f t="shared" si="25"/>
        <v>12701</v>
      </c>
      <c r="F137" s="92">
        <f t="shared" si="25"/>
        <v>11938.900000000001</v>
      </c>
      <c r="G137" s="93">
        <f>단가산출근거목록표!F6</f>
        <v>7908</v>
      </c>
      <c r="H137" s="95">
        <f>IF(C137=0,0,ROUNDDOWN(G137*C137,1))</f>
        <v>7433.5</v>
      </c>
      <c r="I137" s="93">
        <f>단가산출근거목록표!G6</f>
        <v>1963</v>
      </c>
      <c r="J137" s="95">
        <f>IF(C137=0,0,ROUNDDOWN(I137*C137,1))</f>
        <v>1845.2</v>
      </c>
      <c r="K137" s="93">
        <f>단가산출근거목록표!H6</f>
        <v>2830</v>
      </c>
      <c r="L137" s="95">
        <f>IF(C137=0,0,ROUNDDOWN(K137*C137,1))</f>
        <v>2660.2</v>
      </c>
      <c r="M137" s="24" t="s">
        <v>1196</v>
      </c>
      <c r="N137" s="16" t="s">
        <v>1194</v>
      </c>
      <c r="O137" s="6" t="s">
        <v>1195</v>
      </c>
      <c r="P137" s="6" t="s">
        <v>1129</v>
      </c>
      <c r="Z137" s="19" t="str">
        <f ca="1">HYPERLINK("#"&amp;단가산출근거목록표!J2&amp;"!A"&amp;ROW(단가산출근거목록표!A6),"산근    3 →")</f>
        <v>산근    3 →</v>
      </c>
    </row>
    <row r="138" spans="1:26" ht="28.7" customHeight="1" x14ac:dyDescent="0.3">
      <c r="A138" s="24" t="s">
        <v>1171</v>
      </c>
      <c r="B138" s="58"/>
      <c r="C138" s="58"/>
      <c r="D138" s="58"/>
      <c r="E138" s="58"/>
      <c r="F138" s="55">
        <f>J138+H138+L138</f>
        <v>209104</v>
      </c>
      <c r="G138" s="58"/>
      <c r="H138" s="55">
        <f>ROUNDDOWN(SUMIF(P133:P137,O138,H133:H137),0)</f>
        <v>152845</v>
      </c>
      <c r="I138" s="58"/>
      <c r="J138" s="55">
        <f>ROUNDDOWN(SUMIF(P133:P137,O138,J133:J137),0)</f>
        <v>20992</v>
      </c>
      <c r="K138" s="58"/>
      <c r="L138" s="55">
        <f>ROUNDDOWN(SUMIF(P133:P137,O138,L133:L137),0)</f>
        <v>35267</v>
      </c>
      <c r="M138" s="58"/>
      <c r="O138" s="6" t="s">
        <v>1129</v>
      </c>
      <c r="P138" s="6" t="s">
        <v>1172</v>
      </c>
    </row>
    <row r="139" spans="1:26" ht="28.7" customHeight="1" x14ac:dyDescent="0.3">
      <c r="A139" s="13" t="s">
        <v>1173</v>
      </c>
      <c r="B139" s="13"/>
      <c r="C139" s="88">
        <v>88.5</v>
      </c>
      <c r="D139" s="13"/>
      <c r="E139" s="90"/>
      <c r="F139" s="74">
        <f>J139+H139+L139</f>
        <v>185055</v>
      </c>
      <c r="G139" s="90"/>
      <c r="H139" s="74">
        <f>ROUNDDOWN(H138*C139/100,0)</f>
        <v>135267</v>
      </c>
      <c r="I139" s="90"/>
      <c r="J139" s="74">
        <f>ROUNDDOWN(J138*C139/100,0)</f>
        <v>18577</v>
      </c>
      <c r="K139" s="90"/>
      <c r="L139" s="74">
        <f>ROUNDDOWN(L138*C139/100,0)</f>
        <v>31211</v>
      </c>
      <c r="M139" s="90"/>
      <c r="O139" s="6" t="s">
        <v>1172</v>
      </c>
    </row>
    <row r="140" spans="1:26" ht="28.7" customHeight="1" x14ac:dyDescent="0.3">
      <c r="A140" s="84" t="s">
        <v>85</v>
      </c>
      <c r="B140" s="8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36" t="str">
        <f>HYPERLINK("#N"&amp;ROW(N147),"_x0005_`BDCOD|B01217_x0007_`POSS|"&amp;ROW(N142)&amp;"_x0007_`POSE|"&amp;ROW(N147)&amp;"_x0007_`")</f>
        <v>_x0005_`BDCOD|B01217_x0007_`POSS|142_x0007_`POSE|147_x0007_`</v>
      </c>
    </row>
    <row r="141" spans="1:26" ht="28.7" customHeight="1" x14ac:dyDescent="0.3">
      <c r="A141" s="43" t="s">
        <v>87</v>
      </c>
      <c r="B141" s="43" t="s">
        <v>88</v>
      </c>
      <c r="C141" s="86"/>
      <c r="D141" s="89" t="s">
        <v>68</v>
      </c>
      <c r="E141" s="86"/>
      <c r="F141" s="86"/>
      <c r="G141" s="86"/>
      <c r="H141" s="86"/>
      <c r="I141" s="86"/>
      <c r="J141" s="86"/>
      <c r="K141" s="86"/>
      <c r="L141" s="86"/>
      <c r="M141" s="89" t="s">
        <v>89</v>
      </c>
      <c r="O141" s="6" t="s">
        <v>1213</v>
      </c>
    </row>
    <row r="142" spans="1:26" ht="28.7" customHeight="1" x14ac:dyDescent="0.3">
      <c r="A142" s="9" t="s">
        <v>1115</v>
      </c>
      <c r="B142" s="9" t="s">
        <v>1214</v>
      </c>
      <c r="C142" s="87">
        <v>0</v>
      </c>
      <c r="D142" s="33"/>
      <c r="E142" s="23">
        <v>0</v>
      </c>
      <c r="F142" s="10">
        <v>0</v>
      </c>
      <c r="G142" s="45"/>
      <c r="H142" s="10">
        <v>0</v>
      </c>
      <c r="I142" s="45"/>
      <c r="J142" s="23">
        <v>0</v>
      </c>
      <c r="K142" s="50"/>
      <c r="L142" s="23">
        <v>0</v>
      </c>
      <c r="M142" s="24" t="s">
        <v>1119</v>
      </c>
      <c r="N142" s="16" t="s">
        <v>1117</v>
      </c>
      <c r="O142" s="6" t="s">
        <v>1118</v>
      </c>
      <c r="P142" s="6" t="s">
        <v>1118</v>
      </c>
    </row>
    <row r="143" spans="1:26" ht="28.7" customHeight="1" x14ac:dyDescent="0.3">
      <c r="A143" s="9" t="s">
        <v>525</v>
      </c>
      <c r="B143" s="9" t="s">
        <v>502</v>
      </c>
      <c r="C143" s="87">
        <v>1</v>
      </c>
      <c r="D143" s="33" t="s">
        <v>477</v>
      </c>
      <c r="E143" s="62">
        <f t="shared" ref="E143:F147" si="26">I143+G143+K143</f>
        <v>0</v>
      </c>
      <c r="F143" s="91">
        <f t="shared" si="26"/>
        <v>0</v>
      </c>
      <c r="G143" s="59">
        <v>0</v>
      </c>
      <c r="H143" s="92">
        <f>IF(C143=0,0,ROUNDDOWN(G143*C143,1))</f>
        <v>0</v>
      </c>
      <c r="I143" s="93">
        <f>재료비목록표!E22</f>
        <v>0</v>
      </c>
      <c r="J143" s="94">
        <f>IF(C143=0,0,ROUNDDOWN(I143*C143,1))</f>
        <v>0</v>
      </c>
      <c r="K143" s="59">
        <v>0</v>
      </c>
      <c r="L143" s="92">
        <f>IF(C143=0,0,ROUNDDOWN(K143*C143,1))</f>
        <v>0</v>
      </c>
      <c r="M143" s="24" t="s">
        <v>1217</v>
      </c>
      <c r="N143" s="16" t="s">
        <v>1215</v>
      </c>
      <c r="O143" s="6" t="s">
        <v>1216</v>
      </c>
      <c r="P143" s="6" t="s">
        <v>1129</v>
      </c>
      <c r="Z143" s="19" t="str">
        <f ca="1">HYPERLINK("#"&amp;재료비목록표!G2&amp;"!A"&amp;ROW(재료비목록표!A22),"자재   19 →")</f>
        <v>자재   19 →</v>
      </c>
    </row>
    <row r="144" spans="1:26" ht="28.7" customHeight="1" x14ac:dyDescent="0.3">
      <c r="A144" s="9" t="s">
        <v>677</v>
      </c>
      <c r="B144" s="9"/>
      <c r="C144" s="87">
        <v>0.04</v>
      </c>
      <c r="D144" s="33" t="s">
        <v>650</v>
      </c>
      <c r="E144" s="62">
        <f t="shared" si="26"/>
        <v>243168</v>
      </c>
      <c r="F144" s="92">
        <f t="shared" si="26"/>
        <v>9726.7000000000007</v>
      </c>
      <c r="G144" s="93">
        <f>노무비목록표!E13</f>
        <v>243168</v>
      </c>
      <c r="H144" s="94">
        <f>IF(C144=0,0,ROUNDDOWN(G144*C144,1))</f>
        <v>9726.7000000000007</v>
      </c>
      <c r="I144" s="59">
        <v>0</v>
      </c>
      <c r="J144" s="91">
        <f>IF(C144=0,0,ROUNDDOWN(I144*C144,1))</f>
        <v>0</v>
      </c>
      <c r="K144" s="59">
        <v>0</v>
      </c>
      <c r="L144" s="92">
        <f>IF(C144=0,0,ROUNDDOWN(K144*C144,1))</f>
        <v>0</v>
      </c>
      <c r="M144" s="24" t="s">
        <v>1220</v>
      </c>
      <c r="N144" s="16" t="s">
        <v>1218</v>
      </c>
      <c r="O144" s="6" t="s">
        <v>1219</v>
      </c>
      <c r="P144" s="6" t="s">
        <v>1129</v>
      </c>
      <c r="Z144" s="19" t="str">
        <f ca="1">HYPERLINK("#"&amp;노무비목록표!G2&amp;"!A"&amp;ROW(노무비목록표!A13),"노무   10 →")</f>
        <v>노무   10 →</v>
      </c>
    </row>
    <row r="145" spans="1:26" ht="28.7" customHeight="1" x14ac:dyDescent="0.3">
      <c r="A145" s="9" t="s">
        <v>665</v>
      </c>
      <c r="B145" s="9"/>
      <c r="C145" s="87">
        <v>0.02</v>
      </c>
      <c r="D145" s="33" t="s">
        <v>650</v>
      </c>
      <c r="E145" s="62">
        <f t="shared" si="26"/>
        <v>165545</v>
      </c>
      <c r="F145" s="92">
        <f t="shared" si="26"/>
        <v>3310.9</v>
      </c>
      <c r="G145" s="93">
        <f>노무비목록표!E9</f>
        <v>165545</v>
      </c>
      <c r="H145" s="94">
        <f>IF(C145=0,0,ROUNDDOWN(G145*C145,1))</f>
        <v>3310.9</v>
      </c>
      <c r="I145" s="59">
        <v>0</v>
      </c>
      <c r="J145" s="91">
        <f>IF(C145=0,0,ROUNDDOWN(I145*C145,1))</f>
        <v>0</v>
      </c>
      <c r="K145" s="59">
        <v>0</v>
      </c>
      <c r="L145" s="92">
        <f>IF(C145=0,0,ROUNDDOWN(K145*C145,1))</f>
        <v>0</v>
      </c>
      <c r="M145" s="24" t="s">
        <v>1128</v>
      </c>
      <c r="N145" s="16" t="s">
        <v>1126</v>
      </c>
      <c r="O145" s="6" t="s">
        <v>1127</v>
      </c>
      <c r="P145" s="6" t="s">
        <v>1129</v>
      </c>
      <c r="Z145" s="19" t="str">
        <f ca="1">HYPERLINK("#"&amp;노무비목록표!G2&amp;"!A"&amp;ROW(노무비목록표!A9),"노무    6 →")</f>
        <v>노무    6 →</v>
      </c>
    </row>
    <row r="146" spans="1:26" ht="28.7" customHeight="1" x14ac:dyDescent="0.3">
      <c r="A146" s="9" t="s">
        <v>546</v>
      </c>
      <c r="B146" s="9" t="s">
        <v>547</v>
      </c>
      <c r="C146" s="87">
        <v>2</v>
      </c>
      <c r="D146" s="33" t="s">
        <v>483</v>
      </c>
      <c r="E146" s="62">
        <f t="shared" si="26"/>
        <v>13037.6</v>
      </c>
      <c r="F146" s="91">
        <f t="shared" si="26"/>
        <v>260.7</v>
      </c>
      <c r="G146" s="59">
        <v>0</v>
      </c>
      <c r="H146" s="91">
        <f>IF(C146=0,0,ROUNDDOWN(G146*C146/100,1))</f>
        <v>0</v>
      </c>
      <c r="I146" s="59">
        <v>13037.6</v>
      </c>
      <c r="J146" s="91">
        <f>IF(C146=0,0,ROUNDDOWN(I146*C146/100,1))</f>
        <v>260.7</v>
      </c>
      <c r="K146" s="59">
        <v>0</v>
      </c>
      <c r="L146" s="92">
        <f>IF(C146=0,0,ROUNDDOWN(K146*C146/100,1))</f>
        <v>0</v>
      </c>
      <c r="M146" s="24" t="s">
        <v>1223</v>
      </c>
      <c r="N146" s="16" t="s">
        <v>1221</v>
      </c>
      <c r="O146" s="6" t="s">
        <v>1222</v>
      </c>
      <c r="P146" s="6" t="s">
        <v>1129</v>
      </c>
      <c r="Z146" s="19" t="str">
        <f ca="1">HYPERLINK("#"&amp;재료비목록표!G2&amp;"!A"&amp;ROW(재료비목록표!A27),"자재   24 →")</f>
        <v>자재   24 →</v>
      </c>
    </row>
    <row r="147" spans="1:26" ht="28.7" customHeight="1" x14ac:dyDescent="0.3">
      <c r="A147" s="9" t="s">
        <v>382</v>
      </c>
      <c r="B147" s="9" t="s">
        <v>383</v>
      </c>
      <c r="C147" s="87">
        <v>4.1599999999999998E-2</v>
      </c>
      <c r="D147" s="33" t="s">
        <v>347</v>
      </c>
      <c r="E147" s="62">
        <f t="shared" si="26"/>
        <v>65009</v>
      </c>
      <c r="F147" s="92">
        <f t="shared" si="26"/>
        <v>2704.2999999999997</v>
      </c>
      <c r="G147" s="93">
        <f>중기목록표!F15</f>
        <v>47231</v>
      </c>
      <c r="H147" s="95">
        <f>IF(C147=0,0,ROUNDDOWN(G147*C147,1))</f>
        <v>1964.8</v>
      </c>
      <c r="I147" s="93">
        <f>중기목록표!G15</f>
        <v>7784</v>
      </c>
      <c r="J147" s="95">
        <f>IF(C147=0,0,ROUNDDOWN(I147*C147,1))</f>
        <v>323.8</v>
      </c>
      <c r="K147" s="93">
        <f>중기목록표!H15</f>
        <v>9994</v>
      </c>
      <c r="L147" s="95">
        <f>IF(C147=0,0,ROUNDDOWN(K147*C147,1))</f>
        <v>415.7</v>
      </c>
      <c r="M147" s="24" t="s">
        <v>1226</v>
      </c>
      <c r="N147" s="16" t="s">
        <v>1224</v>
      </c>
      <c r="O147" s="6" t="s">
        <v>1225</v>
      </c>
      <c r="P147" s="6" t="s">
        <v>1129</v>
      </c>
      <c r="Z147" s="19" t="str">
        <f ca="1">HYPERLINK("#"&amp;중기목록표!J2&amp;"!A"&amp;ROW(중기목록표!A15),"중기   12 →")</f>
        <v>중기   12 →</v>
      </c>
    </row>
    <row r="148" spans="1:26" ht="28.7" customHeight="1" x14ac:dyDescent="0.3">
      <c r="A148" s="24" t="s">
        <v>1171</v>
      </c>
      <c r="B148" s="58"/>
      <c r="C148" s="58"/>
      <c r="D148" s="58"/>
      <c r="E148" s="58"/>
      <c r="F148" s="55">
        <f>J148+H148+L148</f>
        <v>16001</v>
      </c>
      <c r="G148" s="58"/>
      <c r="H148" s="55">
        <f>ROUNDDOWN(SUMIF(P142:P147,O148,H142:H147),0)</f>
        <v>15002</v>
      </c>
      <c r="I148" s="58"/>
      <c r="J148" s="55">
        <f>ROUNDDOWN(SUMIF(P142:P147,O148,J142:J147),0)</f>
        <v>584</v>
      </c>
      <c r="K148" s="58"/>
      <c r="L148" s="55">
        <f>ROUNDDOWN(SUMIF(P142:P147,O148,L142:L147),0)</f>
        <v>415</v>
      </c>
      <c r="M148" s="58"/>
      <c r="O148" s="6" t="s">
        <v>1129</v>
      </c>
      <c r="P148" s="6" t="s">
        <v>1172</v>
      </c>
    </row>
    <row r="149" spans="1:26" ht="28.7" customHeight="1" x14ac:dyDescent="0.3">
      <c r="A149" s="13" t="s">
        <v>1173</v>
      </c>
      <c r="B149" s="13"/>
      <c r="C149" s="88">
        <v>88.5</v>
      </c>
      <c r="D149" s="13"/>
      <c r="E149" s="90"/>
      <c r="F149" s="74">
        <f>J149+H149+L149</f>
        <v>14159</v>
      </c>
      <c r="G149" s="90"/>
      <c r="H149" s="74">
        <f>ROUNDDOWN(H148*C149/100,0)</f>
        <v>13276</v>
      </c>
      <c r="I149" s="90"/>
      <c r="J149" s="74">
        <f>ROUNDDOWN(J148*C149/100,0)</f>
        <v>516</v>
      </c>
      <c r="K149" s="90"/>
      <c r="L149" s="74">
        <f>ROUNDDOWN(L148*C149/100,0)</f>
        <v>367</v>
      </c>
      <c r="M149" s="90"/>
      <c r="O149" s="6" t="s">
        <v>1172</v>
      </c>
    </row>
    <row r="150" spans="1:26" ht="28.7" customHeight="1" x14ac:dyDescent="0.3">
      <c r="A150" s="84" t="s">
        <v>90</v>
      </c>
      <c r="B150" s="84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36" t="str">
        <f>HYPERLINK("#N"&amp;ROW(N157),"_x0005_`BDCOD|B01218_x0007_`POSS|"&amp;ROW(N152)&amp;"_x0007_`POSE|"&amp;ROW(N157)&amp;"_x0007_`")</f>
        <v>_x0005_`BDCOD|B01218_x0007_`POSS|152_x0007_`POSE|157_x0007_`</v>
      </c>
    </row>
    <row r="151" spans="1:26" ht="28.7" customHeight="1" x14ac:dyDescent="0.3">
      <c r="A151" s="43" t="s">
        <v>87</v>
      </c>
      <c r="B151" s="43" t="s">
        <v>92</v>
      </c>
      <c r="C151" s="86"/>
      <c r="D151" s="89" t="s">
        <v>68</v>
      </c>
      <c r="E151" s="86"/>
      <c r="F151" s="86"/>
      <c r="G151" s="86"/>
      <c r="H151" s="86"/>
      <c r="I151" s="86"/>
      <c r="J151" s="86"/>
      <c r="K151" s="86"/>
      <c r="L151" s="86"/>
      <c r="M151" s="89" t="s">
        <v>93</v>
      </c>
      <c r="O151" s="6" t="s">
        <v>1227</v>
      </c>
    </row>
    <row r="152" spans="1:26" ht="28.7" customHeight="1" x14ac:dyDescent="0.3">
      <c r="A152" s="9" t="s">
        <v>1115</v>
      </c>
      <c r="B152" s="9" t="s">
        <v>1214</v>
      </c>
      <c r="C152" s="87">
        <v>0</v>
      </c>
      <c r="D152" s="33"/>
      <c r="E152" s="23">
        <v>0</v>
      </c>
      <c r="F152" s="10">
        <v>0</v>
      </c>
      <c r="G152" s="45"/>
      <c r="H152" s="10">
        <v>0</v>
      </c>
      <c r="I152" s="45"/>
      <c r="J152" s="23">
        <v>0</v>
      </c>
      <c r="K152" s="50"/>
      <c r="L152" s="23">
        <v>0</v>
      </c>
      <c r="M152" s="24" t="s">
        <v>1119</v>
      </c>
      <c r="N152" s="16" t="s">
        <v>1117</v>
      </c>
      <c r="O152" s="6" t="s">
        <v>1118</v>
      </c>
      <c r="P152" s="6" t="s">
        <v>1118</v>
      </c>
    </row>
    <row r="153" spans="1:26" ht="28.7" customHeight="1" x14ac:dyDescent="0.3">
      <c r="A153" s="9" t="s">
        <v>521</v>
      </c>
      <c r="B153" s="9" t="s">
        <v>502</v>
      </c>
      <c r="C153" s="87">
        <v>0</v>
      </c>
      <c r="D153" s="33" t="s">
        <v>477</v>
      </c>
      <c r="E153" s="62">
        <f t="shared" ref="E153:F157" si="27">I153+G153+K153</f>
        <v>0</v>
      </c>
      <c r="F153" s="91">
        <f t="shared" si="27"/>
        <v>0</v>
      </c>
      <c r="G153" s="59">
        <v>0</v>
      </c>
      <c r="H153" s="92">
        <f>IF(C153=0,0,ROUNDDOWN(G153*C153,1))</f>
        <v>0</v>
      </c>
      <c r="I153" s="93">
        <f>재료비목록표!E21</f>
        <v>0</v>
      </c>
      <c r="J153" s="94">
        <f>IF(C153=0,0,ROUNDDOWN(I153*C153,1))</f>
        <v>0</v>
      </c>
      <c r="K153" s="59">
        <v>0</v>
      </c>
      <c r="L153" s="92">
        <f>IF(C153=0,0,ROUNDDOWN(K153*C153,1))</f>
        <v>0</v>
      </c>
      <c r="M153" s="24" t="s">
        <v>1230</v>
      </c>
      <c r="N153" s="16" t="s">
        <v>1228</v>
      </c>
      <c r="O153" s="6" t="s">
        <v>1229</v>
      </c>
      <c r="P153" s="6" t="s">
        <v>1129</v>
      </c>
      <c r="Z153" s="19" t="str">
        <f ca="1">HYPERLINK("#"&amp;재료비목록표!G2&amp;"!A"&amp;ROW(재료비목록표!A21),"자재   18 →")</f>
        <v>자재   18 →</v>
      </c>
    </row>
    <row r="154" spans="1:26" ht="28.7" customHeight="1" x14ac:dyDescent="0.3">
      <c r="A154" s="9" t="s">
        <v>677</v>
      </c>
      <c r="B154" s="9"/>
      <c r="C154" s="87">
        <v>5.2999999999999999E-2</v>
      </c>
      <c r="D154" s="33" t="s">
        <v>650</v>
      </c>
      <c r="E154" s="62">
        <f t="shared" si="27"/>
        <v>243168</v>
      </c>
      <c r="F154" s="92">
        <f t="shared" si="27"/>
        <v>12887.9</v>
      </c>
      <c r="G154" s="93">
        <f>노무비목록표!E13</f>
        <v>243168</v>
      </c>
      <c r="H154" s="94">
        <f>IF(C154=0,0,ROUNDDOWN(G154*C154,1))</f>
        <v>12887.9</v>
      </c>
      <c r="I154" s="59">
        <v>0</v>
      </c>
      <c r="J154" s="91">
        <f>IF(C154=0,0,ROUNDDOWN(I154*C154,1))</f>
        <v>0</v>
      </c>
      <c r="K154" s="59">
        <v>0</v>
      </c>
      <c r="L154" s="92">
        <f>IF(C154=0,0,ROUNDDOWN(K154*C154,1))</f>
        <v>0</v>
      </c>
      <c r="M154" s="24" t="s">
        <v>1220</v>
      </c>
      <c r="N154" s="16" t="s">
        <v>1218</v>
      </c>
      <c r="O154" s="6" t="s">
        <v>1219</v>
      </c>
      <c r="P154" s="6" t="s">
        <v>1129</v>
      </c>
      <c r="Z154" s="19" t="str">
        <f ca="1">HYPERLINK("#"&amp;노무비목록표!G2&amp;"!A"&amp;ROW(노무비목록표!A13),"노무   10 →")</f>
        <v>노무   10 →</v>
      </c>
    </row>
    <row r="155" spans="1:26" ht="28.7" customHeight="1" x14ac:dyDescent="0.3">
      <c r="A155" s="9" t="s">
        <v>665</v>
      </c>
      <c r="B155" s="9"/>
      <c r="C155" s="87">
        <v>2.5999999999999999E-2</v>
      </c>
      <c r="D155" s="33" t="s">
        <v>650</v>
      </c>
      <c r="E155" s="62">
        <f t="shared" si="27"/>
        <v>165545</v>
      </c>
      <c r="F155" s="92">
        <f t="shared" si="27"/>
        <v>4304.1000000000004</v>
      </c>
      <c r="G155" s="93">
        <f>노무비목록표!E9</f>
        <v>165545</v>
      </c>
      <c r="H155" s="94">
        <f>IF(C155=0,0,ROUNDDOWN(G155*C155,1))</f>
        <v>4304.1000000000004</v>
      </c>
      <c r="I155" s="59">
        <v>0</v>
      </c>
      <c r="J155" s="91">
        <f>IF(C155=0,0,ROUNDDOWN(I155*C155,1))</f>
        <v>0</v>
      </c>
      <c r="K155" s="59">
        <v>0</v>
      </c>
      <c r="L155" s="92">
        <f>IF(C155=0,0,ROUNDDOWN(K155*C155,1))</f>
        <v>0</v>
      </c>
      <c r="M155" s="24" t="s">
        <v>1128</v>
      </c>
      <c r="N155" s="16" t="s">
        <v>1126</v>
      </c>
      <c r="O155" s="6" t="s">
        <v>1127</v>
      </c>
      <c r="P155" s="6" t="s">
        <v>1129</v>
      </c>
      <c r="Z155" s="19" t="str">
        <f ca="1">HYPERLINK("#"&amp;노무비목록표!G2&amp;"!A"&amp;ROW(노무비목록표!A9),"노무    6 →")</f>
        <v>노무    6 →</v>
      </c>
    </row>
    <row r="156" spans="1:26" ht="28.7" customHeight="1" x14ac:dyDescent="0.3">
      <c r="A156" s="9" t="s">
        <v>546</v>
      </c>
      <c r="B156" s="9" t="s">
        <v>547</v>
      </c>
      <c r="C156" s="87">
        <v>2</v>
      </c>
      <c r="D156" s="33" t="s">
        <v>483</v>
      </c>
      <c r="E156" s="62">
        <f t="shared" si="27"/>
        <v>17192</v>
      </c>
      <c r="F156" s="91">
        <f t="shared" si="27"/>
        <v>343.8</v>
      </c>
      <c r="G156" s="59">
        <v>0</v>
      </c>
      <c r="H156" s="91">
        <f>IF(C156=0,0,ROUNDDOWN(G156*C156/100,1))</f>
        <v>0</v>
      </c>
      <c r="I156" s="59">
        <v>17192</v>
      </c>
      <c r="J156" s="91">
        <f>IF(C156=0,0,ROUNDDOWN(I156*C156/100,1))</f>
        <v>343.8</v>
      </c>
      <c r="K156" s="59">
        <v>0</v>
      </c>
      <c r="L156" s="92">
        <f>IF(C156=0,0,ROUNDDOWN(K156*C156/100,1))</f>
        <v>0</v>
      </c>
      <c r="M156" s="24" t="s">
        <v>1223</v>
      </c>
      <c r="N156" s="16" t="s">
        <v>1221</v>
      </c>
      <c r="O156" s="6" t="s">
        <v>1222</v>
      </c>
      <c r="P156" s="6" t="s">
        <v>1129</v>
      </c>
      <c r="Z156" s="19" t="str">
        <f ca="1">HYPERLINK("#"&amp;재료비목록표!G2&amp;"!A"&amp;ROW(재료비목록표!A27),"자재   24 →")</f>
        <v>자재   24 →</v>
      </c>
    </row>
    <row r="157" spans="1:26" ht="28.7" customHeight="1" x14ac:dyDescent="0.3">
      <c r="A157" s="9" t="s">
        <v>382</v>
      </c>
      <c r="B157" s="9" t="s">
        <v>383</v>
      </c>
      <c r="C157" s="87">
        <v>0.05</v>
      </c>
      <c r="D157" s="33" t="s">
        <v>347</v>
      </c>
      <c r="E157" s="62">
        <f t="shared" si="27"/>
        <v>65009</v>
      </c>
      <c r="F157" s="92">
        <f t="shared" si="27"/>
        <v>3250.3999999999996</v>
      </c>
      <c r="G157" s="93">
        <f>중기목록표!F15</f>
        <v>47231</v>
      </c>
      <c r="H157" s="95">
        <f>IF(C157=0,0,ROUNDDOWN(G157*C157,1))</f>
        <v>2361.5</v>
      </c>
      <c r="I157" s="93">
        <f>중기목록표!G15</f>
        <v>7784</v>
      </c>
      <c r="J157" s="95">
        <f>IF(C157=0,0,ROUNDDOWN(I157*C157,1))</f>
        <v>389.2</v>
      </c>
      <c r="K157" s="93">
        <f>중기목록표!H15</f>
        <v>9994</v>
      </c>
      <c r="L157" s="95">
        <f>IF(C157=0,0,ROUNDDOWN(K157*C157,1))</f>
        <v>499.7</v>
      </c>
      <c r="M157" s="24" t="s">
        <v>1226</v>
      </c>
      <c r="N157" s="16" t="s">
        <v>1224</v>
      </c>
      <c r="O157" s="6" t="s">
        <v>1225</v>
      </c>
      <c r="P157" s="6" t="s">
        <v>1129</v>
      </c>
      <c r="Z157" s="19" t="str">
        <f ca="1">HYPERLINK("#"&amp;중기목록표!J2&amp;"!A"&amp;ROW(중기목록표!A15),"중기   12 →")</f>
        <v>중기   12 →</v>
      </c>
    </row>
    <row r="158" spans="1:26" ht="28.7" customHeight="1" x14ac:dyDescent="0.3">
      <c r="A158" s="24" t="s">
        <v>1171</v>
      </c>
      <c r="B158" s="58"/>
      <c r="C158" s="58"/>
      <c r="D158" s="58"/>
      <c r="E158" s="58"/>
      <c r="F158" s="55">
        <f>J158+H158+L158</f>
        <v>20785</v>
      </c>
      <c r="G158" s="58"/>
      <c r="H158" s="55">
        <f>ROUNDDOWN(SUMIF(P152:P157,O158,H152:H157),0)</f>
        <v>19553</v>
      </c>
      <c r="I158" s="58"/>
      <c r="J158" s="55">
        <f>ROUNDDOWN(SUMIF(P152:P157,O158,J152:J157),0)</f>
        <v>733</v>
      </c>
      <c r="K158" s="58"/>
      <c r="L158" s="55">
        <f>ROUNDDOWN(SUMIF(P152:P157,O158,L152:L157),0)</f>
        <v>499</v>
      </c>
      <c r="M158" s="58"/>
      <c r="O158" s="6" t="s">
        <v>1129</v>
      </c>
      <c r="P158" s="6" t="s">
        <v>1172</v>
      </c>
    </row>
    <row r="159" spans="1:26" ht="28.7" customHeight="1" x14ac:dyDescent="0.3">
      <c r="A159" s="13" t="s">
        <v>1173</v>
      </c>
      <c r="B159" s="13"/>
      <c r="C159" s="88">
        <v>88.5</v>
      </c>
      <c r="D159" s="13"/>
      <c r="E159" s="90"/>
      <c r="F159" s="74">
        <f>J159+H159+L159</f>
        <v>18393</v>
      </c>
      <c r="G159" s="90"/>
      <c r="H159" s="74">
        <f>ROUNDDOWN(H158*C159/100,0)</f>
        <v>17304</v>
      </c>
      <c r="I159" s="90"/>
      <c r="J159" s="74">
        <f>ROUNDDOWN(J158*C159/100,0)</f>
        <v>648</v>
      </c>
      <c r="K159" s="90"/>
      <c r="L159" s="74">
        <f>ROUNDDOWN(L158*C159/100,0)</f>
        <v>441</v>
      </c>
      <c r="M159" s="90"/>
      <c r="O159" s="6" t="s">
        <v>1172</v>
      </c>
    </row>
    <row r="160" spans="1:26" ht="28.7" customHeight="1" x14ac:dyDescent="0.3">
      <c r="A160" s="84" t="s">
        <v>94</v>
      </c>
      <c r="B160" s="84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36" t="str">
        <f>HYPERLINK("#N"&amp;ROW(N172),"_x0005_`BDCOD|B01219_x0007_`POSS|"&amp;ROW(N162)&amp;"_x0007_`POSE|"&amp;ROW(N172)&amp;"_x0007_`")</f>
        <v>_x0005_`BDCOD|B01219_x0007_`POSS|162_x0007_`POSE|172_x0007_`</v>
      </c>
    </row>
    <row r="161" spans="1:26" ht="28.7" customHeight="1" x14ac:dyDescent="0.3">
      <c r="A161" s="43" t="s">
        <v>96</v>
      </c>
      <c r="B161" s="43" t="s">
        <v>97</v>
      </c>
      <c r="C161" s="86"/>
      <c r="D161" s="89" t="s">
        <v>53</v>
      </c>
      <c r="E161" s="86"/>
      <c r="F161" s="86"/>
      <c r="G161" s="86"/>
      <c r="H161" s="86"/>
      <c r="I161" s="86"/>
      <c r="J161" s="86"/>
      <c r="K161" s="86"/>
      <c r="L161" s="86"/>
      <c r="M161" s="89" t="s">
        <v>98</v>
      </c>
      <c r="O161" s="6" t="s">
        <v>1231</v>
      </c>
    </row>
    <row r="162" spans="1:26" ht="28.7" customHeight="1" x14ac:dyDescent="0.3">
      <c r="A162" s="9" t="s">
        <v>183</v>
      </c>
      <c r="B162" s="9" t="s">
        <v>184</v>
      </c>
      <c r="C162" s="87">
        <v>15</v>
      </c>
      <c r="D162" s="33" t="s">
        <v>26</v>
      </c>
      <c r="E162" s="62">
        <f t="shared" ref="E162:E172" si="28">I162+G162+K162</f>
        <v>30398</v>
      </c>
      <c r="F162" s="92">
        <f t="shared" ref="F162:F172" si="29">J162+H162+L162</f>
        <v>455970</v>
      </c>
      <c r="G162" s="93">
        <f>단가산출근거목록표!F8</f>
        <v>18289</v>
      </c>
      <c r="H162" s="95">
        <f t="shared" ref="H162:H172" si="30">IF(C162=0,0,ROUNDDOWN(G162*C162,1))</f>
        <v>274335</v>
      </c>
      <c r="I162" s="93">
        <f>단가산출근거목록표!G8</f>
        <v>5101</v>
      </c>
      <c r="J162" s="95">
        <f t="shared" ref="J162:J172" si="31">IF(C162=0,0,ROUNDDOWN(I162*C162,1))</f>
        <v>76515</v>
      </c>
      <c r="K162" s="93">
        <f>단가산출근거목록표!H8</f>
        <v>7008</v>
      </c>
      <c r="L162" s="95">
        <f t="shared" ref="L162:L172" si="32">IF(C162=0,0,ROUNDDOWN(K162*C162,1))</f>
        <v>105120</v>
      </c>
      <c r="M162" s="24" t="s">
        <v>1234</v>
      </c>
      <c r="N162" s="16" t="s">
        <v>1232</v>
      </c>
      <c r="O162" s="6" t="s">
        <v>1233</v>
      </c>
      <c r="P162" s="6" t="s">
        <v>1129</v>
      </c>
      <c r="Z162" s="19" t="str">
        <f ca="1">HYPERLINK("#"&amp;단가산출근거목록표!J2&amp;"!A"&amp;ROW(단가산출근거목록표!A8),"산근    5 →")</f>
        <v>산근    5 →</v>
      </c>
    </row>
    <row r="163" spans="1:26" ht="28.7" customHeight="1" x14ac:dyDescent="0.3">
      <c r="A163" s="9" t="s">
        <v>183</v>
      </c>
      <c r="B163" s="9" t="s">
        <v>191</v>
      </c>
      <c r="C163" s="87">
        <v>2.4</v>
      </c>
      <c r="D163" s="33" t="s">
        <v>26</v>
      </c>
      <c r="E163" s="62">
        <f t="shared" si="28"/>
        <v>29098</v>
      </c>
      <c r="F163" s="92">
        <f t="shared" si="29"/>
        <v>69835.199999999997</v>
      </c>
      <c r="G163" s="93">
        <f>단가산출근거목록표!F10</f>
        <v>17543</v>
      </c>
      <c r="H163" s="95">
        <f t="shared" si="30"/>
        <v>42103.199999999997</v>
      </c>
      <c r="I163" s="93">
        <f>단가산출근거목록표!G10</f>
        <v>4874</v>
      </c>
      <c r="J163" s="95">
        <f t="shared" si="31"/>
        <v>11697.6</v>
      </c>
      <c r="K163" s="93">
        <f>단가산출근거목록표!H10</f>
        <v>6681</v>
      </c>
      <c r="L163" s="95">
        <f t="shared" si="32"/>
        <v>16034.4</v>
      </c>
      <c r="M163" s="24" t="s">
        <v>1237</v>
      </c>
      <c r="N163" s="16" t="s">
        <v>1235</v>
      </c>
      <c r="O163" s="6" t="s">
        <v>1236</v>
      </c>
      <c r="P163" s="6" t="s">
        <v>1129</v>
      </c>
      <c r="Z163" s="19" t="str">
        <f ca="1">HYPERLINK("#"&amp;단가산출근거목록표!J2&amp;"!A"&amp;ROW(단가산출근거목록표!A10),"산근    7 →")</f>
        <v>산근    7 →</v>
      </c>
    </row>
    <row r="164" spans="1:26" ht="28.7" customHeight="1" x14ac:dyDescent="0.3">
      <c r="A164" s="9" t="s">
        <v>24</v>
      </c>
      <c r="B164" s="9" t="s">
        <v>25</v>
      </c>
      <c r="C164" s="87">
        <v>15</v>
      </c>
      <c r="D164" s="33" t="s">
        <v>26</v>
      </c>
      <c r="E164" s="62">
        <f t="shared" si="28"/>
        <v>52995</v>
      </c>
      <c r="F164" s="92">
        <f t="shared" si="29"/>
        <v>794925</v>
      </c>
      <c r="G164" s="93">
        <f>일위대가목록표!F6</f>
        <v>39641</v>
      </c>
      <c r="H164" s="95">
        <f t="shared" si="30"/>
        <v>594615</v>
      </c>
      <c r="I164" s="93">
        <f>일위대가목록표!G6</f>
        <v>4939</v>
      </c>
      <c r="J164" s="95">
        <f t="shared" si="31"/>
        <v>74085</v>
      </c>
      <c r="K164" s="93">
        <f>일위대가목록표!H6</f>
        <v>8415</v>
      </c>
      <c r="L164" s="95">
        <f t="shared" si="32"/>
        <v>126225</v>
      </c>
      <c r="M164" s="24" t="s">
        <v>1187</v>
      </c>
      <c r="N164" s="16" t="s">
        <v>1185</v>
      </c>
      <c r="O164" s="6" t="s">
        <v>1186</v>
      </c>
      <c r="P164" s="6" t="s">
        <v>1129</v>
      </c>
      <c r="Z164" s="19" t="str">
        <f ca="1">HYPERLINK("#"&amp;일위대가목록표!J2&amp;"!A"&amp;ROW(일위대가목록표!A6),"대가    3 →")</f>
        <v>대가    3 →</v>
      </c>
    </row>
    <row r="165" spans="1:26" ht="28.7" customHeight="1" x14ac:dyDescent="0.3">
      <c r="A165" s="9" t="s">
        <v>30</v>
      </c>
      <c r="B165" s="9" t="s">
        <v>34</v>
      </c>
      <c r="C165" s="87">
        <v>2.4</v>
      </c>
      <c r="D165" s="33" t="s">
        <v>26</v>
      </c>
      <c r="E165" s="62">
        <f t="shared" si="28"/>
        <v>58239</v>
      </c>
      <c r="F165" s="92">
        <f t="shared" si="29"/>
        <v>139773.6</v>
      </c>
      <c r="G165" s="93">
        <f>일위대가목록표!F8</f>
        <v>47358</v>
      </c>
      <c r="H165" s="95">
        <f t="shared" si="30"/>
        <v>113659.2</v>
      </c>
      <c r="I165" s="93">
        <f>일위대가목록표!G8</f>
        <v>4025</v>
      </c>
      <c r="J165" s="95">
        <f t="shared" si="31"/>
        <v>9660</v>
      </c>
      <c r="K165" s="93">
        <f>일위대가목록표!H8</f>
        <v>6856</v>
      </c>
      <c r="L165" s="95">
        <f t="shared" si="32"/>
        <v>16454.400000000001</v>
      </c>
      <c r="M165" s="24" t="s">
        <v>1240</v>
      </c>
      <c r="N165" s="16" t="s">
        <v>1238</v>
      </c>
      <c r="O165" s="6" t="s">
        <v>1239</v>
      </c>
      <c r="P165" s="6" t="s">
        <v>1129</v>
      </c>
      <c r="Z165" s="19" t="str">
        <f ca="1">HYPERLINK("#"&amp;일위대가목록표!J2&amp;"!A"&amp;ROW(일위대가목록표!A8),"대가    5 →")</f>
        <v>대가    5 →</v>
      </c>
    </row>
    <row r="166" spans="1:26" ht="28.7" customHeight="1" x14ac:dyDescent="0.3">
      <c r="A166" s="9" t="s">
        <v>42</v>
      </c>
      <c r="B166" s="9" t="s">
        <v>43</v>
      </c>
      <c r="C166" s="87">
        <v>0.65</v>
      </c>
      <c r="D166" s="33" t="s">
        <v>14</v>
      </c>
      <c r="E166" s="62">
        <f t="shared" si="28"/>
        <v>122871</v>
      </c>
      <c r="F166" s="92">
        <f t="shared" si="29"/>
        <v>79866.100000000006</v>
      </c>
      <c r="G166" s="93">
        <f>일위대가목록표!F10</f>
        <v>121559</v>
      </c>
      <c r="H166" s="95">
        <f t="shared" si="30"/>
        <v>79013.3</v>
      </c>
      <c r="I166" s="93">
        <f>일위대가목록표!G10</f>
        <v>1008</v>
      </c>
      <c r="J166" s="95">
        <f t="shared" si="31"/>
        <v>655.20000000000005</v>
      </c>
      <c r="K166" s="93">
        <f>일위대가목록표!H10</f>
        <v>304</v>
      </c>
      <c r="L166" s="95">
        <f t="shared" si="32"/>
        <v>197.6</v>
      </c>
      <c r="M166" s="24" t="s">
        <v>1243</v>
      </c>
      <c r="N166" s="16" t="s">
        <v>1241</v>
      </c>
      <c r="O166" s="6" t="s">
        <v>1242</v>
      </c>
      <c r="P166" s="6" t="s">
        <v>1129</v>
      </c>
      <c r="Z166" s="19" t="str">
        <f ca="1">HYPERLINK("#"&amp;일위대가목록표!J2&amp;"!A"&amp;ROW(일위대가목록표!A10),"대가    7 →")</f>
        <v>대가    7 →</v>
      </c>
    </row>
    <row r="167" spans="1:26" ht="28.7" customHeight="1" x14ac:dyDescent="0.3">
      <c r="A167" s="9" t="s">
        <v>42</v>
      </c>
      <c r="B167" s="9" t="s">
        <v>201</v>
      </c>
      <c r="C167" s="87">
        <v>3.38</v>
      </c>
      <c r="D167" s="33" t="s">
        <v>14</v>
      </c>
      <c r="E167" s="62">
        <f t="shared" si="28"/>
        <v>67383</v>
      </c>
      <c r="F167" s="92">
        <f t="shared" si="29"/>
        <v>227754.4</v>
      </c>
      <c r="G167" s="93">
        <f>단가산출근거목록표!F13</f>
        <v>66071</v>
      </c>
      <c r="H167" s="95">
        <f t="shared" si="30"/>
        <v>223319.9</v>
      </c>
      <c r="I167" s="93">
        <f>단가산출근거목록표!G13</f>
        <v>1008</v>
      </c>
      <c r="J167" s="95">
        <f t="shared" si="31"/>
        <v>3407</v>
      </c>
      <c r="K167" s="93">
        <f>단가산출근거목록표!H13</f>
        <v>304</v>
      </c>
      <c r="L167" s="95">
        <f t="shared" si="32"/>
        <v>1027.5</v>
      </c>
      <c r="M167" s="24" t="s">
        <v>1202</v>
      </c>
      <c r="N167" s="16" t="s">
        <v>1200</v>
      </c>
      <c r="O167" s="6" t="s">
        <v>1201</v>
      </c>
      <c r="P167" s="6" t="s">
        <v>1129</v>
      </c>
      <c r="Z167" s="19" t="str">
        <f ca="1">HYPERLINK("#"&amp;단가산출근거목록표!J2&amp;"!A"&amp;ROW(단가산출근거목록표!A13),"산근   10 →")</f>
        <v>산근   10 →</v>
      </c>
    </row>
    <row r="168" spans="1:26" ht="28.7" customHeight="1" x14ac:dyDescent="0.3">
      <c r="A168" s="9" t="s">
        <v>12</v>
      </c>
      <c r="B168" s="9" t="s">
        <v>13</v>
      </c>
      <c r="C168" s="87">
        <v>0.157</v>
      </c>
      <c r="D168" s="33" t="s">
        <v>14</v>
      </c>
      <c r="E168" s="62">
        <f t="shared" si="28"/>
        <v>109259</v>
      </c>
      <c r="F168" s="92">
        <f t="shared" si="29"/>
        <v>17153.599999999999</v>
      </c>
      <c r="G168" s="93">
        <f>일위대가목록표!F4</f>
        <v>109259</v>
      </c>
      <c r="H168" s="95">
        <f t="shared" si="30"/>
        <v>17153.599999999999</v>
      </c>
      <c r="I168" s="93">
        <f>일위대가목록표!G4</f>
        <v>0</v>
      </c>
      <c r="J168" s="95">
        <f t="shared" si="31"/>
        <v>0</v>
      </c>
      <c r="K168" s="93">
        <f>일위대가목록표!H4</f>
        <v>0</v>
      </c>
      <c r="L168" s="95">
        <f t="shared" si="32"/>
        <v>0</v>
      </c>
      <c r="M168" s="24" t="s">
        <v>1205</v>
      </c>
      <c r="N168" s="16" t="s">
        <v>1203</v>
      </c>
      <c r="O168" s="6" t="s">
        <v>1204</v>
      </c>
      <c r="P168" s="6" t="s">
        <v>1129</v>
      </c>
      <c r="Z168" s="19" t="str">
        <f ca="1">HYPERLINK("#"&amp;일위대가목록표!J2&amp;"!A"&amp;ROW(일위대가목록표!A4),"대가    1 →")</f>
        <v>대가    1 →</v>
      </c>
    </row>
    <row r="169" spans="1:26" ht="28.7" customHeight="1" x14ac:dyDescent="0.3">
      <c r="A169" s="9" t="s">
        <v>176</v>
      </c>
      <c r="B169" s="9" t="s">
        <v>177</v>
      </c>
      <c r="C169" s="87">
        <v>3.75</v>
      </c>
      <c r="D169" s="33" t="s">
        <v>14</v>
      </c>
      <c r="E169" s="62">
        <f t="shared" si="28"/>
        <v>12701</v>
      </c>
      <c r="F169" s="92">
        <f t="shared" si="29"/>
        <v>47628.7</v>
      </c>
      <c r="G169" s="93">
        <f>단가산출근거목록표!F6</f>
        <v>7908</v>
      </c>
      <c r="H169" s="95">
        <f t="shared" si="30"/>
        <v>29655</v>
      </c>
      <c r="I169" s="93">
        <f>단가산출근거목록표!G6</f>
        <v>1963</v>
      </c>
      <c r="J169" s="95">
        <f t="shared" si="31"/>
        <v>7361.2</v>
      </c>
      <c r="K169" s="93">
        <f>단가산출근거목록표!H6</f>
        <v>2830</v>
      </c>
      <c r="L169" s="95">
        <f t="shared" si="32"/>
        <v>10612.5</v>
      </c>
      <c r="M169" s="24" t="s">
        <v>1196</v>
      </c>
      <c r="N169" s="16" t="s">
        <v>1194</v>
      </c>
      <c r="O169" s="6" t="s">
        <v>1195</v>
      </c>
      <c r="P169" s="6" t="s">
        <v>1129</v>
      </c>
      <c r="Z169" s="19" t="str">
        <f ca="1">HYPERLINK("#"&amp;단가산출근거목록표!J2&amp;"!A"&amp;ROW(단가산출근거목록표!A6),"산근    3 →")</f>
        <v>산근    3 →</v>
      </c>
    </row>
    <row r="170" spans="1:26" ht="28.7" customHeight="1" x14ac:dyDescent="0.3">
      <c r="A170" s="9" t="s">
        <v>172</v>
      </c>
      <c r="B170" s="9" t="s">
        <v>173</v>
      </c>
      <c r="C170" s="87">
        <v>3.75</v>
      </c>
      <c r="D170" s="33" t="s">
        <v>14</v>
      </c>
      <c r="E170" s="62">
        <f t="shared" si="28"/>
        <v>8328</v>
      </c>
      <c r="F170" s="92">
        <f t="shared" si="29"/>
        <v>31230</v>
      </c>
      <c r="G170" s="93">
        <f>단가산출근거목록표!F5</f>
        <v>6878</v>
      </c>
      <c r="H170" s="95">
        <f t="shared" si="30"/>
        <v>25792.5</v>
      </c>
      <c r="I170" s="93">
        <f>단가산출근거목록표!G5</f>
        <v>538</v>
      </c>
      <c r="J170" s="95">
        <f t="shared" si="31"/>
        <v>2017.5</v>
      </c>
      <c r="K170" s="93">
        <f>단가산출근거목록표!H5</f>
        <v>912</v>
      </c>
      <c r="L170" s="95">
        <f t="shared" si="32"/>
        <v>3420</v>
      </c>
      <c r="M170" s="24" t="s">
        <v>1193</v>
      </c>
      <c r="N170" s="16" t="s">
        <v>1191</v>
      </c>
      <c r="O170" s="6" t="s">
        <v>1192</v>
      </c>
      <c r="P170" s="6" t="s">
        <v>1129</v>
      </c>
      <c r="Z170" s="19" t="str">
        <f ca="1">HYPERLINK("#"&amp;단가산출근거목록표!J2&amp;"!A"&amp;ROW(단가산출근거목록표!A5),"산근    2 →")</f>
        <v>산근    2 →</v>
      </c>
    </row>
    <row r="171" spans="1:26" ht="28.7" customHeight="1" x14ac:dyDescent="0.3">
      <c r="A171" s="9" t="s">
        <v>180</v>
      </c>
      <c r="B171" s="9" t="s">
        <v>177</v>
      </c>
      <c r="C171" s="87">
        <v>2.54</v>
      </c>
      <c r="D171" s="33" t="s">
        <v>14</v>
      </c>
      <c r="E171" s="62">
        <f t="shared" si="28"/>
        <v>24816</v>
      </c>
      <c r="F171" s="92">
        <f t="shared" si="29"/>
        <v>63032.5</v>
      </c>
      <c r="G171" s="93">
        <f>단가산출근거목록표!F7</f>
        <v>18084</v>
      </c>
      <c r="H171" s="95">
        <f t="shared" si="30"/>
        <v>45933.3</v>
      </c>
      <c r="I171" s="93">
        <f>단가산출근거목록표!G7</f>
        <v>2498</v>
      </c>
      <c r="J171" s="95">
        <f t="shared" si="31"/>
        <v>6344.9</v>
      </c>
      <c r="K171" s="93">
        <f>단가산출근거목록표!H7</f>
        <v>4234</v>
      </c>
      <c r="L171" s="95">
        <f t="shared" si="32"/>
        <v>10754.3</v>
      </c>
      <c r="M171" s="24" t="s">
        <v>1190</v>
      </c>
      <c r="N171" s="16" t="s">
        <v>1188</v>
      </c>
      <c r="O171" s="6" t="s">
        <v>1189</v>
      </c>
      <c r="P171" s="6" t="s">
        <v>1129</v>
      </c>
      <c r="Z171" s="19" t="str">
        <f ca="1">HYPERLINK("#"&amp;단가산출근거목록표!J2&amp;"!A"&amp;ROW(단가산출근거목록표!A7),"산근    4 →")</f>
        <v>산근    4 →</v>
      </c>
    </row>
    <row r="172" spans="1:26" ht="28.7" customHeight="1" x14ac:dyDescent="0.3">
      <c r="A172" s="9" t="s">
        <v>475</v>
      </c>
      <c r="B172" s="9" t="s">
        <v>476</v>
      </c>
      <c r="C172" s="87">
        <v>5.25</v>
      </c>
      <c r="D172" s="33" t="s">
        <v>477</v>
      </c>
      <c r="E172" s="62">
        <f t="shared" si="28"/>
        <v>1912</v>
      </c>
      <c r="F172" s="91">
        <f t="shared" si="29"/>
        <v>10038</v>
      </c>
      <c r="G172" s="59">
        <v>0</v>
      </c>
      <c r="H172" s="92">
        <f t="shared" si="30"/>
        <v>0</v>
      </c>
      <c r="I172" s="93">
        <f>재료비목록표!E12</f>
        <v>1912</v>
      </c>
      <c r="J172" s="94">
        <f t="shared" si="31"/>
        <v>10038</v>
      </c>
      <c r="K172" s="59">
        <v>0</v>
      </c>
      <c r="L172" s="92">
        <f t="shared" si="32"/>
        <v>0</v>
      </c>
      <c r="M172" s="24" t="s">
        <v>1199</v>
      </c>
      <c r="N172" s="16" t="s">
        <v>1197</v>
      </c>
      <c r="O172" s="6" t="s">
        <v>1198</v>
      </c>
      <c r="P172" s="6" t="s">
        <v>1129</v>
      </c>
      <c r="Z172" s="19" t="str">
        <f ca="1">HYPERLINK("#"&amp;재료비목록표!G2&amp;"!A"&amp;ROW(재료비목록표!A12),"자재    9 →")</f>
        <v>자재    9 →</v>
      </c>
    </row>
    <row r="173" spans="1:26" ht="28.7" customHeight="1" x14ac:dyDescent="0.3">
      <c r="A173" s="24" t="s">
        <v>1171</v>
      </c>
      <c r="B173" s="58"/>
      <c r="C173" s="58"/>
      <c r="D173" s="58"/>
      <c r="E173" s="58"/>
      <c r="F173" s="55">
        <f>J173+H173+L173</f>
        <v>1937206</v>
      </c>
      <c r="G173" s="58"/>
      <c r="H173" s="55">
        <f>ROUNDDOWN(SUMIF(P162:P172,O173,H162:H172),0)</f>
        <v>1445580</v>
      </c>
      <c r="I173" s="58"/>
      <c r="J173" s="55">
        <f>ROUNDDOWN(SUMIF(P162:P172,O173,J162:J172),0)</f>
        <v>201781</v>
      </c>
      <c r="K173" s="58"/>
      <c r="L173" s="55">
        <f>ROUNDDOWN(SUMIF(P162:P172,O173,L162:L172),0)</f>
        <v>289845</v>
      </c>
      <c r="M173" s="58"/>
      <c r="O173" s="6" t="s">
        <v>1129</v>
      </c>
      <c r="P173" s="6" t="s">
        <v>1172</v>
      </c>
    </row>
    <row r="174" spans="1:26" ht="28.7" customHeight="1" x14ac:dyDescent="0.3">
      <c r="A174" s="13" t="s">
        <v>1173</v>
      </c>
      <c r="B174" s="13"/>
      <c r="C174" s="88">
        <v>88.5</v>
      </c>
      <c r="D174" s="13"/>
      <c r="E174" s="90"/>
      <c r="F174" s="74">
        <f>J174+H174+L174</f>
        <v>1714426</v>
      </c>
      <c r="G174" s="90"/>
      <c r="H174" s="74">
        <f>ROUNDDOWN(H173*C174/100,0)</f>
        <v>1279338</v>
      </c>
      <c r="I174" s="90"/>
      <c r="J174" s="74">
        <f>ROUNDDOWN(J173*C174/100,0)</f>
        <v>178576</v>
      </c>
      <c r="K174" s="90"/>
      <c r="L174" s="74">
        <f>ROUNDDOWN(L173*C174/100,0)</f>
        <v>256512</v>
      </c>
      <c r="M174" s="90"/>
      <c r="O174" s="6" t="s">
        <v>1172</v>
      </c>
    </row>
    <row r="175" spans="1:26" ht="28.7" customHeight="1" x14ac:dyDescent="0.3">
      <c r="A175" s="84" t="s">
        <v>99</v>
      </c>
      <c r="B175" s="84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36" t="str">
        <f>HYPERLINK("#N"&amp;ROW(N187),"_x0005_`BDCOD|B01220_x0007_`POSS|"&amp;ROW(N177)&amp;"_x0007_`POSE|"&amp;ROW(N187)&amp;"_x0007_`")</f>
        <v>_x0005_`BDCOD|B01220_x0007_`POSS|177_x0007_`POSE|187_x0007_`</v>
      </c>
    </row>
    <row r="176" spans="1:26" ht="28.7" customHeight="1" x14ac:dyDescent="0.3">
      <c r="A176" s="43" t="s">
        <v>96</v>
      </c>
      <c r="B176" s="43" t="s">
        <v>101</v>
      </c>
      <c r="C176" s="86"/>
      <c r="D176" s="89" t="s">
        <v>53</v>
      </c>
      <c r="E176" s="86"/>
      <c r="F176" s="86"/>
      <c r="G176" s="86"/>
      <c r="H176" s="86"/>
      <c r="I176" s="86"/>
      <c r="J176" s="86"/>
      <c r="K176" s="86"/>
      <c r="L176" s="86"/>
      <c r="M176" s="89" t="s">
        <v>102</v>
      </c>
      <c r="O176" s="6" t="s">
        <v>1244</v>
      </c>
    </row>
    <row r="177" spans="1:26" ht="28.7" customHeight="1" x14ac:dyDescent="0.3">
      <c r="A177" s="9" t="s">
        <v>183</v>
      </c>
      <c r="B177" s="9" t="s">
        <v>184</v>
      </c>
      <c r="C177" s="87">
        <v>8.3000000000000007</v>
      </c>
      <c r="D177" s="33" t="s">
        <v>26</v>
      </c>
      <c r="E177" s="62">
        <f t="shared" ref="E177:E187" si="33">I177+G177+K177</f>
        <v>30398</v>
      </c>
      <c r="F177" s="92">
        <f t="shared" ref="F177:F187" si="34">J177+H177+L177</f>
        <v>252303.4</v>
      </c>
      <c r="G177" s="93">
        <f>단가산출근거목록표!F8</f>
        <v>18289</v>
      </c>
      <c r="H177" s="95">
        <f t="shared" ref="H177:H187" si="35">IF(C177=0,0,ROUNDDOWN(G177*C177,1))</f>
        <v>151798.70000000001</v>
      </c>
      <c r="I177" s="93">
        <f>단가산출근거목록표!G8</f>
        <v>5101</v>
      </c>
      <c r="J177" s="95">
        <f t="shared" ref="J177:J187" si="36">IF(C177=0,0,ROUNDDOWN(I177*C177,1))</f>
        <v>42338.3</v>
      </c>
      <c r="K177" s="93">
        <f>단가산출근거목록표!H8</f>
        <v>7008</v>
      </c>
      <c r="L177" s="95">
        <f t="shared" ref="L177:L187" si="37">IF(C177=0,0,ROUNDDOWN(K177*C177,1))</f>
        <v>58166.400000000001</v>
      </c>
      <c r="M177" s="24" t="s">
        <v>1234</v>
      </c>
      <c r="N177" s="16" t="s">
        <v>1232</v>
      </c>
      <c r="O177" s="6" t="s">
        <v>1233</v>
      </c>
      <c r="P177" s="6" t="s">
        <v>1129</v>
      </c>
      <c r="Z177" s="19" t="str">
        <f ca="1">HYPERLINK("#"&amp;단가산출근거목록표!J2&amp;"!A"&amp;ROW(단가산출근거목록표!A8),"산근    5 →")</f>
        <v>산근    5 →</v>
      </c>
    </row>
    <row r="178" spans="1:26" ht="28.7" customHeight="1" x14ac:dyDescent="0.3">
      <c r="A178" s="9" t="s">
        <v>183</v>
      </c>
      <c r="B178" s="9" t="s">
        <v>191</v>
      </c>
      <c r="C178" s="87">
        <v>2.4</v>
      </c>
      <c r="D178" s="33" t="s">
        <v>26</v>
      </c>
      <c r="E178" s="62">
        <f t="shared" si="33"/>
        <v>29098</v>
      </c>
      <c r="F178" s="92">
        <f t="shared" si="34"/>
        <v>69835.199999999997</v>
      </c>
      <c r="G178" s="93">
        <f>단가산출근거목록표!F10</f>
        <v>17543</v>
      </c>
      <c r="H178" s="95">
        <f t="shared" si="35"/>
        <v>42103.199999999997</v>
      </c>
      <c r="I178" s="93">
        <f>단가산출근거목록표!G10</f>
        <v>4874</v>
      </c>
      <c r="J178" s="95">
        <f t="shared" si="36"/>
        <v>11697.6</v>
      </c>
      <c r="K178" s="93">
        <f>단가산출근거목록표!H10</f>
        <v>6681</v>
      </c>
      <c r="L178" s="95">
        <f t="shared" si="37"/>
        <v>16034.4</v>
      </c>
      <c r="M178" s="24" t="s">
        <v>1237</v>
      </c>
      <c r="N178" s="16" t="s">
        <v>1235</v>
      </c>
      <c r="O178" s="6" t="s">
        <v>1236</v>
      </c>
      <c r="P178" s="6" t="s">
        <v>1129</v>
      </c>
      <c r="Z178" s="19" t="str">
        <f ca="1">HYPERLINK("#"&amp;단가산출근거목록표!J2&amp;"!A"&amp;ROW(단가산출근거목록표!A10),"산근    7 →")</f>
        <v>산근    7 →</v>
      </c>
    </row>
    <row r="179" spans="1:26" ht="28.7" customHeight="1" x14ac:dyDescent="0.3">
      <c r="A179" s="9" t="s">
        <v>24</v>
      </c>
      <c r="B179" s="9" t="s">
        <v>25</v>
      </c>
      <c r="C179" s="87">
        <v>8.3000000000000007</v>
      </c>
      <c r="D179" s="33" t="s">
        <v>26</v>
      </c>
      <c r="E179" s="62">
        <f t="shared" si="33"/>
        <v>52995</v>
      </c>
      <c r="F179" s="92">
        <f t="shared" si="34"/>
        <v>439858.5</v>
      </c>
      <c r="G179" s="93">
        <f>일위대가목록표!F6</f>
        <v>39641</v>
      </c>
      <c r="H179" s="95">
        <f t="shared" si="35"/>
        <v>329020.3</v>
      </c>
      <c r="I179" s="93">
        <f>일위대가목록표!G6</f>
        <v>4939</v>
      </c>
      <c r="J179" s="95">
        <f t="shared" si="36"/>
        <v>40993.699999999997</v>
      </c>
      <c r="K179" s="93">
        <f>일위대가목록표!H6</f>
        <v>8415</v>
      </c>
      <c r="L179" s="95">
        <f t="shared" si="37"/>
        <v>69844.5</v>
      </c>
      <c r="M179" s="24" t="s">
        <v>1187</v>
      </c>
      <c r="N179" s="16" t="s">
        <v>1185</v>
      </c>
      <c r="O179" s="6" t="s">
        <v>1186</v>
      </c>
      <c r="P179" s="6" t="s">
        <v>1129</v>
      </c>
      <c r="Z179" s="19" t="str">
        <f ca="1">HYPERLINK("#"&amp;일위대가목록표!J2&amp;"!A"&amp;ROW(일위대가목록표!A6),"대가    3 →")</f>
        <v>대가    3 →</v>
      </c>
    </row>
    <row r="180" spans="1:26" ht="28.7" customHeight="1" x14ac:dyDescent="0.3">
      <c r="A180" s="9" t="s">
        <v>30</v>
      </c>
      <c r="B180" s="9" t="s">
        <v>34</v>
      </c>
      <c r="C180" s="87">
        <v>2.4</v>
      </c>
      <c r="D180" s="33" t="s">
        <v>26</v>
      </c>
      <c r="E180" s="62">
        <f t="shared" si="33"/>
        <v>58239</v>
      </c>
      <c r="F180" s="92">
        <f t="shared" si="34"/>
        <v>139773.6</v>
      </c>
      <c r="G180" s="93">
        <f>일위대가목록표!F8</f>
        <v>47358</v>
      </c>
      <c r="H180" s="95">
        <f t="shared" si="35"/>
        <v>113659.2</v>
      </c>
      <c r="I180" s="93">
        <f>일위대가목록표!G8</f>
        <v>4025</v>
      </c>
      <c r="J180" s="95">
        <f t="shared" si="36"/>
        <v>9660</v>
      </c>
      <c r="K180" s="93">
        <f>일위대가목록표!H8</f>
        <v>6856</v>
      </c>
      <c r="L180" s="95">
        <f t="shared" si="37"/>
        <v>16454.400000000001</v>
      </c>
      <c r="M180" s="24" t="s">
        <v>1240</v>
      </c>
      <c r="N180" s="16" t="s">
        <v>1238</v>
      </c>
      <c r="O180" s="6" t="s">
        <v>1239</v>
      </c>
      <c r="P180" s="6" t="s">
        <v>1129</v>
      </c>
      <c r="Z180" s="19" t="str">
        <f ca="1">HYPERLINK("#"&amp;일위대가목록표!J2&amp;"!A"&amp;ROW(일위대가목록표!A8),"대가    5 →")</f>
        <v>대가    5 →</v>
      </c>
    </row>
    <row r="181" spans="1:26" ht="28.7" customHeight="1" x14ac:dyDescent="0.3">
      <c r="A181" s="9" t="s">
        <v>42</v>
      </c>
      <c r="B181" s="9" t="s">
        <v>43</v>
      </c>
      <c r="C181" s="87">
        <v>0.65</v>
      </c>
      <c r="D181" s="33" t="s">
        <v>14</v>
      </c>
      <c r="E181" s="62">
        <f t="shared" si="33"/>
        <v>122871</v>
      </c>
      <c r="F181" s="92">
        <f t="shared" si="34"/>
        <v>79866.100000000006</v>
      </c>
      <c r="G181" s="93">
        <f>일위대가목록표!F10</f>
        <v>121559</v>
      </c>
      <c r="H181" s="95">
        <f t="shared" si="35"/>
        <v>79013.3</v>
      </c>
      <c r="I181" s="93">
        <f>일위대가목록표!G10</f>
        <v>1008</v>
      </c>
      <c r="J181" s="95">
        <f t="shared" si="36"/>
        <v>655.20000000000005</v>
      </c>
      <c r="K181" s="93">
        <f>일위대가목록표!H10</f>
        <v>304</v>
      </c>
      <c r="L181" s="95">
        <f t="shared" si="37"/>
        <v>197.6</v>
      </c>
      <c r="M181" s="24" t="s">
        <v>1243</v>
      </c>
      <c r="N181" s="16" t="s">
        <v>1241</v>
      </c>
      <c r="O181" s="6" t="s">
        <v>1242</v>
      </c>
      <c r="P181" s="6" t="s">
        <v>1129</v>
      </c>
      <c r="Z181" s="19" t="str">
        <f ca="1">HYPERLINK("#"&amp;일위대가목록표!J2&amp;"!A"&amp;ROW(일위대가목록표!A10),"대가    7 →")</f>
        <v>대가    7 →</v>
      </c>
    </row>
    <row r="182" spans="1:26" ht="28.7" customHeight="1" x14ac:dyDescent="0.3">
      <c r="A182" s="9" t="s">
        <v>42</v>
      </c>
      <c r="B182" s="9" t="s">
        <v>201</v>
      </c>
      <c r="C182" s="87">
        <v>2.04</v>
      </c>
      <c r="D182" s="33" t="s">
        <v>14</v>
      </c>
      <c r="E182" s="62">
        <f t="shared" si="33"/>
        <v>67383</v>
      </c>
      <c r="F182" s="92">
        <f t="shared" si="34"/>
        <v>137461.19999999998</v>
      </c>
      <c r="G182" s="93">
        <f>단가산출근거목록표!F13</f>
        <v>66071</v>
      </c>
      <c r="H182" s="95">
        <f t="shared" si="35"/>
        <v>134784.79999999999</v>
      </c>
      <c r="I182" s="93">
        <f>단가산출근거목록표!G13</f>
        <v>1008</v>
      </c>
      <c r="J182" s="95">
        <f t="shared" si="36"/>
        <v>2056.3000000000002</v>
      </c>
      <c r="K182" s="93">
        <f>단가산출근거목록표!H13</f>
        <v>304</v>
      </c>
      <c r="L182" s="95">
        <f t="shared" si="37"/>
        <v>620.1</v>
      </c>
      <c r="M182" s="24" t="s">
        <v>1202</v>
      </c>
      <c r="N182" s="16" t="s">
        <v>1200</v>
      </c>
      <c r="O182" s="6" t="s">
        <v>1201</v>
      </c>
      <c r="P182" s="6" t="s">
        <v>1129</v>
      </c>
      <c r="Z182" s="19" t="str">
        <f ca="1">HYPERLINK("#"&amp;단가산출근거목록표!J2&amp;"!A"&amp;ROW(단가산출근거목록표!A13),"산근   10 →")</f>
        <v>산근   10 →</v>
      </c>
    </row>
    <row r="183" spans="1:26" ht="28.7" customHeight="1" x14ac:dyDescent="0.3">
      <c r="A183" s="9" t="s">
        <v>12</v>
      </c>
      <c r="B183" s="9" t="s">
        <v>13</v>
      </c>
      <c r="C183" s="87">
        <v>9.6000000000000002E-2</v>
      </c>
      <c r="D183" s="33" t="s">
        <v>14</v>
      </c>
      <c r="E183" s="62">
        <f t="shared" si="33"/>
        <v>109259</v>
      </c>
      <c r="F183" s="92">
        <f t="shared" si="34"/>
        <v>10488.8</v>
      </c>
      <c r="G183" s="93">
        <f>일위대가목록표!F4</f>
        <v>109259</v>
      </c>
      <c r="H183" s="95">
        <f t="shared" si="35"/>
        <v>10488.8</v>
      </c>
      <c r="I183" s="93">
        <f>일위대가목록표!G4</f>
        <v>0</v>
      </c>
      <c r="J183" s="95">
        <f t="shared" si="36"/>
        <v>0</v>
      </c>
      <c r="K183" s="93">
        <f>일위대가목록표!H4</f>
        <v>0</v>
      </c>
      <c r="L183" s="95">
        <f t="shared" si="37"/>
        <v>0</v>
      </c>
      <c r="M183" s="24" t="s">
        <v>1205</v>
      </c>
      <c r="N183" s="16" t="s">
        <v>1203</v>
      </c>
      <c r="O183" s="6" t="s">
        <v>1204</v>
      </c>
      <c r="P183" s="6" t="s">
        <v>1129</v>
      </c>
      <c r="Z183" s="19" t="str">
        <f ca="1">HYPERLINK("#"&amp;일위대가목록표!J2&amp;"!A"&amp;ROW(일위대가목록표!A4),"대가    1 →")</f>
        <v>대가    1 →</v>
      </c>
    </row>
    <row r="184" spans="1:26" ht="28.7" customHeight="1" x14ac:dyDescent="0.3">
      <c r="A184" s="9" t="s">
        <v>176</v>
      </c>
      <c r="B184" s="9" t="s">
        <v>177</v>
      </c>
      <c r="C184" s="87">
        <v>2.08</v>
      </c>
      <c r="D184" s="33" t="s">
        <v>14</v>
      </c>
      <c r="E184" s="62">
        <f t="shared" si="33"/>
        <v>12701</v>
      </c>
      <c r="F184" s="92">
        <f t="shared" si="34"/>
        <v>26418</v>
      </c>
      <c r="G184" s="93">
        <f>단가산출근거목록표!F6</f>
        <v>7908</v>
      </c>
      <c r="H184" s="95">
        <f t="shared" si="35"/>
        <v>16448.599999999999</v>
      </c>
      <c r="I184" s="93">
        <f>단가산출근거목록표!G6</f>
        <v>1963</v>
      </c>
      <c r="J184" s="95">
        <f t="shared" si="36"/>
        <v>4083</v>
      </c>
      <c r="K184" s="93">
        <f>단가산출근거목록표!H6</f>
        <v>2830</v>
      </c>
      <c r="L184" s="95">
        <f t="shared" si="37"/>
        <v>5886.4</v>
      </c>
      <c r="M184" s="24" t="s">
        <v>1196</v>
      </c>
      <c r="N184" s="16" t="s">
        <v>1194</v>
      </c>
      <c r="O184" s="6" t="s">
        <v>1195</v>
      </c>
      <c r="P184" s="6" t="s">
        <v>1129</v>
      </c>
      <c r="Z184" s="19" t="str">
        <f ca="1">HYPERLINK("#"&amp;단가산출근거목록표!J2&amp;"!A"&amp;ROW(단가산출근거목록표!A6),"산근    3 →")</f>
        <v>산근    3 →</v>
      </c>
    </row>
    <row r="185" spans="1:26" ht="28.7" customHeight="1" x14ac:dyDescent="0.3">
      <c r="A185" s="9" t="s">
        <v>172</v>
      </c>
      <c r="B185" s="9" t="s">
        <v>173</v>
      </c>
      <c r="C185" s="87">
        <v>2.08</v>
      </c>
      <c r="D185" s="33" t="s">
        <v>14</v>
      </c>
      <c r="E185" s="62">
        <f t="shared" si="33"/>
        <v>8328</v>
      </c>
      <c r="F185" s="92">
        <f t="shared" si="34"/>
        <v>17322.100000000002</v>
      </c>
      <c r="G185" s="93">
        <f>단가산출근거목록표!F5</f>
        <v>6878</v>
      </c>
      <c r="H185" s="95">
        <f t="shared" si="35"/>
        <v>14306.2</v>
      </c>
      <c r="I185" s="93">
        <f>단가산출근거목록표!G5</f>
        <v>538</v>
      </c>
      <c r="J185" s="95">
        <f t="shared" si="36"/>
        <v>1119</v>
      </c>
      <c r="K185" s="93">
        <f>단가산출근거목록표!H5</f>
        <v>912</v>
      </c>
      <c r="L185" s="95">
        <f t="shared" si="37"/>
        <v>1896.9</v>
      </c>
      <c r="M185" s="24" t="s">
        <v>1193</v>
      </c>
      <c r="N185" s="16" t="s">
        <v>1191</v>
      </c>
      <c r="O185" s="6" t="s">
        <v>1192</v>
      </c>
      <c r="P185" s="6" t="s">
        <v>1129</v>
      </c>
      <c r="Z185" s="19" t="str">
        <f ca="1">HYPERLINK("#"&amp;단가산출근거목록표!J2&amp;"!A"&amp;ROW(단가산출근거목록표!A5),"산근    2 →")</f>
        <v>산근    2 →</v>
      </c>
    </row>
    <row r="186" spans="1:26" ht="28.7" customHeight="1" x14ac:dyDescent="0.3">
      <c r="A186" s="9" t="s">
        <v>180</v>
      </c>
      <c r="B186" s="9" t="s">
        <v>177</v>
      </c>
      <c r="C186" s="87">
        <v>1.53</v>
      </c>
      <c r="D186" s="33" t="s">
        <v>14</v>
      </c>
      <c r="E186" s="62">
        <f t="shared" si="33"/>
        <v>24816</v>
      </c>
      <c r="F186" s="92">
        <f t="shared" si="34"/>
        <v>37968.400000000001</v>
      </c>
      <c r="G186" s="93">
        <f>단가산출근거목록표!F7</f>
        <v>18084</v>
      </c>
      <c r="H186" s="95">
        <f t="shared" si="35"/>
        <v>27668.5</v>
      </c>
      <c r="I186" s="93">
        <f>단가산출근거목록표!G7</f>
        <v>2498</v>
      </c>
      <c r="J186" s="95">
        <f t="shared" si="36"/>
        <v>3821.9</v>
      </c>
      <c r="K186" s="93">
        <f>단가산출근거목록표!H7</f>
        <v>4234</v>
      </c>
      <c r="L186" s="95">
        <f t="shared" si="37"/>
        <v>6478</v>
      </c>
      <c r="M186" s="24" t="s">
        <v>1190</v>
      </c>
      <c r="N186" s="16" t="s">
        <v>1188</v>
      </c>
      <c r="O186" s="6" t="s">
        <v>1189</v>
      </c>
      <c r="P186" s="6" t="s">
        <v>1129</v>
      </c>
      <c r="Z186" s="19" t="str">
        <f ca="1">HYPERLINK("#"&amp;단가산출근거목록표!J2&amp;"!A"&amp;ROW(단가산출근거목록표!A7),"산근    4 →")</f>
        <v>산근    4 →</v>
      </c>
    </row>
    <row r="187" spans="1:26" ht="28.7" customHeight="1" x14ac:dyDescent="0.3">
      <c r="A187" s="9" t="s">
        <v>475</v>
      </c>
      <c r="B187" s="9" t="s">
        <v>476</v>
      </c>
      <c r="C187" s="87">
        <v>2.9</v>
      </c>
      <c r="D187" s="33" t="s">
        <v>477</v>
      </c>
      <c r="E187" s="62">
        <f t="shared" si="33"/>
        <v>1912</v>
      </c>
      <c r="F187" s="91">
        <f t="shared" si="34"/>
        <v>5544.8</v>
      </c>
      <c r="G187" s="59">
        <v>0</v>
      </c>
      <c r="H187" s="92">
        <f t="shared" si="35"/>
        <v>0</v>
      </c>
      <c r="I187" s="93">
        <f>재료비목록표!E12</f>
        <v>1912</v>
      </c>
      <c r="J187" s="94">
        <f t="shared" si="36"/>
        <v>5544.8</v>
      </c>
      <c r="K187" s="59">
        <v>0</v>
      </c>
      <c r="L187" s="92">
        <f t="shared" si="37"/>
        <v>0</v>
      </c>
      <c r="M187" s="24" t="s">
        <v>1199</v>
      </c>
      <c r="N187" s="16" t="s">
        <v>1197</v>
      </c>
      <c r="O187" s="6" t="s">
        <v>1198</v>
      </c>
      <c r="P187" s="6" t="s">
        <v>1129</v>
      </c>
      <c r="Z187" s="19" t="str">
        <f ca="1">HYPERLINK("#"&amp;재료비목록표!G2&amp;"!A"&amp;ROW(재료비목록표!A12),"자재    9 →")</f>
        <v>자재    9 →</v>
      </c>
    </row>
    <row r="188" spans="1:26" ht="28.7" customHeight="1" x14ac:dyDescent="0.3">
      <c r="A188" s="24" t="s">
        <v>1171</v>
      </c>
      <c r="B188" s="58"/>
      <c r="C188" s="58"/>
      <c r="D188" s="58"/>
      <c r="E188" s="58"/>
      <c r="F188" s="55">
        <f>J188+H188+L188</f>
        <v>1216838</v>
      </c>
      <c r="G188" s="58"/>
      <c r="H188" s="55">
        <f>ROUNDDOWN(SUMIF(P177:P187,O188,H177:H187),0)</f>
        <v>919291</v>
      </c>
      <c r="I188" s="58"/>
      <c r="J188" s="55">
        <f>ROUNDDOWN(SUMIF(P177:P187,O188,J177:J187),0)</f>
        <v>121969</v>
      </c>
      <c r="K188" s="58"/>
      <c r="L188" s="55">
        <f>ROUNDDOWN(SUMIF(P177:P187,O188,L177:L187),0)</f>
        <v>175578</v>
      </c>
      <c r="M188" s="58"/>
      <c r="O188" s="6" t="s">
        <v>1129</v>
      </c>
      <c r="P188" s="6" t="s">
        <v>1172</v>
      </c>
    </row>
    <row r="189" spans="1:26" ht="28.7" customHeight="1" x14ac:dyDescent="0.3">
      <c r="A189" s="13" t="s">
        <v>1173</v>
      </c>
      <c r="B189" s="13"/>
      <c r="C189" s="88">
        <v>88.5</v>
      </c>
      <c r="D189" s="13"/>
      <c r="E189" s="90"/>
      <c r="F189" s="74">
        <f>J189+H189+L189</f>
        <v>1076900</v>
      </c>
      <c r="G189" s="90"/>
      <c r="H189" s="74">
        <f>ROUNDDOWN(H188*C189/100,0)</f>
        <v>813572</v>
      </c>
      <c r="I189" s="90"/>
      <c r="J189" s="74">
        <f>ROUNDDOWN(J188*C189/100,0)</f>
        <v>107942</v>
      </c>
      <c r="K189" s="90"/>
      <c r="L189" s="74">
        <f>ROUNDDOWN(L188*C189/100,0)</f>
        <v>155386</v>
      </c>
      <c r="M189" s="90"/>
      <c r="O189" s="6" t="s">
        <v>1172</v>
      </c>
    </row>
    <row r="190" spans="1:26" ht="28.7" customHeight="1" x14ac:dyDescent="0.3">
      <c r="A190" s="84" t="s">
        <v>103</v>
      </c>
      <c r="B190" s="84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36" t="str">
        <f>HYPERLINK("#N"&amp;ROW(N193),"_x0005_`BDCOD|B01221_x0007_`POSS|"&amp;ROW(N192)&amp;"_x0007_`POSE|"&amp;ROW(N193)&amp;"_x0007_`")</f>
        <v>_x0005_`BDCOD|B01221_x0007_`POSS|192_x0007_`POSE|193_x0007_`</v>
      </c>
    </row>
    <row r="191" spans="1:26" ht="28.7" customHeight="1" x14ac:dyDescent="0.3">
      <c r="A191" s="43" t="s">
        <v>105</v>
      </c>
      <c r="B191" s="43"/>
      <c r="C191" s="86"/>
      <c r="D191" s="89" t="s">
        <v>53</v>
      </c>
      <c r="E191" s="86"/>
      <c r="F191" s="86"/>
      <c r="G191" s="86"/>
      <c r="H191" s="86"/>
      <c r="I191" s="86"/>
      <c r="J191" s="86"/>
      <c r="K191" s="86"/>
      <c r="L191" s="86"/>
      <c r="M191" s="89" t="s">
        <v>106</v>
      </c>
      <c r="O191" s="6" t="s">
        <v>1245</v>
      </c>
    </row>
    <row r="192" spans="1:26" ht="28.7" customHeight="1" x14ac:dyDescent="0.3">
      <c r="A192" s="9" t="s">
        <v>187</v>
      </c>
      <c r="B192" s="9" t="s">
        <v>188</v>
      </c>
      <c r="C192" s="87">
        <v>1.36</v>
      </c>
      <c r="D192" s="33" t="s">
        <v>14</v>
      </c>
      <c r="E192" s="62">
        <f>I192+G192+K192</f>
        <v>1641</v>
      </c>
      <c r="F192" s="92">
        <f>J192+H192+L192</f>
        <v>2231.6999999999998</v>
      </c>
      <c r="G192" s="93">
        <f>단가산출근거목록표!F9</f>
        <v>944</v>
      </c>
      <c r="H192" s="95">
        <f>IF(C192=0,0,ROUNDDOWN(G192*C192,1))</f>
        <v>1283.8</v>
      </c>
      <c r="I192" s="93">
        <f>단가산출근거목록표!G9</f>
        <v>305</v>
      </c>
      <c r="J192" s="95">
        <f>IF(C192=0,0,ROUNDDOWN(I192*C192,1))</f>
        <v>414.8</v>
      </c>
      <c r="K192" s="93">
        <f>단가산출근거목록표!H9</f>
        <v>392</v>
      </c>
      <c r="L192" s="95">
        <f>IF(C192=0,0,ROUNDDOWN(K192*C192,1))</f>
        <v>533.1</v>
      </c>
      <c r="M192" s="24" t="s">
        <v>1248</v>
      </c>
      <c r="N192" s="16" t="s">
        <v>1246</v>
      </c>
      <c r="O192" s="6" t="s">
        <v>1247</v>
      </c>
      <c r="P192" s="6" t="s">
        <v>1129</v>
      </c>
      <c r="Z192" s="19" t="str">
        <f ca="1">HYPERLINK("#"&amp;단가산출근거목록표!J2&amp;"!A"&amp;ROW(단가산출근거목록표!A9),"산근    6 →")</f>
        <v>산근    6 →</v>
      </c>
    </row>
    <row r="193" spans="1:26" ht="28.7" customHeight="1" x14ac:dyDescent="0.3">
      <c r="A193" s="9" t="s">
        <v>194</v>
      </c>
      <c r="B193" s="9" t="s">
        <v>188</v>
      </c>
      <c r="C193" s="87">
        <v>1.36</v>
      </c>
      <c r="D193" s="33" t="s">
        <v>14</v>
      </c>
      <c r="E193" s="62">
        <f>I193+G193+K193</f>
        <v>1279</v>
      </c>
      <c r="F193" s="92">
        <f>J193+H193+L193</f>
        <v>1739.3</v>
      </c>
      <c r="G193" s="93">
        <f>단가산출근거목록표!F11</f>
        <v>736</v>
      </c>
      <c r="H193" s="95">
        <f>IF(C193=0,0,ROUNDDOWN(G193*C193,1))</f>
        <v>1000.9</v>
      </c>
      <c r="I193" s="93">
        <f>단가산출근거목록표!G11</f>
        <v>238</v>
      </c>
      <c r="J193" s="95">
        <f>IF(C193=0,0,ROUNDDOWN(I193*C193,1))</f>
        <v>323.60000000000002</v>
      </c>
      <c r="K193" s="93">
        <f>단가산출근거목록표!H11</f>
        <v>305</v>
      </c>
      <c r="L193" s="95">
        <f>IF(C193=0,0,ROUNDDOWN(K193*C193,1))</f>
        <v>414.8</v>
      </c>
      <c r="M193" s="24" t="s">
        <v>1251</v>
      </c>
      <c r="N193" s="16" t="s">
        <v>1249</v>
      </c>
      <c r="O193" s="6" t="s">
        <v>1250</v>
      </c>
      <c r="P193" s="6" t="s">
        <v>1129</v>
      </c>
      <c r="Z193" s="19" t="str">
        <f ca="1">HYPERLINK("#"&amp;단가산출근거목록표!J2&amp;"!A"&amp;ROW(단가산출근거목록표!A11),"산근    8 →")</f>
        <v>산근    8 →</v>
      </c>
    </row>
    <row r="194" spans="1:26" ht="28.7" customHeight="1" x14ac:dyDescent="0.3">
      <c r="A194" s="24" t="s">
        <v>1171</v>
      </c>
      <c r="B194" s="58"/>
      <c r="C194" s="58"/>
      <c r="D194" s="58"/>
      <c r="E194" s="58"/>
      <c r="F194" s="55">
        <f>J194+H194+L194</f>
        <v>3969</v>
      </c>
      <c r="G194" s="58"/>
      <c r="H194" s="55">
        <f>ROUNDDOWN(SUMIF(P192:P193,O194,H192:H193),0)</f>
        <v>2284</v>
      </c>
      <c r="I194" s="58"/>
      <c r="J194" s="55">
        <f>ROUNDDOWN(SUMIF(P192:P193,O194,J192:J193),0)</f>
        <v>738</v>
      </c>
      <c r="K194" s="58"/>
      <c r="L194" s="55">
        <f>ROUNDDOWN(SUMIF(P192:P193,O194,L192:L193),0)</f>
        <v>947</v>
      </c>
      <c r="M194" s="58"/>
      <c r="O194" s="6" t="s">
        <v>1129</v>
      </c>
      <c r="P194" s="6" t="s">
        <v>1172</v>
      </c>
    </row>
    <row r="195" spans="1:26" ht="28.7" customHeight="1" x14ac:dyDescent="0.3">
      <c r="A195" s="13" t="s">
        <v>1173</v>
      </c>
      <c r="B195" s="13"/>
      <c r="C195" s="88">
        <v>88.5</v>
      </c>
      <c r="D195" s="13"/>
      <c r="E195" s="90"/>
      <c r="F195" s="74">
        <f>J195+H195+L195</f>
        <v>3512</v>
      </c>
      <c r="G195" s="90"/>
      <c r="H195" s="74">
        <f>ROUNDDOWN(H194*C195/100,0)</f>
        <v>2021</v>
      </c>
      <c r="I195" s="90"/>
      <c r="J195" s="74">
        <f>ROUNDDOWN(J194*C195/100,0)</f>
        <v>653</v>
      </c>
      <c r="K195" s="90"/>
      <c r="L195" s="74">
        <f>ROUNDDOWN(L194*C195/100,0)</f>
        <v>838</v>
      </c>
      <c r="M195" s="90"/>
      <c r="O195" s="6" t="s">
        <v>1172</v>
      </c>
    </row>
    <row r="196" spans="1:26" ht="28.7" customHeight="1" x14ac:dyDescent="0.3">
      <c r="A196" s="84" t="s">
        <v>107</v>
      </c>
      <c r="B196" s="84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36" t="str">
        <f>HYPERLINK("#N"&amp;ROW(N202),"_x0005_`BDCOD|B01222_x0007_`POSS|"&amp;ROW(N198)&amp;"_x0007_`POSE|"&amp;ROW(N202)&amp;"_x0007_`")</f>
        <v>_x0005_`BDCOD|B01222_x0007_`POSS|198_x0007_`POSE|202_x0007_`</v>
      </c>
    </row>
    <row r="197" spans="1:26" ht="28.7" customHeight="1" x14ac:dyDescent="0.3">
      <c r="A197" s="43" t="s">
        <v>109</v>
      </c>
      <c r="B197" s="43" t="s">
        <v>110</v>
      </c>
      <c r="C197" s="86"/>
      <c r="D197" s="89" t="s">
        <v>26</v>
      </c>
      <c r="E197" s="86"/>
      <c r="F197" s="86"/>
      <c r="G197" s="86"/>
      <c r="H197" s="86"/>
      <c r="I197" s="86"/>
      <c r="J197" s="86"/>
      <c r="K197" s="86"/>
      <c r="L197" s="86"/>
      <c r="M197" s="89" t="s">
        <v>111</v>
      </c>
      <c r="O197" s="6" t="s">
        <v>1252</v>
      </c>
    </row>
    <row r="198" spans="1:26" ht="28.7" customHeight="1" x14ac:dyDescent="0.3">
      <c r="A198" s="9" t="s">
        <v>183</v>
      </c>
      <c r="B198" s="9" t="s">
        <v>184</v>
      </c>
      <c r="C198" s="87">
        <v>1</v>
      </c>
      <c r="D198" s="33" t="s">
        <v>26</v>
      </c>
      <c r="E198" s="62">
        <f t="shared" ref="E198:F202" si="38">I198+G198+K198</f>
        <v>30398</v>
      </c>
      <c r="F198" s="92">
        <f t="shared" si="38"/>
        <v>30398</v>
      </c>
      <c r="G198" s="93">
        <f>단가산출근거목록표!F8</f>
        <v>18289</v>
      </c>
      <c r="H198" s="95">
        <f>IF(C198=0,0,ROUNDDOWN(G198*C198,1))</f>
        <v>18289</v>
      </c>
      <c r="I198" s="93">
        <f>단가산출근거목록표!G8</f>
        <v>5101</v>
      </c>
      <c r="J198" s="95">
        <f>IF(C198=0,0,ROUNDDOWN(I198*C198,1))</f>
        <v>5101</v>
      </c>
      <c r="K198" s="93">
        <f>단가산출근거목록표!H8</f>
        <v>7008</v>
      </c>
      <c r="L198" s="95">
        <f>IF(C198=0,0,ROUNDDOWN(K198*C198,1))</f>
        <v>7008</v>
      </c>
      <c r="M198" s="24" t="s">
        <v>1234</v>
      </c>
      <c r="N198" s="16" t="s">
        <v>1232</v>
      </c>
      <c r="O198" s="6" t="s">
        <v>1233</v>
      </c>
      <c r="P198" s="6" t="s">
        <v>1129</v>
      </c>
      <c r="Z198" s="19" t="str">
        <f ca="1">HYPERLINK("#"&amp;단가산출근거목록표!J2&amp;"!A"&amp;ROW(단가산출근거목록표!A8),"산근    5 →")</f>
        <v>산근    5 →</v>
      </c>
    </row>
    <row r="199" spans="1:26" ht="28.7" customHeight="1" x14ac:dyDescent="0.3">
      <c r="A199" s="9" t="s">
        <v>30</v>
      </c>
      <c r="B199" s="9" t="s">
        <v>25</v>
      </c>
      <c r="C199" s="87">
        <v>1</v>
      </c>
      <c r="D199" s="33" t="s">
        <v>26</v>
      </c>
      <c r="E199" s="62">
        <f t="shared" si="38"/>
        <v>52943</v>
      </c>
      <c r="F199" s="92">
        <f t="shared" si="38"/>
        <v>52943</v>
      </c>
      <c r="G199" s="93">
        <f>일위대가목록표!F7</f>
        <v>42556</v>
      </c>
      <c r="H199" s="95">
        <f>IF(C199=0,0,ROUNDDOWN(G199*C199,1))</f>
        <v>42556</v>
      </c>
      <c r="I199" s="93">
        <f>일위대가목록표!G7</f>
        <v>3842</v>
      </c>
      <c r="J199" s="95">
        <f>IF(C199=0,0,ROUNDDOWN(I199*C199,1))</f>
        <v>3842</v>
      </c>
      <c r="K199" s="93">
        <f>일위대가목록표!H7</f>
        <v>6545</v>
      </c>
      <c r="L199" s="95">
        <f>IF(C199=0,0,ROUNDDOWN(K199*C199,1))</f>
        <v>6545</v>
      </c>
      <c r="M199" s="24" t="s">
        <v>1255</v>
      </c>
      <c r="N199" s="16" t="s">
        <v>1253</v>
      </c>
      <c r="O199" s="6" t="s">
        <v>1254</v>
      </c>
      <c r="P199" s="6" t="s">
        <v>1129</v>
      </c>
      <c r="Z199" s="19" t="str">
        <f ca="1">HYPERLINK("#"&amp;일위대가목록표!J2&amp;"!A"&amp;ROW(일위대가목록표!A7),"대가    4 →")</f>
        <v>대가    4 →</v>
      </c>
    </row>
    <row r="200" spans="1:26" ht="28.7" customHeight="1" x14ac:dyDescent="0.3">
      <c r="A200" s="9" t="s">
        <v>180</v>
      </c>
      <c r="B200" s="9" t="s">
        <v>177</v>
      </c>
      <c r="C200" s="87">
        <v>0.15</v>
      </c>
      <c r="D200" s="33" t="s">
        <v>14</v>
      </c>
      <c r="E200" s="62">
        <f t="shared" si="38"/>
        <v>24816</v>
      </c>
      <c r="F200" s="92">
        <f t="shared" si="38"/>
        <v>3722.3999999999996</v>
      </c>
      <c r="G200" s="93">
        <f>단가산출근거목록표!F7</f>
        <v>18084</v>
      </c>
      <c r="H200" s="95">
        <f>IF(C200=0,0,ROUNDDOWN(G200*C200,1))</f>
        <v>2712.6</v>
      </c>
      <c r="I200" s="93">
        <f>단가산출근거목록표!G7</f>
        <v>2498</v>
      </c>
      <c r="J200" s="95">
        <f>IF(C200=0,0,ROUNDDOWN(I200*C200,1))</f>
        <v>374.7</v>
      </c>
      <c r="K200" s="93">
        <f>단가산출근거목록표!H7</f>
        <v>4234</v>
      </c>
      <c r="L200" s="95">
        <f>IF(C200=0,0,ROUNDDOWN(K200*C200,1))</f>
        <v>635.1</v>
      </c>
      <c r="M200" s="24" t="s">
        <v>1190</v>
      </c>
      <c r="N200" s="16" t="s">
        <v>1188</v>
      </c>
      <c r="O200" s="6" t="s">
        <v>1189</v>
      </c>
      <c r="P200" s="6" t="s">
        <v>1129</v>
      </c>
      <c r="Z200" s="19" t="str">
        <f ca="1">HYPERLINK("#"&amp;단가산출근거목록표!J2&amp;"!A"&amp;ROW(단가산출근거목록표!A7),"산근    4 →")</f>
        <v>산근    4 →</v>
      </c>
    </row>
    <row r="201" spans="1:26" ht="28.7" customHeight="1" x14ac:dyDescent="0.3">
      <c r="A201" s="9" t="s">
        <v>42</v>
      </c>
      <c r="B201" s="9" t="s">
        <v>201</v>
      </c>
      <c r="C201" s="87">
        <v>0.2</v>
      </c>
      <c r="D201" s="33" t="s">
        <v>14</v>
      </c>
      <c r="E201" s="62">
        <f t="shared" si="38"/>
        <v>67383</v>
      </c>
      <c r="F201" s="92">
        <f t="shared" si="38"/>
        <v>13476.6</v>
      </c>
      <c r="G201" s="93">
        <f>단가산출근거목록표!F13</f>
        <v>66071</v>
      </c>
      <c r="H201" s="95">
        <f>IF(C201=0,0,ROUNDDOWN(G201*C201,1))</f>
        <v>13214.2</v>
      </c>
      <c r="I201" s="93">
        <f>단가산출근거목록표!G13</f>
        <v>1008</v>
      </c>
      <c r="J201" s="95">
        <f>IF(C201=0,0,ROUNDDOWN(I201*C201,1))</f>
        <v>201.6</v>
      </c>
      <c r="K201" s="93">
        <f>단가산출근거목록표!H13</f>
        <v>304</v>
      </c>
      <c r="L201" s="95">
        <f>IF(C201=0,0,ROUNDDOWN(K201*C201,1))</f>
        <v>60.8</v>
      </c>
      <c r="M201" s="24" t="s">
        <v>1202</v>
      </c>
      <c r="N201" s="16" t="s">
        <v>1200</v>
      </c>
      <c r="O201" s="6" t="s">
        <v>1201</v>
      </c>
      <c r="P201" s="6" t="s">
        <v>1129</v>
      </c>
      <c r="Z201" s="19" t="str">
        <f ca="1">HYPERLINK("#"&amp;단가산출근거목록표!J2&amp;"!A"&amp;ROW(단가산출근거목록표!A13),"산근   10 →")</f>
        <v>산근   10 →</v>
      </c>
    </row>
    <row r="202" spans="1:26" ht="28.7" customHeight="1" x14ac:dyDescent="0.3">
      <c r="A202" s="9" t="s">
        <v>12</v>
      </c>
      <c r="B202" s="9" t="s">
        <v>13</v>
      </c>
      <c r="C202" s="87">
        <v>8.9999999999999993E-3</v>
      </c>
      <c r="D202" s="33" t="s">
        <v>14</v>
      </c>
      <c r="E202" s="62">
        <f t="shared" si="38"/>
        <v>109259</v>
      </c>
      <c r="F202" s="92">
        <f t="shared" si="38"/>
        <v>983.3</v>
      </c>
      <c r="G202" s="93">
        <f>일위대가목록표!F4</f>
        <v>109259</v>
      </c>
      <c r="H202" s="95">
        <f>IF(C202=0,0,ROUNDDOWN(G202*C202,1))</f>
        <v>983.3</v>
      </c>
      <c r="I202" s="93">
        <f>일위대가목록표!G4</f>
        <v>0</v>
      </c>
      <c r="J202" s="95">
        <f>IF(C202=0,0,ROUNDDOWN(I202*C202,1))</f>
        <v>0</v>
      </c>
      <c r="K202" s="93">
        <f>일위대가목록표!H4</f>
        <v>0</v>
      </c>
      <c r="L202" s="95">
        <f>IF(C202=0,0,ROUNDDOWN(K202*C202,1))</f>
        <v>0</v>
      </c>
      <c r="M202" s="24" t="s">
        <v>1205</v>
      </c>
      <c r="N202" s="16" t="s">
        <v>1203</v>
      </c>
      <c r="O202" s="6" t="s">
        <v>1204</v>
      </c>
      <c r="P202" s="6" t="s">
        <v>1129</v>
      </c>
      <c r="Z202" s="19" t="str">
        <f ca="1">HYPERLINK("#"&amp;일위대가목록표!J2&amp;"!A"&amp;ROW(일위대가목록표!A4),"대가    1 →")</f>
        <v>대가    1 →</v>
      </c>
    </row>
    <row r="203" spans="1:26" ht="28.7" customHeight="1" x14ac:dyDescent="0.3">
      <c r="A203" s="24" t="s">
        <v>1171</v>
      </c>
      <c r="B203" s="58"/>
      <c r="C203" s="58"/>
      <c r="D203" s="58"/>
      <c r="E203" s="58"/>
      <c r="F203" s="55">
        <f>J203+H203+L203</f>
        <v>101522</v>
      </c>
      <c r="G203" s="58"/>
      <c r="H203" s="55">
        <f>ROUNDDOWN(SUMIF(P198:P202,O203,H198:H202),0)</f>
        <v>77755</v>
      </c>
      <c r="I203" s="58"/>
      <c r="J203" s="55">
        <f>ROUNDDOWN(SUMIF(P198:P202,O203,J198:J202),0)</f>
        <v>9519</v>
      </c>
      <c r="K203" s="58"/>
      <c r="L203" s="55">
        <f>ROUNDDOWN(SUMIF(P198:P202,O203,L198:L202),0)</f>
        <v>14248</v>
      </c>
      <c r="M203" s="58"/>
      <c r="O203" s="6" t="s">
        <v>1129</v>
      </c>
      <c r="P203" s="6" t="s">
        <v>1172</v>
      </c>
    </row>
    <row r="204" spans="1:26" ht="28.7" customHeight="1" x14ac:dyDescent="0.3">
      <c r="A204" s="13" t="s">
        <v>1173</v>
      </c>
      <c r="B204" s="13"/>
      <c r="C204" s="88">
        <v>88.5</v>
      </c>
      <c r="D204" s="13"/>
      <c r="E204" s="90"/>
      <c r="F204" s="74">
        <f>J204+H204+L204</f>
        <v>89846</v>
      </c>
      <c r="G204" s="90"/>
      <c r="H204" s="74">
        <f>ROUNDDOWN(H203*C204/100,0)</f>
        <v>68813</v>
      </c>
      <c r="I204" s="90"/>
      <c r="J204" s="74">
        <f>ROUNDDOWN(J203*C204/100,0)</f>
        <v>8424</v>
      </c>
      <c r="K204" s="90"/>
      <c r="L204" s="74">
        <f>ROUNDDOWN(L203*C204/100,0)</f>
        <v>12609</v>
      </c>
      <c r="M204" s="90"/>
      <c r="O204" s="6" t="s">
        <v>1172</v>
      </c>
    </row>
    <row r="205" spans="1:26" ht="28.7" customHeight="1" x14ac:dyDescent="0.3">
      <c r="A205" s="84" t="s">
        <v>112</v>
      </c>
      <c r="B205" s="84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36" t="str">
        <f>HYPERLINK("#N"&amp;ROW(N209),"_x0005_`BDCOD|B01223_x0007_`POSS|"&amp;ROW(N207)&amp;"_x0007_`POSE|"&amp;ROW(N209)&amp;"_x0007_`")</f>
        <v>_x0005_`BDCOD|B01223_x0007_`POSS|207_x0007_`POSE|209_x0007_`</v>
      </c>
    </row>
    <row r="206" spans="1:26" ht="28.7" customHeight="1" x14ac:dyDescent="0.3">
      <c r="A206" s="43" t="s">
        <v>109</v>
      </c>
      <c r="B206" s="43" t="s">
        <v>114</v>
      </c>
      <c r="C206" s="86"/>
      <c r="D206" s="89" t="s">
        <v>26</v>
      </c>
      <c r="E206" s="86"/>
      <c r="F206" s="86"/>
      <c r="G206" s="86"/>
      <c r="H206" s="86"/>
      <c r="I206" s="86"/>
      <c r="J206" s="86"/>
      <c r="K206" s="86"/>
      <c r="L206" s="86"/>
      <c r="M206" s="89" t="s">
        <v>115</v>
      </c>
      <c r="O206" s="6" t="s">
        <v>1256</v>
      </c>
    </row>
    <row r="207" spans="1:26" ht="28.7" customHeight="1" x14ac:dyDescent="0.3">
      <c r="A207" s="9" t="s">
        <v>183</v>
      </c>
      <c r="B207" s="9" t="s">
        <v>184</v>
      </c>
      <c r="C207" s="87">
        <v>1</v>
      </c>
      <c r="D207" s="33" t="s">
        <v>26</v>
      </c>
      <c r="E207" s="62">
        <f t="shared" ref="E207:F209" si="39">I207+G207+K207</f>
        <v>30398</v>
      </c>
      <c r="F207" s="92">
        <f t="shared" si="39"/>
        <v>30398</v>
      </c>
      <c r="G207" s="93">
        <f>단가산출근거목록표!F8</f>
        <v>18289</v>
      </c>
      <c r="H207" s="95">
        <f>IF(C207=0,0,ROUNDDOWN(G207*C207,1))</f>
        <v>18289</v>
      </c>
      <c r="I207" s="93">
        <f>단가산출근거목록표!G8</f>
        <v>5101</v>
      </c>
      <c r="J207" s="95">
        <f>IF(C207=0,0,ROUNDDOWN(I207*C207,1))</f>
        <v>5101</v>
      </c>
      <c r="K207" s="93">
        <f>단가산출근거목록표!H8</f>
        <v>7008</v>
      </c>
      <c r="L207" s="95">
        <f>IF(C207=0,0,ROUNDDOWN(K207*C207,1))</f>
        <v>7008</v>
      </c>
      <c r="M207" s="24" t="s">
        <v>1234</v>
      </c>
      <c r="N207" s="16" t="s">
        <v>1232</v>
      </c>
      <c r="O207" s="6" t="s">
        <v>1233</v>
      </c>
      <c r="P207" s="6" t="s">
        <v>1129</v>
      </c>
      <c r="Z207" s="19" t="str">
        <f ca="1">HYPERLINK("#"&amp;단가산출근거목록표!J2&amp;"!A"&amp;ROW(단가산출근거목록표!A8),"산근    5 →")</f>
        <v>산근    5 →</v>
      </c>
    </row>
    <row r="208" spans="1:26" ht="28.7" customHeight="1" x14ac:dyDescent="0.3">
      <c r="A208" s="9" t="s">
        <v>47</v>
      </c>
      <c r="B208" s="9" t="s">
        <v>25</v>
      </c>
      <c r="C208" s="87">
        <v>1</v>
      </c>
      <c r="D208" s="33" t="s">
        <v>26</v>
      </c>
      <c r="E208" s="62">
        <f t="shared" si="39"/>
        <v>61277</v>
      </c>
      <c r="F208" s="92">
        <f t="shared" si="39"/>
        <v>61277</v>
      </c>
      <c r="G208" s="93">
        <f>일위대가목록표!F11</f>
        <v>49406</v>
      </c>
      <c r="H208" s="95">
        <f>IF(C208=0,0,ROUNDDOWN(G208*C208,1))</f>
        <v>49406</v>
      </c>
      <c r="I208" s="93">
        <f>일위대가목록표!G11</f>
        <v>4391</v>
      </c>
      <c r="J208" s="95">
        <f>IF(C208=0,0,ROUNDDOWN(I208*C208,1))</f>
        <v>4391</v>
      </c>
      <c r="K208" s="93">
        <f>일위대가목록표!H11</f>
        <v>7480</v>
      </c>
      <c r="L208" s="95">
        <f>IF(C208=0,0,ROUNDDOWN(K208*C208,1))</f>
        <v>7480</v>
      </c>
      <c r="M208" s="24" t="s">
        <v>1259</v>
      </c>
      <c r="N208" s="16" t="s">
        <v>1257</v>
      </c>
      <c r="O208" s="6" t="s">
        <v>1258</v>
      </c>
      <c r="P208" s="6" t="s">
        <v>1129</v>
      </c>
      <c r="Z208" s="19" t="str">
        <f ca="1">HYPERLINK("#"&amp;일위대가목록표!J2&amp;"!A"&amp;ROW(일위대가목록표!A11),"대가    8 →")</f>
        <v>대가    8 →</v>
      </c>
    </row>
    <row r="209" spans="1:26" ht="28.7" customHeight="1" x14ac:dyDescent="0.3">
      <c r="A209" s="9" t="s">
        <v>180</v>
      </c>
      <c r="B209" s="9" t="s">
        <v>177</v>
      </c>
      <c r="C209" s="87">
        <v>0.15</v>
      </c>
      <c r="D209" s="33" t="s">
        <v>14</v>
      </c>
      <c r="E209" s="62">
        <f t="shared" si="39"/>
        <v>24816</v>
      </c>
      <c r="F209" s="92">
        <f t="shared" si="39"/>
        <v>3722.3999999999996</v>
      </c>
      <c r="G209" s="93">
        <f>단가산출근거목록표!F7</f>
        <v>18084</v>
      </c>
      <c r="H209" s="95">
        <f>IF(C209=0,0,ROUNDDOWN(G209*C209,1))</f>
        <v>2712.6</v>
      </c>
      <c r="I209" s="93">
        <f>단가산출근거목록표!G7</f>
        <v>2498</v>
      </c>
      <c r="J209" s="95">
        <f>IF(C209=0,0,ROUNDDOWN(I209*C209,1))</f>
        <v>374.7</v>
      </c>
      <c r="K209" s="93">
        <f>단가산출근거목록표!H7</f>
        <v>4234</v>
      </c>
      <c r="L209" s="95">
        <f>IF(C209=0,0,ROUNDDOWN(K209*C209,1))</f>
        <v>635.1</v>
      </c>
      <c r="M209" s="24" t="s">
        <v>1190</v>
      </c>
      <c r="N209" s="16" t="s">
        <v>1188</v>
      </c>
      <c r="O209" s="6" t="s">
        <v>1189</v>
      </c>
      <c r="P209" s="6" t="s">
        <v>1129</v>
      </c>
      <c r="Z209" s="19" t="str">
        <f ca="1">HYPERLINK("#"&amp;단가산출근거목록표!J2&amp;"!A"&amp;ROW(단가산출근거목록표!A7),"산근    4 →")</f>
        <v>산근    4 →</v>
      </c>
    </row>
    <row r="210" spans="1:26" ht="28.7" customHeight="1" x14ac:dyDescent="0.3">
      <c r="A210" s="24" t="s">
        <v>1171</v>
      </c>
      <c r="B210" s="58"/>
      <c r="C210" s="58"/>
      <c r="D210" s="58"/>
      <c r="E210" s="58"/>
      <c r="F210" s="55">
        <f>J210+H210+L210</f>
        <v>95396</v>
      </c>
      <c r="G210" s="58"/>
      <c r="H210" s="55">
        <f>ROUNDDOWN(SUMIF(P207:P209,O210,H207:H209),0)</f>
        <v>70407</v>
      </c>
      <c r="I210" s="58"/>
      <c r="J210" s="55">
        <f>ROUNDDOWN(SUMIF(P207:P209,O210,J207:J209),0)</f>
        <v>9866</v>
      </c>
      <c r="K210" s="58"/>
      <c r="L210" s="55">
        <f>ROUNDDOWN(SUMIF(P207:P209,O210,L207:L209),0)</f>
        <v>15123</v>
      </c>
      <c r="M210" s="58"/>
      <c r="O210" s="6" t="s">
        <v>1129</v>
      </c>
      <c r="P210" s="6" t="s">
        <v>1172</v>
      </c>
    </row>
    <row r="211" spans="1:26" ht="28.7" customHeight="1" x14ac:dyDescent="0.3">
      <c r="A211" s="13" t="s">
        <v>1173</v>
      </c>
      <c r="B211" s="13"/>
      <c r="C211" s="88">
        <v>88.5</v>
      </c>
      <c r="D211" s="13"/>
      <c r="E211" s="90"/>
      <c r="F211" s="74">
        <f>J211+H211+L211</f>
        <v>84424</v>
      </c>
      <c r="G211" s="90"/>
      <c r="H211" s="74">
        <f>ROUNDDOWN(H210*C211/100,0)</f>
        <v>62310</v>
      </c>
      <c r="I211" s="90"/>
      <c r="J211" s="74">
        <f>ROUNDDOWN(J210*C211/100,0)</f>
        <v>8731</v>
      </c>
      <c r="K211" s="90"/>
      <c r="L211" s="74">
        <f>ROUNDDOWN(L210*C211/100,0)</f>
        <v>13383</v>
      </c>
      <c r="M211" s="90"/>
      <c r="O211" s="6" t="s">
        <v>1172</v>
      </c>
    </row>
    <row r="212" spans="1:26" ht="28.7" customHeight="1" x14ac:dyDescent="0.3">
      <c r="A212" s="84" t="s">
        <v>116</v>
      </c>
      <c r="B212" s="84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36" t="str">
        <f>HYPERLINK("#N"&amp;ROW(N217),"_x0005_`BDCOD|B01224_x0007_`POSS|"&amp;ROW(N214)&amp;"_x0007_`POSE|"&amp;ROW(N217)&amp;"_x0007_`")</f>
        <v>_x0005_`BDCOD|B01224_x0007_`POSS|214_x0007_`POSE|217_x0007_`</v>
      </c>
    </row>
    <row r="213" spans="1:26" ht="28.7" customHeight="1" x14ac:dyDescent="0.3">
      <c r="A213" s="43" t="s">
        <v>118</v>
      </c>
      <c r="B213" s="43" t="s">
        <v>119</v>
      </c>
      <c r="C213" s="86"/>
      <c r="D213" s="89" t="s">
        <v>53</v>
      </c>
      <c r="E213" s="86"/>
      <c r="F213" s="86"/>
      <c r="G213" s="86"/>
      <c r="H213" s="86"/>
      <c r="I213" s="86"/>
      <c r="J213" s="86"/>
      <c r="K213" s="86"/>
      <c r="L213" s="86"/>
      <c r="M213" s="89" t="s">
        <v>120</v>
      </c>
      <c r="O213" s="6" t="s">
        <v>1260</v>
      </c>
    </row>
    <row r="214" spans="1:26" ht="28.7" customHeight="1" x14ac:dyDescent="0.3">
      <c r="A214" s="9" t="s">
        <v>470</v>
      </c>
      <c r="B214" s="9" t="s">
        <v>471</v>
      </c>
      <c r="C214" s="87">
        <v>3.5999999999999997E-2</v>
      </c>
      <c r="D214" s="33" t="s">
        <v>445</v>
      </c>
      <c r="E214" s="62">
        <f t="shared" ref="E214:F217" si="40">I214+G214+K214</f>
        <v>288000</v>
      </c>
      <c r="F214" s="91">
        <f t="shared" si="40"/>
        <v>10368</v>
      </c>
      <c r="G214" s="59">
        <v>0</v>
      </c>
      <c r="H214" s="92">
        <f>IF(C214=0,0,ROUNDDOWN(G214*C214,1))</f>
        <v>0</v>
      </c>
      <c r="I214" s="93">
        <f>재료비목록표!E11</f>
        <v>288000</v>
      </c>
      <c r="J214" s="94">
        <f>IF(C214=0,0,ROUNDDOWN(I214*C214,1))</f>
        <v>10368</v>
      </c>
      <c r="K214" s="59">
        <v>0</v>
      </c>
      <c r="L214" s="92">
        <f>IF(C214=0,0,ROUNDDOWN(K214*C214,1))</f>
        <v>0</v>
      </c>
      <c r="M214" s="24" t="s">
        <v>1263</v>
      </c>
      <c r="N214" s="16" t="s">
        <v>1261</v>
      </c>
      <c r="O214" s="6" t="s">
        <v>1262</v>
      </c>
      <c r="P214" s="6" t="s">
        <v>1129</v>
      </c>
      <c r="Z214" s="19" t="str">
        <f ca="1">HYPERLINK("#"&amp;재료비목록표!G2&amp;"!A"&amp;ROW(재료비목록표!A11),"자재    8 →")</f>
        <v>자재    8 →</v>
      </c>
    </row>
    <row r="215" spans="1:26" ht="28.7" customHeight="1" x14ac:dyDescent="0.3">
      <c r="A215" s="9" t="s">
        <v>42</v>
      </c>
      <c r="B215" s="9" t="s">
        <v>201</v>
      </c>
      <c r="C215" s="87">
        <v>1.4E-2</v>
      </c>
      <c r="D215" s="33" t="s">
        <v>14</v>
      </c>
      <c r="E215" s="62">
        <f t="shared" si="40"/>
        <v>67383</v>
      </c>
      <c r="F215" s="92">
        <f t="shared" si="40"/>
        <v>943.2</v>
      </c>
      <c r="G215" s="93">
        <f>단가산출근거목록표!F13</f>
        <v>66071</v>
      </c>
      <c r="H215" s="95">
        <f>IF(C215=0,0,ROUNDDOWN(G215*C215,1))</f>
        <v>924.9</v>
      </c>
      <c r="I215" s="93">
        <f>단가산출근거목록표!G13</f>
        <v>1008</v>
      </c>
      <c r="J215" s="95">
        <f>IF(C215=0,0,ROUNDDOWN(I215*C215,1))</f>
        <v>14.1</v>
      </c>
      <c r="K215" s="93">
        <f>단가산출근거목록표!H13</f>
        <v>304</v>
      </c>
      <c r="L215" s="95">
        <f>IF(C215=0,0,ROUNDDOWN(K215*C215,1))</f>
        <v>4.2</v>
      </c>
      <c r="M215" s="24" t="s">
        <v>1202</v>
      </c>
      <c r="N215" s="16" t="s">
        <v>1200</v>
      </c>
      <c r="O215" s="6" t="s">
        <v>1201</v>
      </c>
      <c r="P215" s="6" t="s">
        <v>1129</v>
      </c>
      <c r="Z215" s="19" t="str">
        <f ca="1">HYPERLINK("#"&amp;단가산출근거목록표!J2&amp;"!A"&amp;ROW(단가산출근거목록표!A13),"산근   10 →")</f>
        <v>산근   10 →</v>
      </c>
    </row>
    <row r="216" spans="1:26" ht="28.7" customHeight="1" x14ac:dyDescent="0.3">
      <c r="A216" s="9" t="s">
        <v>197</v>
      </c>
      <c r="B216" s="9" t="s">
        <v>198</v>
      </c>
      <c r="C216" s="87">
        <v>0.35</v>
      </c>
      <c r="D216" s="33" t="s">
        <v>26</v>
      </c>
      <c r="E216" s="62">
        <f t="shared" si="40"/>
        <v>36282</v>
      </c>
      <c r="F216" s="92">
        <f t="shared" si="40"/>
        <v>12698.6</v>
      </c>
      <c r="G216" s="93">
        <f>단가산출근거목록표!F12</f>
        <v>31636</v>
      </c>
      <c r="H216" s="95">
        <f>IF(C216=0,0,ROUNDDOWN(G216*C216,1))</f>
        <v>11072.6</v>
      </c>
      <c r="I216" s="93">
        <f>단가산출근거목록표!G12</f>
        <v>3697</v>
      </c>
      <c r="J216" s="95">
        <f>IF(C216=0,0,ROUNDDOWN(I216*C216,1))</f>
        <v>1293.9000000000001</v>
      </c>
      <c r="K216" s="93">
        <f>단가산출근거목록표!H12</f>
        <v>949</v>
      </c>
      <c r="L216" s="95">
        <f>IF(C216=0,0,ROUNDDOWN(K216*C216,1))</f>
        <v>332.1</v>
      </c>
      <c r="M216" s="24" t="s">
        <v>1266</v>
      </c>
      <c r="N216" s="16" t="s">
        <v>1264</v>
      </c>
      <c r="O216" s="6" t="s">
        <v>1265</v>
      </c>
      <c r="P216" s="6" t="s">
        <v>1129</v>
      </c>
      <c r="Z216" s="19" t="str">
        <f ca="1">HYPERLINK("#"&amp;단가산출근거목록표!J2&amp;"!A"&amp;ROW(단가산출근거목록표!A12),"산근    9 →")</f>
        <v>산근    9 →</v>
      </c>
    </row>
    <row r="217" spans="1:26" ht="28.7" customHeight="1" x14ac:dyDescent="0.3">
      <c r="A217" s="9" t="s">
        <v>18</v>
      </c>
      <c r="B217" s="9" t="s">
        <v>19</v>
      </c>
      <c r="C217" s="87">
        <v>19.8</v>
      </c>
      <c r="D217" s="33" t="s">
        <v>20</v>
      </c>
      <c r="E217" s="62">
        <f t="shared" si="40"/>
        <v>20714</v>
      </c>
      <c r="F217" s="92">
        <f t="shared" si="40"/>
        <v>410137.2</v>
      </c>
      <c r="G217" s="93">
        <f>일위대가목록표!F5</f>
        <v>20714</v>
      </c>
      <c r="H217" s="95">
        <f>IF(C217=0,0,ROUNDDOWN(G217*C217,1))</f>
        <v>410137.2</v>
      </c>
      <c r="I217" s="93">
        <f>일위대가목록표!G5</f>
        <v>0</v>
      </c>
      <c r="J217" s="95">
        <f>IF(C217=0,0,ROUNDDOWN(I217*C217,1))</f>
        <v>0</v>
      </c>
      <c r="K217" s="93">
        <f>일위대가목록표!H5</f>
        <v>0</v>
      </c>
      <c r="L217" s="95">
        <f>IF(C217=0,0,ROUNDDOWN(K217*C217,1))</f>
        <v>0</v>
      </c>
      <c r="M217" s="24" t="s">
        <v>1269</v>
      </c>
      <c r="N217" s="16" t="s">
        <v>1267</v>
      </c>
      <c r="O217" s="6" t="s">
        <v>1268</v>
      </c>
      <c r="P217" s="6" t="s">
        <v>1129</v>
      </c>
      <c r="Z217" s="19" t="str">
        <f ca="1">HYPERLINK("#"&amp;일위대가목록표!J2&amp;"!A"&amp;ROW(일위대가목록표!A5),"대가    2 →")</f>
        <v>대가    2 →</v>
      </c>
    </row>
    <row r="218" spans="1:26" ht="28.7" customHeight="1" x14ac:dyDescent="0.3">
      <c r="A218" s="24" t="s">
        <v>1171</v>
      </c>
      <c r="B218" s="58"/>
      <c r="C218" s="58"/>
      <c r="D218" s="58"/>
      <c r="E218" s="58"/>
      <c r="F218" s="55">
        <f>J218+H218+L218</f>
        <v>434146</v>
      </c>
      <c r="G218" s="58"/>
      <c r="H218" s="55">
        <f>ROUNDDOWN(SUMIF(P214:P217,O218,H214:H217),0)</f>
        <v>422134</v>
      </c>
      <c r="I218" s="58"/>
      <c r="J218" s="55">
        <f>ROUNDDOWN(SUMIF(P214:P217,O218,J214:J217),0)</f>
        <v>11676</v>
      </c>
      <c r="K218" s="58"/>
      <c r="L218" s="55">
        <f>ROUNDDOWN(SUMIF(P214:P217,O218,L214:L217),0)</f>
        <v>336</v>
      </c>
      <c r="M218" s="58"/>
      <c r="O218" s="6" t="s">
        <v>1129</v>
      </c>
      <c r="P218" s="6" t="s">
        <v>1172</v>
      </c>
    </row>
    <row r="219" spans="1:26" ht="28.7" customHeight="1" x14ac:dyDescent="0.3">
      <c r="A219" s="13" t="s">
        <v>1173</v>
      </c>
      <c r="B219" s="13"/>
      <c r="C219" s="88">
        <v>88.5</v>
      </c>
      <c r="D219" s="13"/>
      <c r="E219" s="90"/>
      <c r="F219" s="74">
        <f>J219+H219+L219</f>
        <v>384218</v>
      </c>
      <c r="G219" s="90"/>
      <c r="H219" s="74">
        <f>ROUNDDOWN(H218*C219/100,0)</f>
        <v>373588</v>
      </c>
      <c r="I219" s="90"/>
      <c r="J219" s="74">
        <f>ROUNDDOWN(J218*C219/100,0)</f>
        <v>10333</v>
      </c>
      <c r="K219" s="90"/>
      <c r="L219" s="74">
        <f>ROUNDDOWN(L218*C219/100,0)</f>
        <v>297</v>
      </c>
      <c r="M219" s="90"/>
      <c r="O219" s="6" t="s">
        <v>1172</v>
      </c>
    </row>
    <row r="220" spans="1:26" ht="28.7" customHeight="1" x14ac:dyDescent="0.3">
      <c r="A220" s="84" t="s">
        <v>121</v>
      </c>
      <c r="B220" s="84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36" t="str">
        <f>HYPERLINK("#N"&amp;ROW(N231),"_x0005_`BDCOD|B01225_x0007_`POSS|"&amp;ROW(N222)&amp;"_x0007_`POSE|"&amp;ROW(N231)&amp;"_x0007_`")</f>
        <v>_x0005_`BDCOD|B01225_x0007_`POSS|222_x0007_`POSE|231_x0007_`</v>
      </c>
    </row>
    <row r="221" spans="1:26" ht="28.7" customHeight="1" x14ac:dyDescent="0.3">
      <c r="A221" s="43" t="s">
        <v>123</v>
      </c>
      <c r="B221" s="43" t="s">
        <v>124</v>
      </c>
      <c r="C221" s="86"/>
      <c r="D221" s="89" t="s">
        <v>68</v>
      </c>
      <c r="E221" s="86"/>
      <c r="F221" s="86"/>
      <c r="G221" s="86"/>
      <c r="H221" s="86"/>
      <c r="I221" s="86"/>
      <c r="J221" s="86"/>
      <c r="K221" s="86"/>
      <c r="L221" s="86"/>
      <c r="M221" s="89" t="s">
        <v>125</v>
      </c>
      <c r="O221" s="6" t="s">
        <v>1270</v>
      </c>
    </row>
    <row r="222" spans="1:26" ht="28.7" customHeight="1" x14ac:dyDescent="0.3">
      <c r="A222" s="9" t="s">
        <v>586</v>
      </c>
      <c r="B222" s="9" t="s">
        <v>502</v>
      </c>
      <c r="C222" s="87">
        <v>2.09</v>
      </c>
      <c r="D222" s="33" t="s">
        <v>26</v>
      </c>
      <c r="E222" s="62">
        <f t="shared" ref="E222:E231" si="41">I222+G222+K222</f>
        <v>0</v>
      </c>
      <c r="F222" s="91">
        <f t="shared" ref="F222:F231" si="42">J222+H222+L222</f>
        <v>0</v>
      </c>
      <c r="G222" s="59">
        <v>0</v>
      </c>
      <c r="H222" s="92">
        <f t="shared" ref="H222:H231" si="43">IF(C222=0,0,ROUNDDOWN(G222*C222,1))</f>
        <v>0</v>
      </c>
      <c r="I222" s="93">
        <f>재료비목록표!E36</f>
        <v>0</v>
      </c>
      <c r="J222" s="94">
        <f t="shared" ref="J222:J231" si="44">IF(C222=0,0,ROUNDDOWN(I222*C222,1))</f>
        <v>0</v>
      </c>
      <c r="K222" s="59">
        <v>0</v>
      </c>
      <c r="L222" s="92">
        <f t="shared" ref="L222:L231" si="45">IF(C222=0,0,ROUNDDOWN(K222*C222,1))</f>
        <v>0</v>
      </c>
      <c r="M222" s="24" t="s">
        <v>1273</v>
      </c>
      <c r="N222" s="16" t="s">
        <v>1271</v>
      </c>
      <c r="O222" s="6" t="s">
        <v>1272</v>
      </c>
      <c r="P222" s="6" t="s">
        <v>1129</v>
      </c>
      <c r="Z222" s="19" t="str">
        <f ca="1">HYPERLINK("#"&amp;재료비목록표!G2&amp;"!A"&amp;ROW(재료비목록표!A36),"자재   33 →")</f>
        <v>자재   33 →</v>
      </c>
    </row>
    <row r="223" spans="1:26" ht="28.7" customHeight="1" x14ac:dyDescent="0.3">
      <c r="A223" s="9" t="s">
        <v>24</v>
      </c>
      <c r="B223" s="9" t="s">
        <v>25</v>
      </c>
      <c r="C223" s="87">
        <v>2.09</v>
      </c>
      <c r="D223" s="33" t="s">
        <v>26</v>
      </c>
      <c r="E223" s="62">
        <f t="shared" si="41"/>
        <v>52995</v>
      </c>
      <c r="F223" s="92">
        <f t="shared" si="42"/>
        <v>110759.40000000001</v>
      </c>
      <c r="G223" s="93">
        <f>일위대가목록표!F6</f>
        <v>39641</v>
      </c>
      <c r="H223" s="95">
        <f t="shared" si="43"/>
        <v>82849.600000000006</v>
      </c>
      <c r="I223" s="93">
        <f>일위대가목록표!G6</f>
        <v>4939</v>
      </c>
      <c r="J223" s="95">
        <f t="shared" si="44"/>
        <v>10322.5</v>
      </c>
      <c r="K223" s="93">
        <f>일위대가목록표!H6</f>
        <v>8415</v>
      </c>
      <c r="L223" s="95">
        <f t="shared" si="45"/>
        <v>17587.3</v>
      </c>
      <c r="M223" s="24" t="s">
        <v>1187</v>
      </c>
      <c r="N223" s="16" t="s">
        <v>1185</v>
      </c>
      <c r="O223" s="6" t="s">
        <v>1186</v>
      </c>
      <c r="P223" s="6" t="s">
        <v>1129</v>
      </c>
      <c r="Z223" s="19" t="str">
        <f ca="1">HYPERLINK("#"&amp;일위대가목록표!J2&amp;"!A"&amp;ROW(일위대가목록표!A6),"대가    3 →")</f>
        <v>대가    3 →</v>
      </c>
    </row>
    <row r="224" spans="1:26" ht="28.7" customHeight="1" x14ac:dyDescent="0.3">
      <c r="A224" s="9" t="s">
        <v>180</v>
      </c>
      <c r="B224" s="9" t="s">
        <v>177</v>
      </c>
      <c r="C224" s="87">
        <v>0.31</v>
      </c>
      <c r="D224" s="33" t="s">
        <v>14</v>
      </c>
      <c r="E224" s="62">
        <f t="shared" si="41"/>
        <v>24816</v>
      </c>
      <c r="F224" s="92">
        <f t="shared" si="42"/>
        <v>7692.8</v>
      </c>
      <c r="G224" s="93">
        <f>단가산출근거목록표!F7</f>
        <v>18084</v>
      </c>
      <c r="H224" s="95">
        <f t="shared" si="43"/>
        <v>5606</v>
      </c>
      <c r="I224" s="93">
        <f>단가산출근거목록표!G7</f>
        <v>2498</v>
      </c>
      <c r="J224" s="95">
        <f t="shared" si="44"/>
        <v>774.3</v>
      </c>
      <c r="K224" s="93">
        <f>단가산출근거목록표!H7</f>
        <v>4234</v>
      </c>
      <c r="L224" s="95">
        <f t="shared" si="45"/>
        <v>1312.5</v>
      </c>
      <c r="M224" s="24" t="s">
        <v>1190</v>
      </c>
      <c r="N224" s="16" t="s">
        <v>1188</v>
      </c>
      <c r="O224" s="6" t="s">
        <v>1189</v>
      </c>
      <c r="P224" s="6" t="s">
        <v>1129</v>
      </c>
      <c r="Z224" s="19" t="str">
        <f ca="1">HYPERLINK("#"&amp;단가산출근거목록표!J2&amp;"!A"&amp;ROW(단가산출근거목록표!A7),"산근    4 →")</f>
        <v>산근    4 →</v>
      </c>
    </row>
    <row r="225" spans="1:26" ht="28.7" customHeight="1" x14ac:dyDescent="0.3">
      <c r="A225" s="9" t="s">
        <v>172</v>
      </c>
      <c r="B225" s="9" t="s">
        <v>173</v>
      </c>
      <c r="C225" s="87">
        <v>0.75</v>
      </c>
      <c r="D225" s="33" t="s">
        <v>14</v>
      </c>
      <c r="E225" s="62">
        <f t="shared" si="41"/>
        <v>8328</v>
      </c>
      <c r="F225" s="92">
        <f t="shared" si="42"/>
        <v>6246</v>
      </c>
      <c r="G225" s="93">
        <f>단가산출근거목록표!F5</f>
        <v>6878</v>
      </c>
      <c r="H225" s="95">
        <f t="shared" si="43"/>
        <v>5158.5</v>
      </c>
      <c r="I225" s="93">
        <f>단가산출근거목록표!G5</f>
        <v>538</v>
      </c>
      <c r="J225" s="95">
        <f t="shared" si="44"/>
        <v>403.5</v>
      </c>
      <c r="K225" s="93">
        <f>단가산출근거목록표!H5</f>
        <v>912</v>
      </c>
      <c r="L225" s="95">
        <f t="shared" si="45"/>
        <v>684</v>
      </c>
      <c r="M225" s="24" t="s">
        <v>1193</v>
      </c>
      <c r="N225" s="16" t="s">
        <v>1191</v>
      </c>
      <c r="O225" s="6" t="s">
        <v>1192</v>
      </c>
      <c r="P225" s="6" t="s">
        <v>1129</v>
      </c>
      <c r="Z225" s="19" t="str">
        <f ca="1">HYPERLINK("#"&amp;단가산출근거목록표!J2&amp;"!A"&amp;ROW(단가산출근거목록표!A5),"산근    2 →")</f>
        <v>산근    2 →</v>
      </c>
    </row>
    <row r="226" spans="1:26" ht="28.7" customHeight="1" x14ac:dyDescent="0.3">
      <c r="A226" s="9" t="s">
        <v>176</v>
      </c>
      <c r="B226" s="9" t="s">
        <v>177</v>
      </c>
      <c r="C226" s="87">
        <v>0.75</v>
      </c>
      <c r="D226" s="33" t="s">
        <v>14</v>
      </c>
      <c r="E226" s="62">
        <f t="shared" si="41"/>
        <v>12701</v>
      </c>
      <c r="F226" s="92">
        <f t="shared" si="42"/>
        <v>9525.7000000000007</v>
      </c>
      <c r="G226" s="93">
        <f>단가산출근거목록표!F6</f>
        <v>7908</v>
      </c>
      <c r="H226" s="95">
        <f t="shared" si="43"/>
        <v>5931</v>
      </c>
      <c r="I226" s="93">
        <f>단가산출근거목록표!G6</f>
        <v>1963</v>
      </c>
      <c r="J226" s="95">
        <f t="shared" si="44"/>
        <v>1472.2</v>
      </c>
      <c r="K226" s="93">
        <f>단가산출근거목록표!H6</f>
        <v>2830</v>
      </c>
      <c r="L226" s="95">
        <f t="shared" si="45"/>
        <v>2122.5</v>
      </c>
      <c r="M226" s="24" t="s">
        <v>1196</v>
      </c>
      <c r="N226" s="16" t="s">
        <v>1194</v>
      </c>
      <c r="O226" s="6" t="s">
        <v>1195</v>
      </c>
      <c r="P226" s="6" t="s">
        <v>1129</v>
      </c>
      <c r="Z226" s="19" t="str">
        <f ca="1">HYPERLINK("#"&amp;단가산출근거목록표!J2&amp;"!A"&amp;ROW(단가산출근거목록표!A6),"산근    3 →")</f>
        <v>산근    3 →</v>
      </c>
    </row>
    <row r="227" spans="1:26" ht="28.7" customHeight="1" x14ac:dyDescent="0.3">
      <c r="A227" s="9" t="s">
        <v>475</v>
      </c>
      <c r="B227" s="9" t="s">
        <v>476</v>
      </c>
      <c r="C227" s="87">
        <v>0.87</v>
      </c>
      <c r="D227" s="33" t="s">
        <v>477</v>
      </c>
      <c r="E227" s="62">
        <f t="shared" si="41"/>
        <v>1912</v>
      </c>
      <c r="F227" s="91">
        <f t="shared" si="42"/>
        <v>1663.4</v>
      </c>
      <c r="G227" s="59">
        <v>0</v>
      </c>
      <c r="H227" s="92">
        <f t="shared" si="43"/>
        <v>0</v>
      </c>
      <c r="I227" s="93">
        <f>재료비목록표!E12</f>
        <v>1912</v>
      </c>
      <c r="J227" s="94">
        <f t="shared" si="44"/>
        <v>1663.4</v>
      </c>
      <c r="K227" s="59">
        <v>0</v>
      </c>
      <c r="L227" s="92">
        <f t="shared" si="45"/>
        <v>0</v>
      </c>
      <c r="M227" s="24" t="s">
        <v>1199</v>
      </c>
      <c r="N227" s="16" t="s">
        <v>1197</v>
      </c>
      <c r="O227" s="6" t="s">
        <v>1198</v>
      </c>
      <c r="P227" s="6" t="s">
        <v>1129</v>
      </c>
      <c r="Z227" s="19" t="str">
        <f ca="1">HYPERLINK("#"&amp;재료비목록표!G2&amp;"!A"&amp;ROW(재료비목록표!A12),"자재    9 →")</f>
        <v>자재    9 →</v>
      </c>
    </row>
    <row r="228" spans="1:26" ht="28.7" customHeight="1" x14ac:dyDescent="0.3">
      <c r="A228" s="9" t="s">
        <v>197</v>
      </c>
      <c r="B228" s="9" t="s">
        <v>198</v>
      </c>
      <c r="C228" s="87">
        <v>0.85</v>
      </c>
      <c r="D228" s="33" t="s">
        <v>26</v>
      </c>
      <c r="E228" s="62">
        <f t="shared" si="41"/>
        <v>36282</v>
      </c>
      <c r="F228" s="92">
        <f t="shared" si="42"/>
        <v>30839.599999999999</v>
      </c>
      <c r="G228" s="93">
        <f>단가산출근거목록표!F12</f>
        <v>31636</v>
      </c>
      <c r="H228" s="95">
        <f t="shared" si="43"/>
        <v>26890.6</v>
      </c>
      <c r="I228" s="93">
        <f>단가산출근거목록표!G12</f>
        <v>3697</v>
      </c>
      <c r="J228" s="95">
        <f t="shared" si="44"/>
        <v>3142.4</v>
      </c>
      <c r="K228" s="93">
        <f>단가산출근거목록표!H12</f>
        <v>949</v>
      </c>
      <c r="L228" s="95">
        <f t="shared" si="45"/>
        <v>806.6</v>
      </c>
      <c r="M228" s="24" t="s">
        <v>1266</v>
      </c>
      <c r="N228" s="16" t="s">
        <v>1264</v>
      </c>
      <c r="O228" s="6" t="s">
        <v>1265</v>
      </c>
      <c r="P228" s="6" t="s">
        <v>1129</v>
      </c>
      <c r="Z228" s="19" t="str">
        <f ca="1">HYPERLINK("#"&amp;단가산출근거목록표!J2&amp;"!A"&amp;ROW(단가산출근거목록표!A12),"산근    9 →")</f>
        <v>산근    9 →</v>
      </c>
    </row>
    <row r="229" spans="1:26" ht="28.7" customHeight="1" x14ac:dyDescent="0.3">
      <c r="A229" s="9" t="s">
        <v>216</v>
      </c>
      <c r="B229" s="9" t="s">
        <v>217</v>
      </c>
      <c r="C229" s="87">
        <v>0.31</v>
      </c>
      <c r="D229" s="33" t="s">
        <v>14</v>
      </c>
      <c r="E229" s="62">
        <f t="shared" si="41"/>
        <v>27665</v>
      </c>
      <c r="F229" s="92">
        <f t="shared" si="42"/>
        <v>8576</v>
      </c>
      <c r="G229" s="93">
        <f>단가산출근거목록표!F17</f>
        <v>22142</v>
      </c>
      <c r="H229" s="95">
        <f t="shared" si="43"/>
        <v>6864</v>
      </c>
      <c r="I229" s="93">
        <f>단가산출근거목록표!G17</f>
        <v>2285</v>
      </c>
      <c r="J229" s="95">
        <f t="shared" si="44"/>
        <v>708.3</v>
      </c>
      <c r="K229" s="93">
        <f>단가산출근거목록표!H17</f>
        <v>3238</v>
      </c>
      <c r="L229" s="95">
        <f t="shared" si="45"/>
        <v>1003.7</v>
      </c>
      <c r="M229" s="24" t="s">
        <v>1276</v>
      </c>
      <c r="N229" s="16" t="s">
        <v>1274</v>
      </c>
      <c r="O229" s="6" t="s">
        <v>1275</v>
      </c>
      <c r="P229" s="6" t="s">
        <v>1129</v>
      </c>
      <c r="Z229" s="19" t="str">
        <f ca="1">HYPERLINK("#"&amp;단가산출근거목록표!J2&amp;"!A"&amp;ROW(단가산출근거목록표!A17),"산근   14 →")</f>
        <v>산근   14 →</v>
      </c>
    </row>
    <row r="230" spans="1:26" ht="28.7" customHeight="1" x14ac:dyDescent="0.3">
      <c r="A230" s="9" t="s">
        <v>42</v>
      </c>
      <c r="B230" s="9" t="s">
        <v>201</v>
      </c>
      <c r="C230" s="87">
        <v>0.42</v>
      </c>
      <c r="D230" s="33" t="s">
        <v>14</v>
      </c>
      <c r="E230" s="62">
        <f t="shared" si="41"/>
        <v>67383</v>
      </c>
      <c r="F230" s="92">
        <f t="shared" si="42"/>
        <v>28300.699999999997</v>
      </c>
      <c r="G230" s="93">
        <f>단가산출근거목록표!F13</f>
        <v>66071</v>
      </c>
      <c r="H230" s="95">
        <f t="shared" si="43"/>
        <v>27749.8</v>
      </c>
      <c r="I230" s="93">
        <f>단가산출근거목록표!G13</f>
        <v>1008</v>
      </c>
      <c r="J230" s="95">
        <f t="shared" si="44"/>
        <v>423.3</v>
      </c>
      <c r="K230" s="93">
        <f>단가산출근거목록표!H13</f>
        <v>304</v>
      </c>
      <c r="L230" s="95">
        <f t="shared" si="45"/>
        <v>127.6</v>
      </c>
      <c r="M230" s="24" t="s">
        <v>1202</v>
      </c>
      <c r="N230" s="16" t="s">
        <v>1200</v>
      </c>
      <c r="O230" s="6" t="s">
        <v>1201</v>
      </c>
      <c r="P230" s="6" t="s">
        <v>1129</v>
      </c>
      <c r="Z230" s="19" t="str">
        <f ca="1">HYPERLINK("#"&amp;단가산출근거목록표!J2&amp;"!A"&amp;ROW(단가산출근거목록표!A13),"산근   10 →")</f>
        <v>산근   10 →</v>
      </c>
    </row>
    <row r="231" spans="1:26" ht="28.7" customHeight="1" x14ac:dyDescent="0.3">
      <c r="A231" s="9" t="s">
        <v>12</v>
      </c>
      <c r="B231" s="9" t="s">
        <v>13</v>
      </c>
      <c r="C231" s="87">
        <v>1.9E-2</v>
      </c>
      <c r="D231" s="33" t="s">
        <v>14</v>
      </c>
      <c r="E231" s="62">
        <f t="shared" si="41"/>
        <v>109259</v>
      </c>
      <c r="F231" s="92">
        <f t="shared" si="42"/>
        <v>2075.9</v>
      </c>
      <c r="G231" s="93">
        <f>일위대가목록표!F4</f>
        <v>109259</v>
      </c>
      <c r="H231" s="95">
        <f t="shared" si="43"/>
        <v>2075.9</v>
      </c>
      <c r="I231" s="93">
        <f>일위대가목록표!G4</f>
        <v>0</v>
      </c>
      <c r="J231" s="95">
        <f t="shared" si="44"/>
        <v>0</v>
      </c>
      <c r="K231" s="93">
        <f>일위대가목록표!H4</f>
        <v>0</v>
      </c>
      <c r="L231" s="95">
        <f t="shared" si="45"/>
        <v>0</v>
      </c>
      <c r="M231" s="24" t="s">
        <v>1205</v>
      </c>
      <c r="N231" s="16" t="s">
        <v>1203</v>
      </c>
      <c r="O231" s="6" t="s">
        <v>1204</v>
      </c>
      <c r="P231" s="6" t="s">
        <v>1129</v>
      </c>
      <c r="Z231" s="19" t="str">
        <f ca="1">HYPERLINK("#"&amp;일위대가목록표!J2&amp;"!A"&amp;ROW(일위대가목록표!A4),"대가    1 →")</f>
        <v>대가    1 →</v>
      </c>
    </row>
    <row r="232" spans="1:26" ht="28.7" customHeight="1" x14ac:dyDescent="0.3">
      <c r="A232" s="24" t="s">
        <v>1171</v>
      </c>
      <c r="B232" s="58"/>
      <c r="C232" s="58"/>
      <c r="D232" s="58"/>
      <c r="E232" s="58"/>
      <c r="F232" s="55">
        <f>J232+H232+L232</f>
        <v>205678</v>
      </c>
      <c r="G232" s="58"/>
      <c r="H232" s="55">
        <f>ROUNDDOWN(SUMIF(P222:P231,O232,H222:H231),0)</f>
        <v>163125</v>
      </c>
      <c r="I232" s="58"/>
      <c r="J232" s="55">
        <f>ROUNDDOWN(SUMIF(P222:P231,O232,J222:J231),0)</f>
        <v>18909</v>
      </c>
      <c r="K232" s="58"/>
      <c r="L232" s="55">
        <f>ROUNDDOWN(SUMIF(P222:P231,O232,L222:L231),0)</f>
        <v>23644</v>
      </c>
      <c r="M232" s="58"/>
      <c r="O232" s="6" t="s">
        <v>1129</v>
      </c>
      <c r="P232" s="6" t="s">
        <v>1172</v>
      </c>
    </row>
    <row r="233" spans="1:26" ht="28.7" customHeight="1" x14ac:dyDescent="0.3">
      <c r="A233" s="13" t="s">
        <v>1173</v>
      </c>
      <c r="B233" s="13"/>
      <c r="C233" s="88">
        <v>88.5</v>
      </c>
      <c r="D233" s="13"/>
      <c r="E233" s="90"/>
      <c r="F233" s="74">
        <f>J233+H233+L233</f>
        <v>182023</v>
      </c>
      <c r="G233" s="90"/>
      <c r="H233" s="74">
        <f>ROUNDDOWN(H232*C233/100,0)</f>
        <v>144365</v>
      </c>
      <c r="I233" s="90"/>
      <c r="J233" s="74">
        <f>ROUNDDOWN(J232*C233/100,0)</f>
        <v>16734</v>
      </c>
      <c r="K233" s="90"/>
      <c r="L233" s="74">
        <f>ROUNDDOWN(L232*C233/100,0)</f>
        <v>20924</v>
      </c>
      <c r="M233" s="90"/>
      <c r="O233" s="6" t="s">
        <v>1172</v>
      </c>
    </row>
    <row r="234" spans="1:26" ht="28.7" customHeight="1" x14ac:dyDescent="0.3">
      <c r="A234" s="84" t="s">
        <v>126</v>
      </c>
      <c r="B234" s="84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36" t="str">
        <f>HYPERLINK("#N"&amp;ROW(N242),"_x0005_`BDCOD|B01226_x0007_`POSS|"&amp;ROW(N236)&amp;"_x0007_`POSE|"&amp;ROW(N242)&amp;"_x0007_`")</f>
        <v>_x0005_`BDCOD|B01226_x0007_`POSS|236_x0007_`POSE|242_x0007_`</v>
      </c>
    </row>
    <row r="235" spans="1:26" ht="28.7" customHeight="1" x14ac:dyDescent="0.3">
      <c r="A235" s="43" t="s">
        <v>128</v>
      </c>
      <c r="B235" s="43" t="s">
        <v>129</v>
      </c>
      <c r="C235" s="86"/>
      <c r="D235" s="89" t="s">
        <v>68</v>
      </c>
      <c r="E235" s="86"/>
      <c r="F235" s="86"/>
      <c r="G235" s="86"/>
      <c r="H235" s="86"/>
      <c r="I235" s="86"/>
      <c r="J235" s="86"/>
      <c r="K235" s="86"/>
      <c r="L235" s="86"/>
      <c r="M235" s="89" t="s">
        <v>130</v>
      </c>
      <c r="O235" s="6" t="s">
        <v>1277</v>
      </c>
    </row>
    <row r="236" spans="1:26" ht="28.7" customHeight="1" x14ac:dyDescent="0.3">
      <c r="A236" s="9" t="s">
        <v>183</v>
      </c>
      <c r="B236" s="9" t="s">
        <v>184</v>
      </c>
      <c r="C236" s="87">
        <v>1.57</v>
      </c>
      <c r="D236" s="33" t="s">
        <v>26</v>
      </c>
      <c r="E236" s="62">
        <f t="shared" ref="E236:F242" si="46">I236+G236+K236</f>
        <v>30398</v>
      </c>
      <c r="F236" s="92">
        <f t="shared" si="46"/>
        <v>47724.7</v>
      </c>
      <c r="G236" s="93">
        <f>단가산출근거목록표!F8</f>
        <v>18289</v>
      </c>
      <c r="H236" s="95">
        <f t="shared" ref="H236:H242" si="47">IF(C236=0,0,ROUNDDOWN(G236*C236,1))</f>
        <v>28713.7</v>
      </c>
      <c r="I236" s="93">
        <f>단가산출근거목록표!G8</f>
        <v>5101</v>
      </c>
      <c r="J236" s="95">
        <f t="shared" ref="J236:J242" si="48">IF(C236=0,0,ROUNDDOWN(I236*C236,1))</f>
        <v>8008.5</v>
      </c>
      <c r="K236" s="93">
        <f>단가산출근거목록표!H8</f>
        <v>7008</v>
      </c>
      <c r="L236" s="95">
        <f t="shared" ref="L236:L242" si="49">IF(C236=0,0,ROUNDDOWN(K236*C236,1))</f>
        <v>11002.5</v>
      </c>
      <c r="M236" s="24" t="s">
        <v>1234</v>
      </c>
      <c r="N236" s="16" t="s">
        <v>1232</v>
      </c>
      <c r="O236" s="6" t="s">
        <v>1233</v>
      </c>
      <c r="P236" s="6" t="s">
        <v>1129</v>
      </c>
      <c r="Z236" s="19" t="str">
        <f ca="1">HYPERLINK("#"&amp;단가산출근거목록표!J2&amp;"!A"&amp;ROW(단가산출근거목록표!A8),"산근    5 →")</f>
        <v>산근    5 →</v>
      </c>
    </row>
    <row r="237" spans="1:26" ht="28.7" customHeight="1" x14ac:dyDescent="0.3">
      <c r="A237" s="9" t="s">
        <v>38</v>
      </c>
      <c r="B237" s="9" t="s">
        <v>25</v>
      </c>
      <c r="C237" s="87">
        <v>1.57</v>
      </c>
      <c r="D237" s="33" t="s">
        <v>26</v>
      </c>
      <c r="E237" s="62">
        <f t="shared" si="46"/>
        <v>68835</v>
      </c>
      <c r="F237" s="92">
        <f t="shared" si="46"/>
        <v>108070.8</v>
      </c>
      <c r="G237" s="93">
        <f>일위대가목록표!F9</f>
        <v>50534</v>
      </c>
      <c r="H237" s="95">
        <f t="shared" si="47"/>
        <v>79338.3</v>
      </c>
      <c r="I237" s="93">
        <f>일위대가목록표!G9</f>
        <v>6769</v>
      </c>
      <c r="J237" s="95">
        <f t="shared" si="48"/>
        <v>10627.3</v>
      </c>
      <c r="K237" s="93">
        <f>일위대가목록표!H9</f>
        <v>11532</v>
      </c>
      <c r="L237" s="95">
        <f t="shared" si="49"/>
        <v>18105.2</v>
      </c>
      <c r="M237" s="24" t="s">
        <v>1211</v>
      </c>
      <c r="N237" s="16" t="s">
        <v>1209</v>
      </c>
      <c r="O237" s="6" t="s">
        <v>1210</v>
      </c>
      <c r="P237" s="6" t="s">
        <v>1129</v>
      </c>
      <c r="Z237" s="19" t="str">
        <f ca="1">HYPERLINK("#"&amp;일위대가목록표!J2&amp;"!A"&amp;ROW(일위대가목록표!A9),"대가    6 →")</f>
        <v>대가    6 →</v>
      </c>
    </row>
    <row r="238" spans="1:26" ht="28.7" customHeight="1" x14ac:dyDescent="0.3">
      <c r="A238" s="9" t="s">
        <v>180</v>
      </c>
      <c r="B238" s="9" t="s">
        <v>177</v>
      </c>
      <c r="C238" s="87">
        <v>0.24</v>
      </c>
      <c r="D238" s="33" t="s">
        <v>14</v>
      </c>
      <c r="E238" s="62">
        <f t="shared" si="46"/>
        <v>24816</v>
      </c>
      <c r="F238" s="92">
        <f t="shared" si="46"/>
        <v>5955.7000000000007</v>
      </c>
      <c r="G238" s="93">
        <f>단가산출근거목록표!F7</f>
        <v>18084</v>
      </c>
      <c r="H238" s="95">
        <f t="shared" si="47"/>
        <v>4340.1000000000004</v>
      </c>
      <c r="I238" s="93">
        <f>단가산출근거목록표!G7</f>
        <v>2498</v>
      </c>
      <c r="J238" s="95">
        <f t="shared" si="48"/>
        <v>599.5</v>
      </c>
      <c r="K238" s="93">
        <f>단가산출근거목록표!H7</f>
        <v>4234</v>
      </c>
      <c r="L238" s="95">
        <f t="shared" si="49"/>
        <v>1016.1</v>
      </c>
      <c r="M238" s="24" t="s">
        <v>1190</v>
      </c>
      <c r="N238" s="16" t="s">
        <v>1188</v>
      </c>
      <c r="O238" s="6" t="s">
        <v>1189</v>
      </c>
      <c r="P238" s="6" t="s">
        <v>1129</v>
      </c>
      <c r="Z238" s="19" t="str">
        <f ca="1">HYPERLINK("#"&amp;단가산출근거목록표!J2&amp;"!A"&amp;ROW(단가산출근거목록표!A7),"산근    4 →")</f>
        <v>산근    4 →</v>
      </c>
    </row>
    <row r="239" spans="1:26" ht="28.7" customHeight="1" x14ac:dyDescent="0.3">
      <c r="A239" s="9" t="s">
        <v>176</v>
      </c>
      <c r="B239" s="9" t="s">
        <v>177</v>
      </c>
      <c r="C239" s="87">
        <v>0.56000000000000005</v>
      </c>
      <c r="D239" s="33" t="s">
        <v>14</v>
      </c>
      <c r="E239" s="62">
        <f t="shared" si="46"/>
        <v>12701</v>
      </c>
      <c r="F239" s="92">
        <f t="shared" si="46"/>
        <v>7112.4</v>
      </c>
      <c r="G239" s="93">
        <f>단가산출근거목록표!F6</f>
        <v>7908</v>
      </c>
      <c r="H239" s="95">
        <f t="shared" si="47"/>
        <v>4428.3999999999996</v>
      </c>
      <c r="I239" s="93">
        <f>단가산출근거목록표!G6</f>
        <v>1963</v>
      </c>
      <c r="J239" s="95">
        <f t="shared" si="48"/>
        <v>1099.2</v>
      </c>
      <c r="K239" s="93">
        <f>단가산출근거목록표!H6</f>
        <v>2830</v>
      </c>
      <c r="L239" s="95">
        <f t="shared" si="49"/>
        <v>1584.8</v>
      </c>
      <c r="M239" s="24" t="s">
        <v>1196</v>
      </c>
      <c r="N239" s="16" t="s">
        <v>1194</v>
      </c>
      <c r="O239" s="6" t="s">
        <v>1195</v>
      </c>
      <c r="P239" s="6" t="s">
        <v>1129</v>
      </c>
      <c r="Z239" s="19" t="str">
        <f ca="1">HYPERLINK("#"&amp;단가산출근거목록표!J2&amp;"!A"&amp;ROW(단가산출근거목록표!A6),"산근    3 →")</f>
        <v>산근    3 →</v>
      </c>
    </row>
    <row r="240" spans="1:26" ht="28.7" customHeight="1" x14ac:dyDescent="0.3">
      <c r="A240" s="9" t="s">
        <v>172</v>
      </c>
      <c r="B240" s="9" t="s">
        <v>173</v>
      </c>
      <c r="C240" s="87">
        <v>0.56000000000000005</v>
      </c>
      <c r="D240" s="33" t="s">
        <v>14</v>
      </c>
      <c r="E240" s="62">
        <f t="shared" si="46"/>
        <v>8328</v>
      </c>
      <c r="F240" s="92">
        <f t="shared" si="46"/>
        <v>4663.5</v>
      </c>
      <c r="G240" s="93">
        <f>단가산출근거목록표!F5</f>
        <v>6878</v>
      </c>
      <c r="H240" s="95">
        <f t="shared" si="47"/>
        <v>3851.6</v>
      </c>
      <c r="I240" s="93">
        <f>단가산출근거목록표!G5</f>
        <v>538</v>
      </c>
      <c r="J240" s="95">
        <f t="shared" si="48"/>
        <v>301.2</v>
      </c>
      <c r="K240" s="93">
        <f>단가산출근거목록표!H5</f>
        <v>912</v>
      </c>
      <c r="L240" s="95">
        <f t="shared" si="49"/>
        <v>510.7</v>
      </c>
      <c r="M240" s="24" t="s">
        <v>1193</v>
      </c>
      <c r="N240" s="16" t="s">
        <v>1191</v>
      </c>
      <c r="O240" s="6" t="s">
        <v>1192</v>
      </c>
      <c r="P240" s="6" t="s">
        <v>1129</v>
      </c>
      <c r="Z240" s="19" t="str">
        <f ca="1">HYPERLINK("#"&amp;단가산출근거목록표!J2&amp;"!A"&amp;ROW(단가산출근거목록표!A5),"산근    2 →")</f>
        <v>산근    2 →</v>
      </c>
    </row>
    <row r="241" spans="1:26" ht="28.7" customHeight="1" x14ac:dyDescent="0.3">
      <c r="A241" s="9" t="s">
        <v>197</v>
      </c>
      <c r="B241" s="9" t="s">
        <v>198</v>
      </c>
      <c r="C241" s="87">
        <v>0.85</v>
      </c>
      <c r="D241" s="33" t="s">
        <v>26</v>
      </c>
      <c r="E241" s="62">
        <f t="shared" si="46"/>
        <v>36282</v>
      </c>
      <c r="F241" s="92">
        <f t="shared" si="46"/>
        <v>30839.599999999999</v>
      </c>
      <c r="G241" s="93">
        <f>단가산출근거목록표!F12</f>
        <v>31636</v>
      </c>
      <c r="H241" s="95">
        <f t="shared" si="47"/>
        <v>26890.6</v>
      </c>
      <c r="I241" s="93">
        <f>단가산출근거목록표!G12</f>
        <v>3697</v>
      </c>
      <c r="J241" s="95">
        <f t="shared" si="48"/>
        <v>3142.4</v>
      </c>
      <c r="K241" s="93">
        <f>단가산출근거목록표!H12</f>
        <v>949</v>
      </c>
      <c r="L241" s="95">
        <f t="shared" si="49"/>
        <v>806.6</v>
      </c>
      <c r="M241" s="24" t="s">
        <v>1266</v>
      </c>
      <c r="N241" s="16" t="s">
        <v>1264</v>
      </c>
      <c r="O241" s="6" t="s">
        <v>1265</v>
      </c>
      <c r="P241" s="6" t="s">
        <v>1129</v>
      </c>
      <c r="Z241" s="19" t="str">
        <f ca="1">HYPERLINK("#"&amp;단가산출근거목록표!J2&amp;"!A"&amp;ROW(단가산출근거목록표!A12),"산근    9 →")</f>
        <v>산근    9 →</v>
      </c>
    </row>
    <row r="242" spans="1:26" ht="28.7" customHeight="1" x14ac:dyDescent="0.3">
      <c r="A242" s="9" t="s">
        <v>216</v>
      </c>
      <c r="B242" s="9" t="s">
        <v>217</v>
      </c>
      <c r="C242" s="87">
        <v>0.31</v>
      </c>
      <c r="D242" s="33" t="s">
        <v>14</v>
      </c>
      <c r="E242" s="62">
        <f t="shared" si="46"/>
        <v>27665</v>
      </c>
      <c r="F242" s="92">
        <f t="shared" si="46"/>
        <v>8576</v>
      </c>
      <c r="G242" s="93">
        <f>단가산출근거목록표!F17</f>
        <v>22142</v>
      </c>
      <c r="H242" s="95">
        <f t="shared" si="47"/>
        <v>6864</v>
      </c>
      <c r="I242" s="93">
        <f>단가산출근거목록표!G17</f>
        <v>2285</v>
      </c>
      <c r="J242" s="95">
        <f t="shared" si="48"/>
        <v>708.3</v>
      </c>
      <c r="K242" s="93">
        <f>단가산출근거목록표!H17</f>
        <v>3238</v>
      </c>
      <c r="L242" s="95">
        <f t="shared" si="49"/>
        <v>1003.7</v>
      </c>
      <c r="M242" s="24" t="s">
        <v>1276</v>
      </c>
      <c r="N242" s="16" t="s">
        <v>1274</v>
      </c>
      <c r="O242" s="6" t="s">
        <v>1275</v>
      </c>
      <c r="P242" s="6" t="s">
        <v>1129</v>
      </c>
      <c r="Z242" s="19" t="str">
        <f ca="1">HYPERLINK("#"&amp;단가산출근거목록표!J2&amp;"!A"&amp;ROW(단가산출근거목록표!A17),"산근   14 →")</f>
        <v>산근   14 →</v>
      </c>
    </row>
    <row r="243" spans="1:26" ht="28.7" customHeight="1" x14ac:dyDescent="0.3">
      <c r="A243" s="24" t="s">
        <v>1171</v>
      </c>
      <c r="B243" s="58"/>
      <c r="C243" s="58"/>
      <c r="D243" s="58"/>
      <c r="E243" s="58"/>
      <c r="F243" s="55">
        <f>J243+H243+L243</f>
        <v>212941</v>
      </c>
      <c r="G243" s="58"/>
      <c r="H243" s="55">
        <f>ROUNDDOWN(SUMIF(P236:P242,O243,H236:H242),0)</f>
        <v>154426</v>
      </c>
      <c r="I243" s="58"/>
      <c r="J243" s="55">
        <f>ROUNDDOWN(SUMIF(P236:P242,O243,J236:J242),0)</f>
        <v>24486</v>
      </c>
      <c r="K243" s="58"/>
      <c r="L243" s="55">
        <f>ROUNDDOWN(SUMIF(P236:P242,O243,L236:L242),0)</f>
        <v>34029</v>
      </c>
      <c r="M243" s="58"/>
      <c r="O243" s="6" t="s">
        <v>1129</v>
      </c>
      <c r="P243" s="6" t="s">
        <v>1172</v>
      </c>
    </row>
    <row r="244" spans="1:26" ht="28.7" customHeight="1" x14ac:dyDescent="0.3">
      <c r="A244" s="13" t="s">
        <v>1173</v>
      </c>
      <c r="B244" s="13"/>
      <c r="C244" s="88">
        <v>88.5</v>
      </c>
      <c r="D244" s="13"/>
      <c r="E244" s="90"/>
      <c r="F244" s="74">
        <f>J244+H244+L244</f>
        <v>188452</v>
      </c>
      <c r="G244" s="90"/>
      <c r="H244" s="74">
        <f>ROUNDDOWN(H243*C244/100,0)</f>
        <v>136667</v>
      </c>
      <c r="I244" s="90"/>
      <c r="J244" s="74">
        <f>ROUNDDOWN(J243*C244/100,0)</f>
        <v>21670</v>
      </c>
      <c r="K244" s="90"/>
      <c r="L244" s="74">
        <f>ROUNDDOWN(L243*C244/100,0)</f>
        <v>30115</v>
      </c>
      <c r="M244" s="90"/>
      <c r="O244" s="6" t="s">
        <v>1172</v>
      </c>
    </row>
    <row r="245" spans="1:26" ht="28.7" customHeight="1" x14ac:dyDescent="0.3">
      <c r="A245" s="84" t="s">
        <v>131</v>
      </c>
      <c r="B245" s="84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36" t="str">
        <f>HYPERLINK("#N"&amp;ROW(N253),"_x0005_`BDCOD|B01227_x0007_`POSS|"&amp;ROW(N247)&amp;"_x0007_`POSE|"&amp;ROW(N253)&amp;"_x0007_`")</f>
        <v>_x0005_`BDCOD|B01227_x0007_`POSS|247_x0007_`POSE|253_x0007_`</v>
      </c>
    </row>
    <row r="246" spans="1:26" ht="28.7" customHeight="1" x14ac:dyDescent="0.3">
      <c r="A246" s="43" t="s">
        <v>133</v>
      </c>
      <c r="B246" s="43" t="s">
        <v>129</v>
      </c>
      <c r="C246" s="86"/>
      <c r="D246" s="89" t="s">
        <v>68</v>
      </c>
      <c r="E246" s="86"/>
      <c r="F246" s="86"/>
      <c r="G246" s="86"/>
      <c r="H246" s="86"/>
      <c r="I246" s="86"/>
      <c r="J246" s="86"/>
      <c r="K246" s="86"/>
      <c r="L246" s="86"/>
      <c r="M246" s="89" t="s">
        <v>134</v>
      </c>
      <c r="O246" s="6" t="s">
        <v>1278</v>
      </c>
    </row>
    <row r="247" spans="1:26" ht="28.7" customHeight="1" x14ac:dyDescent="0.3">
      <c r="A247" s="9" t="s">
        <v>183</v>
      </c>
      <c r="B247" s="9" t="s">
        <v>184</v>
      </c>
      <c r="C247" s="87">
        <v>2.09</v>
      </c>
      <c r="D247" s="33" t="s">
        <v>26</v>
      </c>
      <c r="E247" s="62">
        <f t="shared" ref="E247:F253" si="50">I247+G247+K247</f>
        <v>30398</v>
      </c>
      <c r="F247" s="92">
        <f t="shared" si="50"/>
        <v>63531.7</v>
      </c>
      <c r="G247" s="93">
        <f>단가산출근거목록표!F8</f>
        <v>18289</v>
      </c>
      <c r="H247" s="95">
        <f t="shared" ref="H247:H253" si="51">IF(C247=0,0,ROUNDDOWN(G247*C247,1))</f>
        <v>38224</v>
      </c>
      <c r="I247" s="93">
        <f>단가산출근거목록표!G8</f>
        <v>5101</v>
      </c>
      <c r="J247" s="95">
        <f t="shared" ref="J247:J253" si="52">IF(C247=0,0,ROUNDDOWN(I247*C247,1))</f>
        <v>10661</v>
      </c>
      <c r="K247" s="93">
        <f>단가산출근거목록표!H8</f>
        <v>7008</v>
      </c>
      <c r="L247" s="95">
        <f t="shared" ref="L247:L253" si="53">IF(C247=0,0,ROUNDDOWN(K247*C247,1))</f>
        <v>14646.7</v>
      </c>
      <c r="M247" s="24" t="s">
        <v>1234</v>
      </c>
      <c r="N247" s="16" t="s">
        <v>1232</v>
      </c>
      <c r="O247" s="6" t="s">
        <v>1233</v>
      </c>
      <c r="P247" s="6" t="s">
        <v>1129</v>
      </c>
      <c r="Z247" s="19" t="str">
        <f ca="1">HYPERLINK("#"&amp;단가산출근거목록표!J2&amp;"!A"&amp;ROW(단가산출근거목록표!A8),"산근    5 →")</f>
        <v>산근    5 →</v>
      </c>
    </row>
    <row r="248" spans="1:26" ht="28.7" customHeight="1" x14ac:dyDescent="0.3">
      <c r="A248" s="9" t="s">
        <v>38</v>
      </c>
      <c r="B248" s="9" t="s">
        <v>25</v>
      </c>
      <c r="C248" s="87">
        <v>2.09</v>
      </c>
      <c r="D248" s="33" t="s">
        <v>26</v>
      </c>
      <c r="E248" s="62">
        <f t="shared" si="50"/>
        <v>68835</v>
      </c>
      <c r="F248" s="92">
        <f t="shared" si="50"/>
        <v>143865</v>
      </c>
      <c r="G248" s="93">
        <f>일위대가목록표!F9</f>
        <v>50534</v>
      </c>
      <c r="H248" s="95">
        <f t="shared" si="51"/>
        <v>105616</v>
      </c>
      <c r="I248" s="93">
        <f>일위대가목록표!G9</f>
        <v>6769</v>
      </c>
      <c r="J248" s="95">
        <f t="shared" si="52"/>
        <v>14147.2</v>
      </c>
      <c r="K248" s="93">
        <f>일위대가목록표!H9</f>
        <v>11532</v>
      </c>
      <c r="L248" s="95">
        <f t="shared" si="53"/>
        <v>24101.8</v>
      </c>
      <c r="M248" s="24" t="s">
        <v>1211</v>
      </c>
      <c r="N248" s="16" t="s">
        <v>1209</v>
      </c>
      <c r="O248" s="6" t="s">
        <v>1210</v>
      </c>
      <c r="P248" s="6" t="s">
        <v>1129</v>
      </c>
      <c r="Z248" s="19" t="str">
        <f ca="1">HYPERLINK("#"&amp;일위대가목록표!J2&amp;"!A"&amp;ROW(일위대가목록표!A9),"대가    6 →")</f>
        <v>대가    6 →</v>
      </c>
    </row>
    <row r="249" spans="1:26" ht="28.7" customHeight="1" x14ac:dyDescent="0.3">
      <c r="A249" s="9" t="s">
        <v>180</v>
      </c>
      <c r="B249" s="9" t="s">
        <v>177</v>
      </c>
      <c r="C249" s="87">
        <v>0.31</v>
      </c>
      <c r="D249" s="33" t="s">
        <v>14</v>
      </c>
      <c r="E249" s="62">
        <f t="shared" si="50"/>
        <v>24816</v>
      </c>
      <c r="F249" s="92">
        <f t="shared" si="50"/>
        <v>7692.8</v>
      </c>
      <c r="G249" s="93">
        <f>단가산출근거목록표!F7</f>
        <v>18084</v>
      </c>
      <c r="H249" s="95">
        <f t="shared" si="51"/>
        <v>5606</v>
      </c>
      <c r="I249" s="93">
        <f>단가산출근거목록표!G7</f>
        <v>2498</v>
      </c>
      <c r="J249" s="95">
        <f t="shared" si="52"/>
        <v>774.3</v>
      </c>
      <c r="K249" s="93">
        <f>단가산출근거목록표!H7</f>
        <v>4234</v>
      </c>
      <c r="L249" s="95">
        <f t="shared" si="53"/>
        <v>1312.5</v>
      </c>
      <c r="M249" s="24" t="s">
        <v>1190</v>
      </c>
      <c r="N249" s="16" t="s">
        <v>1188</v>
      </c>
      <c r="O249" s="6" t="s">
        <v>1189</v>
      </c>
      <c r="P249" s="6" t="s">
        <v>1129</v>
      </c>
      <c r="Z249" s="19" t="str">
        <f ca="1">HYPERLINK("#"&amp;단가산출근거목록표!J2&amp;"!A"&amp;ROW(단가산출근거목록표!A7),"산근    4 →")</f>
        <v>산근    4 →</v>
      </c>
    </row>
    <row r="250" spans="1:26" ht="28.7" customHeight="1" x14ac:dyDescent="0.3">
      <c r="A250" s="9" t="s">
        <v>176</v>
      </c>
      <c r="B250" s="9" t="s">
        <v>177</v>
      </c>
      <c r="C250" s="87">
        <v>0.75</v>
      </c>
      <c r="D250" s="33" t="s">
        <v>14</v>
      </c>
      <c r="E250" s="62">
        <f t="shared" si="50"/>
        <v>12701</v>
      </c>
      <c r="F250" s="92">
        <f t="shared" si="50"/>
        <v>9525.7000000000007</v>
      </c>
      <c r="G250" s="93">
        <f>단가산출근거목록표!F6</f>
        <v>7908</v>
      </c>
      <c r="H250" s="95">
        <f t="shared" si="51"/>
        <v>5931</v>
      </c>
      <c r="I250" s="93">
        <f>단가산출근거목록표!G6</f>
        <v>1963</v>
      </c>
      <c r="J250" s="95">
        <f t="shared" si="52"/>
        <v>1472.2</v>
      </c>
      <c r="K250" s="93">
        <f>단가산출근거목록표!H6</f>
        <v>2830</v>
      </c>
      <c r="L250" s="95">
        <f t="shared" si="53"/>
        <v>2122.5</v>
      </c>
      <c r="M250" s="24" t="s">
        <v>1196</v>
      </c>
      <c r="N250" s="16" t="s">
        <v>1194</v>
      </c>
      <c r="O250" s="6" t="s">
        <v>1195</v>
      </c>
      <c r="P250" s="6" t="s">
        <v>1129</v>
      </c>
      <c r="Z250" s="19" t="str">
        <f ca="1">HYPERLINK("#"&amp;단가산출근거목록표!J2&amp;"!A"&amp;ROW(단가산출근거목록표!A6),"산근    3 →")</f>
        <v>산근    3 →</v>
      </c>
    </row>
    <row r="251" spans="1:26" ht="28.7" customHeight="1" x14ac:dyDescent="0.3">
      <c r="A251" s="9" t="s">
        <v>172</v>
      </c>
      <c r="B251" s="9" t="s">
        <v>173</v>
      </c>
      <c r="C251" s="87">
        <v>0.75</v>
      </c>
      <c r="D251" s="33" t="s">
        <v>14</v>
      </c>
      <c r="E251" s="62">
        <f t="shared" si="50"/>
        <v>8328</v>
      </c>
      <c r="F251" s="92">
        <f t="shared" si="50"/>
        <v>6246</v>
      </c>
      <c r="G251" s="93">
        <f>단가산출근거목록표!F5</f>
        <v>6878</v>
      </c>
      <c r="H251" s="95">
        <f t="shared" si="51"/>
        <v>5158.5</v>
      </c>
      <c r="I251" s="93">
        <f>단가산출근거목록표!G5</f>
        <v>538</v>
      </c>
      <c r="J251" s="95">
        <f t="shared" si="52"/>
        <v>403.5</v>
      </c>
      <c r="K251" s="93">
        <f>단가산출근거목록표!H5</f>
        <v>912</v>
      </c>
      <c r="L251" s="95">
        <f t="shared" si="53"/>
        <v>684</v>
      </c>
      <c r="M251" s="24" t="s">
        <v>1193</v>
      </c>
      <c r="N251" s="16" t="s">
        <v>1191</v>
      </c>
      <c r="O251" s="6" t="s">
        <v>1192</v>
      </c>
      <c r="P251" s="6" t="s">
        <v>1129</v>
      </c>
      <c r="Z251" s="19" t="str">
        <f ca="1">HYPERLINK("#"&amp;단가산출근거목록표!J2&amp;"!A"&amp;ROW(단가산출근거목록표!A5),"산근    2 →")</f>
        <v>산근    2 →</v>
      </c>
    </row>
    <row r="252" spans="1:26" ht="28.7" customHeight="1" x14ac:dyDescent="0.3">
      <c r="A252" s="9" t="s">
        <v>197</v>
      </c>
      <c r="B252" s="9" t="s">
        <v>198</v>
      </c>
      <c r="C252" s="87">
        <v>0.85</v>
      </c>
      <c r="D252" s="33" t="s">
        <v>26</v>
      </c>
      <c r="E252" s="62">
        <f t="shared" si="50"/>
        <v>36282</v>
      </c>
      <c r="F252" s="92">
        <f t="shared" si="50"/>
        <v>30839.599999999999</v>
      </c>
      <c r="G252" s="93">
        <f>단가산출근거목록표!F12</f>
        <v>31636</v>
      </c>
      <c r="H252" s="95">
        <f t="shared" si="51"/>
        <v>26890.6</v>
      </c>
      <c r="I252" s="93">
        <f>단가산출근거목록표!G12</f>
        <v>3697</v>
      </c>
      <c r="J252" s="95">
        <f t="shared" si="52"/>
        <v>3142.4</v>
      </c>
      <c r="K252" s="93">
        <f>단가산출근거목록표!H12</f>
        <v>949</v>
      </c>
      <c r="L252" s="95">
        <f t="shared" si="53"/>
        <v>806.6</v>
      </c>
      <c r="M252" s="24" t="s">
        <v>1266</v>
      </c>
      <c r="N252" s="16" t="s">
        <v>1264</v>
      </c>
      <c r="O252" s="6" t="s">
        <v>1265</v>
      </c>
      <c r="P252" s="6" t="s">
        <v>1129</v>
      </c>
      <c r="Z252" s="19" t="str">
        <f ca="1">HYPERLINK("#"&amp;단가산출근거목록표!J2&amp;"!A"&amp;ROW(단가산출근거목록표!A12),"산근    9 →")</f>
        <v>산근    9 →</v>
      </c>
    </row>
    <row r="253" spans="1:26" ht="28.7" customHeight="1" x14ac:dyDescent="0.3">
      <c r="A253" s="9" t="s">
        <v>216</v>
      </c>
      <c r="B253" s="9" t="s">
        <v>217</v>
      </c>
      <c r="C253" s="87">
        <v>0.31</v>
      </c>
      <c r="D253" s="33" t="s">
        <v>14</v>
      </c>
      <c r="E253" s="62">
        <f t="shared" si="50"/>
        <v>27665</v>
      </c>
      <c r="F253" s="92">
        <f t="shared" si="50"/>
        <v>8576</v>
      </c>
      <c r="G253" s="93">
        <f>단가산출근거목록표!F17</f>
        <v>22142</v>
      </c>
      <c r="H253" s="95">
        <f t="shared" si="51"/>
        <v>6864</v>
      </c>
      <c r="I253" s="93">
        <f>단가산출근거목록표!G17</f>
        <v>2285</v>
      </c>
      <c r="J253" s="95">
        <f t="shared" si="52"/>
        <v>708.3</v>
      </c>
      <c r="K253" s="93">
        <f>단가산출근거목록표!H17</f>
        <v>3238</v>
      </c>
      <c r="L253" s="95">
        <f t="shared" si="53"/>
        <v>1003.7</v>
      </c>
      <c r="M253" s="24" t="s">
        <v>1276</v>
      </c>
      <c r="N253" s="16" t="s">
        <v>1274</v>
      </c>
      <c r="O253" s="6" t="s">
        <v>1275</v>
      </c>
      <c r="P253" s="6" t="s">
        <v>1129</v>
      </c>
      <c r="Z253" s="19" t="str">
        <f ca="1">HYPERLINK("#"&amp;단가산출근거목록표!J2&amp;"!A"&amp;ROW(단가산출근거목록표!A17),"산근   14 →")</f>
        <v>산근   14 →</v>
      </c>
    </row>
    <row r="254" spans="1:26" ht="28.7" customHeight="1" x14ac:dyDescent="0.3">
      <c r="A254" s="24" t="s">
        <v>1171</v>
      </c>
      <c r="B254" s="58"/>
      <c r="C254" s="58"/>
      <c r="D254" s="58"/>
      <c r="E254" s="58"/>
      <c r="F254" s="55">
        <f>J254+H254+L254</f>
        <v>270275</v>
      </c>
      <c r="G254" s="58"/>
      <c r="H254" s="55">
        <f>ROUNDDOWN(SUMIF(P247:P253,O254,H247:H253),0)</f>
        <v>194290</v>
      </c>
      <c r="I254" s="58"/>
      <c r="J254" s="55">
        <f>ROUNDDOWN(SUMIF(P247:P253,O254,J247:J253),0)</f>
        <v>31308</v>
      </c>
      <c r="K254" s="58"/>
      <c r="L254" s="55">
        <f>ROUNDDOWN(SUMIF(P247:P253,O254,L247:L253),0)</f>
        <v>44677</v>
      </c>
      <c r="M254" s="58"/>
      <c r="O254" s="6" t="s">
        <v>1129</v>
      </c>
      <c r="P254" s="6" t="s">
        <v>1172</v>
      </c>
    </row>
    <row r="255" spans="1:26" ht="28.7" customHeight="1" x14ac:dyDescent="0.3">
      <c r="A255" s="13" t="s">
        <v>1173</v>
      </c>
      <c r="B255" s="13"/>
      <c r="C255" s="88">
        <v>88.5</v>
      </c>
      <c r="D255" s="13"/>
      <c r="E255" s="90"/>
      <c r="F255" s="74">
        <f>J255+H255+L255</f>
        <v>239192</v>
      </c>
      <c r="G255" s="90"/>
      <c r="H255" s="74">
        <f>ROUNDDOWN(H254*C255/100,0)</f>
        <v>171946</v>
      </c>
      <c r="I255" s="90"/>
      <c r="J255" s="74">
        <f>ROUNDDOWN(J254*C255/100,0)</f>
        <v>27707</v>
      </c>
      <c r="K255" s="90"/>
      <c r="L255" s="74">
        <f>ROUNDDOWN(L254*C255/100,0)</f>
        <v>39539</v>
      </c>
      <c r="M255" s="90"/>
      <c r="O255" s="6" t="s">
        <v>1172</v>
      </c>
    </row>
    <row r="256" spans="1:26" ht="28.7" customHeight="1" x14ac:dyDescent="0.3">
      <c r="A256" s="84" t="s">
        <v>135</v>
      </c>
      <c r="B256" s="84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36" t="str">
        <f>HYPERLINK("#N"&amp;ROW(N262),"_x0005_`BDCOD|B01228_x0007_`POSS|"&amp;ROW(N258)&amp;"_x0007_`POSE|"&amp;ROW(N262)&amp;"_x0007_`")</f>
        <v>_x0005_`BDCOD|B01228_x0007_`POSS|258_x0007_`POSE|262_x0007_`</v>
      </c>
    </row>
    <row r="257" spans="1:26" ht="28.7" customHeight="1" x14ac:dyDescent="0.3">
      <c r="A257" s="43" t="s">
        <v>87</v>
      </c>
      <c r="B257" s="43" t="s">
        <v>137</v>
      </c>
      <c r="C257" s="86"/>
      <c r="D257" s="89" t="s">
        <v>68</v>
      </c>
      <c r="E257" s="86"/>
      <c r="F257" s="86"/>
      <c r="G257" s="86"/>
      <c r="H257" s="86"/>
      <c r="I257" s="86"/>
      <c r="J257" s="86"/>
      <c r="K257" s="86"/>
      <c r="L257" s="86"/>
      <c r="M257" s="89" t="s">
        <v>138</v>
      </c>
      <c r="O257" s="6" t="s">
        <v>1279</v>
      </c>
    </row>
    <row r="258" spans="1:26" ht="28.7" customHeight="1" x14ac:dyDescent="0.3">
      <c r="A258" s="9" t="s">
        <v>590</v>
      </c>
      <c r="B258" s="9" t="s">
        <v>502</v>
      </c>
      <c r="C258" s="87">
        <v>1</v>
      </c>
      <c r="D258" s="33" t="s">
        <v>477</v>
      </c>
      <c r="E258" s="62">
        <f t="shared" ref="E258:F262" si="54">I258+G258+K258</f>
        <v>0</v>
      </c>
      <c r="F258" s="91">
        <f t="shared" si="54"/>
        <v>0</v>
      </c>
      <c r="G258" s="59">
        <v>0</v>
      </c>
      <c r="H258" s="92">
        <f>IF(C258=0,0,ROUNDDOWN(G258*C258,1))</f>
        <v>0</v>
      </c>
      <c r="I258" s="93">
        <f>재료비목록표!E37</f>
        <v>0</v>
      </c>
      <c r="J258" s="94">
        <f>IF(C258=0,0,ROUNDDOWN(I258*C258,1))</f>
        <v>0</v>
      </c>
      <c r="K258" s="59">
        <v>0</v>
      </c>
      <c r="L258" s="92">
        <f>IF(C258=0,0,ROUNDDOWN(K258*C258,1))</f>
        <v>0</v>
      </c>
      <c r="M258" s="24" t="s">
        <v>1282</v>
      </c>
      <c r="N258" s="16" t="s">
        <v>1280</v>
      </c>
      <c r="O258" s="6" t="s">
        <v>1281</v>
      </c>
      <c r="P258" s="6" t="s">
        <v>1129</v>
      </c>
      <c r="Z258" s="19" t="str">
        <f ca="1">HYPERLINK("#"&amp;재료비목록표!G2&amp;"!A"&amp;ROW(재료비목록표!A37),"자재   34 →")</f>
        <v>자재   34 →</v>
      </c>
    </row>
    <row r="259" spans="1:26" ht="28.7" customHeight="1" x14ac:dyDescent="0.3">
      <c r="A259" s="9" t="s">
        <v>677</v>
      </c>
      <c r="B259" s="9"/>
      <c r="C259" s="87">
        <v>6.5000000000000002E-2</v>
      </c>
      <c r="D259" s="33" t="s">
        <v>650</v>
      </c>
      <c r="E259" s="62">
        <f t="shared" si="54"/>
        <v>243168</v>
      </c>
      <c r="F259" s="92">
        <f t="shared" si="54"/>
        <v>15805.9</v>
      </c>
      <c r="G259" s="93">
        <f>노무비목록표!E13</f>
        <v>243168</v>
      </c>
      <c r="H259" s="94">
        <f>IF(C259=0,0,ROUNDDOWN(G259*C259,1))</f>
        <v>15805.9</v>
      </c>
      <c r="I259" s="59">
        <v>0</v>
      </c>
      <c r="J259" s="91">
        <f>IF(C259=0,0,ROUNDDOWN(I259*C259,1))</f>
        <v>0</v>
      </c>
      <c r="K259" s="59">
        <v>0</v>
      </c>
      <c r="L259" s="92">
        <f>IF(C259=0,0,ROUNDDOWN(K259*C259,1))</f>
        <v>0</v>
      </c>
      <c r="M259" s="24" t="s">
        <v>1220</v>
      </c>
      <c r="N259" s="16" t="s">
        <v>1218</v>
      </c>
      <c r="O259" s="6" t="s">
        <v>1219</v>
      </c>
      <c r="P259" s="6" t="s">
        <v>1129</v>
      </c>
      <c r="Z259" s="19" t="str">
        <f ca="1">HYPERLINK("#"&amp;노무비목록표!G2&amp;"!A"&amp;ROW(노무비목록표!A13),"노무   10 →")</f>
        <v>노무   10 →</v>
      </c>
    </row>
    <row r="260" spans="1:26" ht="28.7" customHeight="1" x14ac:dyDescent="0.3">
      <c r="A260" s="9" t="s">
        <v>665</v>
      </c>
      <c r="B260" s="9"/>
      <c r="C260" s="87">
        <v>3.1660000000000001E-2</v>
      </c>
      <c r="D260" s="33" t="s">
        <v>650</v>
      </c>
      <c r="E260" s="62">
        <f t="shared" si="54"/>
        <v>165545</v>
      </c>
      <c r="F260" s="92">
        <f t="shared" si="54"/>
        <v>5241.1000000000004</v>
      </c>
      <c r="G260" s="93">
        <f>노무비목록표!E9</f>
        <v>165545</v>
      </c>
      <c r="H260" s="94">
        <f>IF(C260=0,0,ROUNDDOWN(G260*C260,1))</f>
        <v>5241.1000000000004</v>
      </c>
      <c r="I260" s="59">
        <v>0</v>
      </c>
      <c r="J260" s="91">
        <f>IF(C260=0,0,ROUNDDOWN(I260*C260,1))</f>
        <v>0</v>
      </c>
      <c r="K260" s="59">
        <v>0</v>
      </c>
      <c r="L260" s="92">
        <f>IF(C260=0,0,ROUNDDOWN(K260*C260,1))</f>
        <v>0</v>
      </c>
      <c r="M260" s="24" t="s">
        <v>1128</v>
      </c>
      <c r="N260" s="16" t="s">
        <v>1126</v>
      </c>
      <c r="O260" s="6" t="s">
        <v>1127</v>
      </c>
      <c r="P260" s="6" t="s">
        <v>1129</v>
      </c>
      <c r="Z260" s="19" t="str">
        <f ca="1">HYPERLINK("#"&amp;노무비목록표!G2&amp;"!A"&amp;ROW(노무비목록표!A9),"노무    6 →")</f>
        <v>노무    6 →</v>
      </c>
    </row>
    <row r="261" spans="1:26" ht="28.7" customHeight="1" x14ac:dyDescent="0.3">
      <c r="A261" s="9" t="s">
        <v>594</v>
      </c>
      <c r="B261" s="9" t="s">
        <v>595</v>
      </c>
      <c r="C261" s="87">
        <v>2</v>
      </c>
      <c r="D261" s="33" t="s">
        <v>483</v>
      </c>
      <c r="E261" s="62">
        <f t="shared" si="54"/>
        <v>21047</v>
      </c>
      <c r="F261" s="91">
        <f t="shared" si="54"/>
        <v>420.9</v>
      </c>
      <c r="G261" s="59">
        <v>0</v>
      </c>
      <c r="H261" s="91">
        <f>IF(C261=0,0,ROUNDDOWN(G261*C261/100,1))</f>
        <v>0</v>
      </c>
      <c r="I261" s="59">
        <v>21047</v>
      </c>
      <c r="J261" s="91">
        <f>IF(C261=0,0,ROUNDDOWN(I261*C261/100,1))</f>
        <v>420.9</v>
      </c>
      <c r="K261" s="59">
        <v>0</v>
      </c>
      <c r="L261" s="92">
        <f>IF(C261=0,0,ROUNDDOWN(K261*C261/100,1))</f>
        <v>0</v>
      </c>
      <c r="M261" s="24" t="s">
        <v>1285</v>
      </c>
      <c r="N261" s="16" t="s">
        <v>1283</v>
      </c>
      <c r="O261" s="6" t="s">
        <v>1284</v>
      </c>
      <c r="P261" s="6" t="s">
        <v>1129</v>
      </c>
      <c r="Z261" s="19" t="str">
        <f ca="1">HYPERLINK("#"&amp;재료비목록표!G2&amp;"!A"&amp;ROW(재료비목록표!A38),"자재   35 →")</f>
        <v>자재   35 →</v>
      </c>
    </row>
    <row r="262" spans="1:26" ht="28.7" customHeight="1" x14ac:dyDescent="0.3">
      <c r="A262" s="9" t="s">
        <v>382</v>
      </c>
      <c r="B262" s="9" t="s">
        <v>383</v>
      </c>
      <c r="C262" s="87">
        <v>5.833E-2</v>
      </c>
      <c r="D262" s="33" t="s">
        <v>347</v>
      </c>
      <c r="E262" s="62">
        <f t="shared" si="54"/>
        <v>65009</v>
      </c>
      <c r="F262" s="92">
        <f t="shared" si="54"/>
        <v>3791.8</v>
      </c>
      <c r="G262" s="93">
        <f>중기목록표!F15</f>
        <v>47231</v>
      </c>
      <c r="H262" s="95">
        <f>IF(C262=0,0,ROUNDDOWN(G262*C262,1))</f>
        <v>2754.9</v>
      </c>
      <c r="I262" s="93">
        <f>중기목록표!G15</f>
        <v>7784</v>
      </c>
      <c r="J262" s="95">
        <f>IF(C262=0,0,ROUNDDOWN(I262*C262,1))</f>
        <v>454</v>
      </c>
      <c r="K262" s="93">
        <f>중기목록표!H15</f>
        <v>9994</v>
      </c>
      <c r="L262" s="95">
        <f>IF(C262=0,0,ROUNDDOWN(K262*C262,1))</f>
        <v>582.9</v>
      </c>
      <c r="M262" s="24" t="s">
        <v>1226</v>
      </c>
      <c r="N262" s="16" t="s">
        <v>1286</v>
      </c>
      <c r="O262" s="6" t="s">
        <v>1225</v>
      </c>
      <c r="P262" s="6" t="s">
        <v>1129</v>
      </c>
      <c r="Z262" s="19" t="str">
        <f ca="1">HYPERLINK("#"&amp;중기목록표!J2&amp;"!A"&amp;ROW(중기목록표!A15),"중기   12 →")</f>
        <v>중기   12 →</v>
      </c>
    </row>
    <row r="263" spans="1:26" ht="28.7" customHeight="1" x14ac:dyDescent="0.3">
      <c r="A263" s="24" t="s">
        <v>1171</v>
      </c>
      <c r="B263" s="58"/>
      <c r="C263" s="58"/>
      <c r="D263" s="58"/>
      <c r="E263" s="58"/>
      <c r="F263" s="55">
        <f>J263+H263+L263</f>
        <v>25257</v>
      </c>
      <c r="G263" s="58"/>
      <c r="H263" s="55">
        <f>ROUNDDOWN(SUMIF(P258:P262,O263,H258:H262),0)</f>
        <v>23801</v>
      </c>
      <c r="I263" s="58"/>
      <c r="J263" s="55">
        <f>ROUNDDOWN(SUMIF(P258:P262,O263,J258:J262),0)</f>
        <v>874</v>
      </c>
      <c r="K263" s="58"/>
      <c r="L263" s="55">
        <f>ROUNDDOWN(SUMIF(P258:P262,O263,L258:L262),0)</f>
        <v>582</v>
      </c>
      <c r="M263" s="58"/>
      <c r="O263" s="6" t="s">
        <v>1129</v>
      </c>
      <c r="P263" s="6" t="s">
        <v>1172</v>
      </c>
    </row>
    <row r="264" spans="1:26" ht="28.7" customHeight="1" x14ac:dyDescent="0.3">
      <c r="A264" s="13" t="s">
        <v>1173</v>
      </c>
      <c r="B264" s="13"/>
      <c r="C264" s="88">
        <v>88.5</v>
      </c>
      <c r="D264" s="13"/>
      <c r="E264" s="90"/>
      <c r="F264" s="74">
        <f>J264+H264+L264</f>
        <v>22351</v>
      </c>
      <c r="G264" s="90"/>
      <c r="H264" s="74">
        <f>ROUNDDOWN(H263*C264/100,0)</f>
        <v>21063</v>
      </c>
      <c r="I264" s="90"/>
      <c r="J264" s="74">
        <f>ROUNDDOWN(J263*C264/100,0)</f>
        <v>773</v>
      </c>
      <c r="K264" s="90"/>
      <c r="L264" s="74">
        <f>ROUNDDOWN(L263*C264/100,0)</f>
        <v>515</v>
      </c>
      <c r="M264" s="90"/>
      <c r="O264" s="6" t="s">
        <v>1172</v>
      </c>
    </row>
    <row r="265" spans="1:26" ht="28.7" customHeight="1" x14ac:dyDescent="0.3">
      <c r="A265" s="84" t="s">
        <v>139</v>
      </c>
      <c r="B265" s="84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36" t="str">
        <f>HYPERLINK("#N"&amp;ROW(N274),"_x0005_`BDCOD|B01229_x0007_`POSS|"&amp;ROW(N267)&amp;"_x0007_`POSE|"&amp;ROW(N274)&amp;"_x0007_`")</f>
        <v>_x0005_`BDCOD|B01229_x0007_`POSS|267_x0007_`POSE|274_x0007_`</v>
      </c>
    </row>
    <row r="266" spans="1:26" ht="28.7" customHeight="1" x14ac:dyDescent="0.3">
      <c r="A266" s="43" t="s">
        <v>141</v>
      </c>
      <c r="B266" s="43" t="s">
        <v>142</v>
      </c>
      <c r="C266" s="86"/>
      <c r="D266" s="89" t="s">
        <v>26</v>
      </c>
      <c r="E266" s="86"/>
      <c r="F266" s="86"/>
      <c r="G266" s="86"/>
      <c r="H266" s="86"/>
      <c r="I266" s="86"/>
      <c r="J266" s="86"/>
      <c r="K266" s="86"/>
      <c r="L266" s="86"/>
      <c r="M266" s="89" t="s">
        <v>143</v>
      </c>
      <c r="O266" s="6" t="s">
        <v>1287</v>
      </c>
    </row>
    <row r="267" spans="1:26" ht="28.7" customHeight="1" x14ac:dyDescent="0.3">
      <c r="A267" s="9" t="s">
        <v>1115</v>
      </c>
      <c r="B267" s="9" t="s">
        <v>1288</v>
      </c>
      <c r="C267" s="87">
        <v>0</v>
      </c>
      <c r="D267" s="33"/>
      <c r="E267" s="23">
        <v>0</v>
      </c>
      <c r="F267" s="10">
        <v>0</v>
      </c>
      <c r="G267" s="45"/>
      <c r="H267" s="10">
        <v>0</v>
      </c>
      <c r="I267" s="45"/>
      <c r="J267" s="23">
        <v>0</v>
      </c>
      <c r="K267" s="50"/>
      <c r="L267" s="23">
        <v>0</v>
      </c>
      <c r="M267" s="24" t="s">
        <v>1119</v>
      </c>
      <c r="N267" s="16" t="s">
        <v>1117</v>
      </c>
      <c r="O267" s="6" t="s">
        <v>1118</v>
      </c>
      <c r="P267" s="6" t="s">
        <v>1118</v>
      </c>
    </row>
    <row r="268" spans="1:26" ht="28.7" customHeight="1" x14ac:dyDescent="0.3">
      <c r="A268" s="9" t="s">
        <v>599</v>
      </c>
      <c r="B268" s="9" t="s">
        <v>502</v>
      </c>
      <c r="C268" s="87">
        <v>1</v>
      </c>
      <c r="D268" s="33" t="s">
        <v>26</v>
      </c>
      <c r="E268" s="62">
        <f t="shared" ref="E268:F274" si="55">I268+G268+K268</f>
        <v>0</v>
      </c>
      <c r="F268" s="91">
        <f t="shared" si="55"/>
        <v>0</v>
      </c>
      <c r="G268" s="59">
        <v>0</v>
      </c>
      <c r="H268" s="92">
        <f t="shared" ref="H268:H274" si="56">IF(C268=0,0,ROUNDDOWN(G268*C268,1))</f>
        <v>0</v>
      </c>
      <c r="I268" s="93">
        <f>재료비목록표!E39</f>
        <v>0</v>
      </c>
      <c r="J268" s="94">
        <f t="shared" ref="J268:J274" si="57">IF(C268=0,0,ROUNDDOWN(I268*C268,1))</f>
        <v>0</v>
      </c>
      <c r="K268" s="59">
        <v>0</v>
      </c>
      <c r="L268" s="92">
        <f t="shared" ref="L268:L274" si="58">IF(C268=0,0,ROUNDDOWN(K268*C268,1))</f>
        <v>0</v>
      </c>
      <c r="M268" s="24" t="s">
        <v>1291</v>
      </c>
      <c r="N268" s="16" t="s">
        <v>1289</v>
      </c>
      <c r="O268" s="6" t="s">
        <v>1290</v>
      </c>
      <c r="P268" s="6" t="s">
        <v>1129</v>
      </c>
      <c r="Z268" s="19" t="str">
        <f ca="1">HYPERLINK("#"&amp;재료비목록표!G2&amp;"!A"&amp;ROW(재료비목록표!A39),"자재   36 →")</f>
        <v>자재   36 →</v>
      </c>
    </row>
    <row r="269" spans="1:26" ht="28.7" customHeight="1" x14ac:dyDescent="0.3">
      <c r="A269" s="9" t="s">
        <v>656</v>
      </c>
      <c r="B269" s="9"/>
      <c r="C269" s="87">
        <v>0.11</v>
      </c>
      <c r="D269" s="33" t="s">
        <v>650</v>
      </c>
      <c r="E269" s="62">
        <f t="shared" si="55"/>
        <v>258935</v>
      </c>
      <c r="F269" s="92">
        <f t="shared" si="55"/>
        <v>28482.799999999999</v>
      </c>
      <c r="G269" s="93">
        <f>노무비목록표!E6</f>
        <v>258935</v>
      </c>
      <c r="H269" s="94">
        <f t="shared" si="56"/>
        <v>28482.799999999999</v>
      </c>
      <c r="I269" s="59">
        <v>0</v>
      </c>
      <c r="J269" s="91">
        <f t="shared" si="57"/>
        <v>0</v>
      </c>
      <c r="K269" s="59">
        <v>0</v>
      </c>
      <c r="L269" s="92">
        <f t="shared" si="58"/>
        <v>0</v>
      </c>
      <c r="M269" s="24" t="s">
        <v>1133</v>
      </c>
      <c r="N269" s="16" t="s">
        <v>1131</v>
      </c>
      <c r="O269" s="6" t="s">
        <v>1132</v>
      </c>
      <c r="P269" s="6" t="s">
        <v>1129</v>
      </c>
      <c r="Z269" s="19" t="str">
        <f ca="1">HYPERLINK("#"&amp;노무비목록표!G2&amp;"!A"&amp;ROW(노무비목록표!A6),"노무    3 →")</f>
        <v>노무    3 →</v>
      </c>
    </row>
    <row r="270" spans="1:26" ht="28.7" customHeight="1" x14ac:dyDescent="0.3">
      <c r="A270" s="9" t="s">
        <v>665</v>
      </c>
      <c r="B270" s="9"/>
      <c r="C270" s="87">
        <v>0.04</v>
      </c>
      <c r="D270" s="33" t="s">
        <v>650</v>
      </c>
      <c r="E270" s="62">
        <f t="shared" si="55"/>
        <v>165545</v>
      </c>
      <c r="F270" s="92">
        <f t="shared" si="55"/>
        <v>6621.8</v>
      </c>
      <c r="G270" s="93">
        <f>노무비목록표!E9</f>
        <v>165545</v>
      </c>
      <c r="H270" s="94">
        <f t="shared" si="56"/>
        <v>6621.8</v>
      </c>
      <c r="I270" s="59">
        <v>0</v>
      </c>
      <c r="J270" s="91">
        <f t="shared" si="57"/>
        <v>0</v>
      </c>
      <c r="K270" s="59">
        <v>0</v>
      </c>
      <c r="L270" s="92">
        <f t="shared" si="58"/>
        <v>0</v>
      </c>
      <c r="M270" s="24" t="s">
        <v>1128</v>
      </c>
      <c r="N270" s="16" t="s">
        <v>1126</v>
      </c>
      <c r="O270" s="6" t="s">
        <v>1127</v>
      </c>
      <c r="P270" s="6" t="s">
        <v>1129</v>
      </c>
      <c r="Z270" s="19" t="str">
        <f ca="1">HYPERLINK("#"&amp;노무비목록표!G2&amp;"!A"&amp;ROW(노무비목록표!A9),"노무    6 →")</f>
        <v>노무    6 →</v>
      </c>
    </row>
    <row r="271" spans="1:26" ht="28.7" customHeight="1" x14ac:dyDescent="0.3">
      <c r="A271" s="9" t="s">
        <v>426</v>
      </c>
      <c r="B271" s="9" t="s">
        <v>427</v>
      </c>
      <c r="C271" s="87">
        <v>0.22</v>
      </c>
      <c r="D271" s="33" t="s">
        <v>347</v>
      </c>
      <c r="E271" s="62">
        <f t="shared" si="55"/>
        <v>105178</v>
      </c>
      <c r="F271" s="92">
        <f t="shared" si="55"/>
        <v>23139.1</v>
      </c>
      <c r="G271" s="93">
        <f>중기목록표!F28</f>
        <v>55700</v>
      </c>
      <c r="H271" s="95">
        <f t="shared" si="56"/>
        <v>12254</v>
      </c>
      <c r="I271" s="93">
        <f>중기목록표!G28</f>
        <v>18310</v>
      </c>
      <c r="J271" s="95">
        <f t="shared" si="57"/>
        <v>4028.2</v>
      </c>
      <c r="K271" s="93">
        <f>중기목록표!H28</f>
        <v>31168</v>
      </c>
      <c r="L271" s="95">
        <f t="shared" si="58"/>
        <v>6856.9</v>
      </c>
      <c r="M271" s="24" t="s">
        <v>1294</v>
      </c>
      <c r="N271" s="16" t="s">
        <v>1292</v>
      </c>
      <c r="O271" s="6" t="s">
        <v>1293</v>
      </c>
      <c r="P271" s="6" t="s">
        <v>1129</v>
      </c>
      <c r="Z271" s="19" t="str">
        <f ca="1">HYPERLINK("#"&amp;중기목록표!J2&amp;"!A"&amp;ROW(중기목록표!A28),"중기   25 →")</f>
        <v>중기   25 →</v>
      </c>
    </row>
    <row r="272" spans="1:26" ht="28.7" customHeight="1" x14ac:dyDescent="0.3">
      <c r="A272" s="9" t="s">
        <v>12</v>
      </c>
      <c r="B272" s="9" t="s">
        <v>13</v>
      </c>
      <c r="C272" s="87">
        <v>8.9999999999999993E-3</v>
      </c>
      <c r="D272" s="33" t="s">
        <v>14</v>
      </c>
      <c r="E272" s="62">
        <f t="shared" si="55"/>
        <v>109259</v>
      </c>
      <c r="F272" s="92">
        <f t="shared" si="55"/>
        <v>983.3</v>
      </c>
      <c r="G272" s="93">
        <f>일위대가목록표!F4</f>
        <v>109259</v>
      </c>
      <c r="H272" s="95">
        <f t="shared" si="56"/>
        <v>983.3</v>
      </c>
      <c r="I272" s="93">
        <f>일위대가목록표!G4</f>
        <v>0</v>
      </c>
      <c r="J272" s="95">
        <f t="shared" si="57"/>
        <v>0</v>
      </c>
      <c r="K272" s="93">
        <f>일위대가목록표!H4</f>
        <v>0</v>
      </c>
      <c r="L272" s="95">
        <f t="shared" si="58"/>
        <v>0</v>
      </c>
      <c r="M272" s="24" t="s">
        <v>1205</v>
      </c>
      <c r="N272" s="16" t="s">
        <v>1203</v>
      </c>
      <c r="O272" s="6" t="s">
        <v>1204</v>
      </c>
      <c r="P272" s="6" t="s">
        <v>1129</v>
      </c>
      <c r="Z272" s="19" t="str">
        <f ca="1">HYPERLINK("#"&amp;일위대가목록표!J2&amp;"!A"&amp;ROW(일위대가목록표!A4),"대가    1 →")</f>
        <v>대가    1 →</v>
      </c>
    </row>
    <row r="273" spans="1:26" ht="28.7" customHeight="1" x14ac:dyDescent="0.3">
      <c r="A273" s="9" t="s">
        <v>42</v>
      </c>
      <c r="B273" s="9" t="s">
        <v>201</v>
      </c>
      <c r="C273" s="87">
        <v>0.16</v>
      </c>
      <c r="D273" s="33" t="s">
        <v>14</v>
      </c>
      <c r="E273" s="62">
        <f t="shared" si="55"/>
        <v>67383</v>
      </c>
      <c r="F273" s="92">
        <f t="shared" si="55"/>
        <v>10781.1</v>
      </c>
      <c r="G273" s="93">
        <f>단가산출근거목록표!F13</f>
        <v>66071</v>
      </c>
      <c r="H273" s="95">
        <f t="shared" si="56"/>
        <v>10571.3</v>
      </c>
      <c r="I273" s="93">
        <f>단가산출근거목록표!G13</f>
        <v>1008</v>
      </c>
      <c r="J273" s="95">
        <f t="shared" si="57"/>
        <v>161.19999999999999</v>
      </c>
      <c r="K273" s="93">
        <f>단가산출근거목록표!H13</f>
        <v>304</v>
      </c>
      <c r="L273" s="95">
        <f t="shared" si="58"/>
        <v>48.6</v>
      </c>
      <c r="M273" s="24" t="s">
        <v>1202</v>
      </c>
      <c r="N273" s="16" t="s">
        <v>1200</v>
      </c>
      <c r="O273" s="6" t="s">
        <v>1201</v>
      </c>
      <c r="P273" s="6" t="s">
        <v>1129</v>
      </c>
      <c r="Z273" s="19" t="str">
        <f ca="1">HYPERLINK("#"&amp;단가산출근거목록표!J2&amp;"!A"&amp;ROW(단가산출근거목록표!A13),"산근   10 →")</f>
        <v>산근   10 →</v>
      </c>
    </row>
    <row r="274" spans="1:26" ht="28.7" customHeight="1" x14ac:dyDescent="0.3">
      <c r="A274" s="9" t="s">
        <v>180</v>
      </c>
      <c r="B274" s="9" t="s">
        <v>177</v>
      </c>
      <c r="C274" s="87">
        <v>0.12</v>
      </c>
      <c r="D274" s="33" t="s">
        <v>14</v>
      </c>
      <c r="E274" s="62">
        <f t="shared" si="55"/>
        <v>24816</v>
      </c>
      <c r="F274" s="92">
        <f t="shared" si="55"/>
        <v>2977.7</v>
      </c>
      <c r="G274" s="93">
        <f>단가산출근거목록표!F7</f>
        <v>18084</v>
      </c>
      <c r="H274" s="95">
        <f t="shared" si="56"/>
        <v>2170</v>
      </c>
      <c r="I274" s="93">
        <f>단가산출근거목록표!G7</f>
        <v>2498</v>
      </c>
      <c r="J274" s="95">
        <f t="shared" si="57"/>
        <v>299.7</v>
      </c>
      <c r="K274" s="93">
        <f>단가산출근거목록표!H7</f>
        <v>4234</v>
      </c>
      <c r="L274" s="95">
        <f t="shared" si="58"/>
        <v>508</v>
      </c>
      <c r="M274" s="24" t="s">
        <v>1190</v>
      </c>
      <c r="N274" s="16" t="s">
        <v>1188</v>
      </c>
      <c r="O274" s="6" t="s">
        <v>1189</v>
      </c>
      <c r="P274" s="6" t="s">
        <v>1129</v>
      </c>
      <c r="Z274" s="19" t="str">
        <f ca="1">HYPERLINK("#"&amp;단가산출근거목록표!J2&amp;"!A"&amp;ROW(단가산출근거목록표!A7),"산근    4 →")</f>
        <v>산근    4 →</v>
      </c>
    </row>
    <row r="275" spans="1:26" ht="28.7" customHeight="1" x14ac:dyDescent="0.3">
      <c r="A275" s="24" t="s">
        <v>1171</v>
      </c>
      <c r="B275" s="58"/>
      <c r="C275" s="58"/>
      <c r="D275" s="58"/>
      <c r="E275" s="58"/>
      <c r="F275" s="55">
        <f>J275+H275+L275</f>
        <v>72985</v>
      </c>
      <c r="G275" s="58"/>
      <c r="H275" s="55">
        <f>ROUNDDOWN(SUMIF(P267:P274,O275,H267:H274),0)</f>
        <v>61083</v>
      </c>
      <c r="I275" s="58"/>
      <c r="J275" s="55">
        <f>ROUNDDOWN(SUMIF(P267:P274,O275,J267:J274),0)</f>
        <v>4489</v>
      </c>
      <c r="K275" s="58"/>
      <c r="L275" s="55">
        <f>ROUNDDOWN(SUMIF(P267:P274,O275,L267:L274),0)</f>
        <v>7413</v>
      </c>
      <c r="M275" s="58"/>
      <c r="O275" s="6" t="s">
        <v>1129</v>
      </c>
      <c r="P275" s="6" t="s">
        <v>1172</v>
      </c>
    </row>
    <row r="276" spans="1:26" ht="28.7" customHeight="1" x14ac:dyDescent="0.3">
      <c r="A276" s="13" t="s">
        <v>1173</v>
      </c>
      <c r="B276" s="13"/>
      <c r="C276" s="88">
        <v>88.5</v>
      </c>
      <c r="D276" s="13"/>
      <c r="E276" s="90"/>
      <c r="F276" s="74">
        <f>J276+H276+L276</f>
        <v>64590</v>
      </c>
      <c r="G276" s="90"/>
      <c r="H276" s="74">
        <f>ROUNDDOWN(H275*C276/100,0)</f>
        <v>54058</v>
      </c>
      <c r="I276" s="90"/>
      <c r="J276" s="74">
        <f>ROUNDDOWN(J275*C276/100,0)</f>
        <v>3972</v>
      </c>
      <c r="K276" s="90"/>
      <c r="L276" s="74">
        <f>ROUNDDOWN(L275*C276/100,0)</f>
        <v>6560</v>
      </c>
      <c r="M276" s="90"/>
      <c r="O276" s="6" t="s">
        <v>1172</v>
      </c>
    </row>
    <row r="277" spans="1:26" ht="28.7" customHeight="1" x14ac:dyDescent="0.3">
      <c r="A277" s="84" t="s">
        <v>144</v>
      </c>
      <c r="B277" s="84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36" t="str">
        <f>HYPERLINK("#N"&amp;ROW(N284),"_x0005_`BDCOD|B01230_x0007_`POSS|"&amp;ROW(N279)&amp;"_x0007_`POSE|"&amp;ROW(N284)&amp;"_x0007_`")</f>
        <v>_x0005_`BDCOD|B01230_x0007_`POSS|279_x0007_`POSE|284_x0007_`</v>
      </c>
    </row>
    <row r="278" spans="1:26" ht="28.7" customHeight="1" x14ac:dyDescent="0.3">
      <c r="A278" s="43" t="s">
        <v>109</v>
      </c>
      <c r="B278" s="43" t="s">
        <v>146</v>
      </c>
      <c r="C278" s="86"/>
      <c r="D278" s="89" t="s">
        <v>26</v>
      </c>
      <c r="E278" s="86"/>
      <c r="F278" s="86"/>
      <c r="G278" s="86"/>
      <c r="H278" s="86"/>
      <c r="I278" s="86"/>
      <c r="J278" s="86"/>
      <c r="K278" s="86"/>
      <c r="L278" s="86"/>
      <c r="M278" s="89" t="s">
        <v>147</v>
      </c>
      <c r="O278" s="6" t="s">
        <v>1295</v>
      </c>
    </row>
    <row r="279" spans="1:26" ht="28.7" customHeight="1" x14ac:dyDescent="0.3">
      <c r="A279" s="9" t="s">
        <v>1115</v>
      </c>
      <c r="B279" s="9" t="s">
        <v>1296</v>
      </c>
      <c r="C279" s="87">
        <v>0</v>
      </c>
      <c r="D279" s="33"/>
      <c r="E279" s="23">
        <v>0</v>
      </c>
      <c r="F279" s="10">
        <v>0</v>
      </c>
      <c r="G279" s="45"/>
      <c r="H279" s="10">
        <v>0</v>
      </c>
      <c r="I279" s="45"/>
      <c r="J279" s="23">
        <v>0</v>
      </c>
      <c r="K279" s="50"/>
      <c r="L279" s="23">
        <v>0</v>
      </c>
      <c r="M279" s="24" t="s">
        <v>1119</v>
      </c>
      <c r="N279" s="16" t="s">
        <v>1117</v>
      </c>
      <c r="O279" s="6" t="s">
        <v>1118</v>
      </c>
      <c r="P279" s="6" t="s">
        <v>1118</v>
      </c>
    </row>
    <row r="280" spans="1:26" ht="28.7" customHeight="1" x14ac:dyDescent="0.3">
      <c r="A280" s="9" t="s">
        <v>183</v>
      </c>
      <c r="B280" s="9" t="s">
        <v>191</v>
      </c>
      <c r="C280" s="87">
        <v>1</v>
      </c>
      <c r="D280" s="33" t="s">
        <v>26</v>
      </c>
      <c r="E280" s="62">
        <f t="shared" ref="E280:F284" si="59">I280+G280+K280</f>
        <v>29098</v>
      </c>
      <c r="F280" s="92">
        <f t="shared" si="59"/>
        <v>29098</v>
      </c>
      <c r="G280" s="93">
        <f>단가산출근거목록표!F10</f>
        <v>17543</v>
      </c>
      <c r="H280" s="95">
        <f>IF(C280=0,0,ROUNDDOWN(G280*C280,1))</f>
        <v>17543</v>
      </c>
      <c r="I280" s="93">
        <f>단가산출근거목록표!G10</f>
        <v>4874</v>
      </c>
      <c r="J280" s="95">
        <f>IF(C280=0,0,ROUNDDOWN(I280*C280,1))</f>
        <v>4874</v>
      </c>
      <c r="K280" s="93">
        <f>단가산출근거목록표!H10</f>
        <v>6681</v>
      </c>
      <c r="L280" s="95">
        <f>IF(C280=0,0,ROUNDDOWN(K280*C280,1))</f>
        <v>6681</v>
      </c>
      <c r="M280" s="24" t="s">
        <v>1237</v>
      </c>
      <c r="N280" s="16" t="s">
        <v>1235</v>
      </c>
      <c r="O280" s="6" t="s">
        <v>1236</v>
      </c>
      <c r="P280" s="6" t="s">
        <v>1129</v>
      </c>
      <c r="Z280" s="19" t="str">
        <f ca="1">HYPERLINK("#"&amp;단가산출근거목록표!J2&amp;"!A"&amp;ROW(단가산출근거목록표!A10),"산근    7 →")</f>
        <v>산근    7 →</v>
      </c>
    </row>
    <row r="281" spans="1:26" ht="28.7" customHeight="1" x14ac:dyDescent="0.3">
      <c r="A281" s="9" t="s">
        <v>656</v>
      </c>
      <c r="B281" s="9"/>
      <c r="C281" s="87">
        <v>0.13</v>
      </c>
      <c r="D281" s="33" t="s">
        <v>650</v>
      </c>
      <c r="E281" s="62">
        <f t="shared" si="59"/>
        <v>258935</v>
      </c>
      <c r="F281" s="92">
        <f t="shared" si="59"/>
        <v>33661.5</v>
      </c>
      <c r="G281" s="93">
        <f>노무비목록표!E6</f>
        <v>258935</v>
      </c>
      <c r="H281" s="94">
        <f>IF(C281=0,0,ROUNDDOWN(G281*C281,1))</f>
        <v>33661.5</v>
      </c>
      <c r="I281" s="59">
        <v>0</v>
      </c>
      <c r="J281" s="91">
        <f>IF(C281=0,0,ROUNDDOWN(I281*C281,1))</f>
        <v>0</v>
      </c>
      <c r="K281" s="59">
        <v>0</v>
      </c>
      <c r="L281" s="92">
        <f>IF(C281=0,0,ROUNDDOWN(K281*C281,1))</f>
        <v>0</v>
      </c>
      <c r="M281" s="24" t="s">
        <v>1133</v>
      </c>
      <c r="N281" s="16" t="s">
        <v>1131</v>
      </c>
      <c r="O281" s="6" t="s">
        <v>1132</v>
      </c>
      <c r="P281" s="6" t="s">
        <v>1129</v>
      </c>
      <c r="Z281" s="19" t="str">
        <f ca="1">HYPERLINK("#"&amp;노무비목록표!G2&amp;"!A"&amp;ROW(노무비목록표!A6),"노무    3 →")</f>
        <v>노무    3 →</v>
      </c>
    </row>
    <row r="282" spans="1:26" ht="28.7" customHeight="1" x14ac:dyDescent="0.3">
      <c r="A282" s="9" t="s">
        <v>665</v>
      </c>
      <c r="B282" s="9"/>
      <c r="C282" s="87">
        <v>0.04</v>
      </c>
      <c r="D282" s="33" t="s">
        <v>650</v>
      </c>
      <c r="E282" s="62">
        <f t="shared" si="59"/>
        <v>165545</v>
      </c>
      <c r="F282" s="92">
        <f t="shared" si="59"/>
        <v>6621.8</v>
      </c>
      <c r="G282" s="93">
        <f>노무비목록표!E9</f>
        <v>165545</v>
      </c>
      <c r="H282" s="94">
        <f>IF(C282=0,0,ROUNDDOWN(G282*C282,1))</f>
        <v>6621.8</v>
      </c>
      <c r="I282" s="59">
        <v>0</v>
      </c>
      <c r="J282" s="91">
        <f>IF(C282=0,0,ROUNDDOWN(I282*C282,1))</f>
        <v>0</v>
      </c>
      <c r="K282" s="59">
        <v>0</v>
      </c>
      <c r="L282" s="92">
        <f>IF(C282=0,0,ROUNDDOWN(K282*C282,1))</f>
        <v>0</v>
      </c>
      <c r="M282" s="24" t="s">
        <v>1128</v>
      </c>
      <c r="N282" s="16" t="s">
        <v>1126</v>
      </c>
      <c r="O282" s="6" t="s">
        <v>1127</v>
      </c>
      <c r="P282" s="6" t="s">
        <v>1129</v>
      </c>
      <c r="Z282" s="19" t="str">
        <f ca="1">HYPERLINK("#"&amp;노무비목록표!G2&amp;"!A"&amp;ROW(노무비목록표!A9),"노무    6 →")</f>
        <v>노무    6 →</v>
      </c>
    </row>
    <row r="283" spans="1:26" ht="28.7" customHeight="1" x14ac:dyDescent="0.3">
      <c r="A283" s="9" t="s">
        <v>426</v>
      </c>
      <c r="B283" s="9" t="s">
        <v>427</v>
      </c>
      <c r="C283" s="87">
        <v>0.25</v>
      </c>
      <c r="D283" s="33" t="s">
        <v>347</v>
      </c>
      <c r="E283" s="62">
        <f t="shared" si="59"/>
        <v>105178</v>
      </c>
      <c r="F283" s="92">
        <f t="shared" si="59"/>
        <v>26294.5</v>
      </c>
      <c r="G283" s="93">
        <f>중기목록표!F28</f>
        <v>55700</v>
      </c>
      <c r="H283" s="95">
        <f>IF(C283=0,0,ROUNDDOWN(G283*C283,1))</f>
        <v>13925</v>
      </c>
      <c r="I283" s="93">
        <f>중기목록표!G28</f>
        <v>18310</v>
      </c>
      <c r="J283" s="95">
        <f>IF(C283=0,0,ROUNDDOWN(I283*C283,1))</f>
        <v>4577.5</v>
      </c>
      <c r="K283" s="93">
        <f>중기목록표!H28</f>
        <v>31168</v>
      </c>
      <c r="L283" s="95">
        <f>IF(C283=0,0,ROUNDDOWN(K283*C283,1))</f>
        <v>7792</v>
      </c>
      <c r="M283" s="24" t="s">
        <v>1294</v>
      </c>
      <c r="N283" s="16" t="s">
        <v>1292</v>
      </c>
      <c r="O283" s="6" t="s">
        <v>1293</v>
      </c>
      <c r="P283" s="6" t="s">
        <v>1129</v>
      </c>
      <c r="Z283" s="19" t="str">
        <f ca="1">HYPERLINK("#"&amp;중기목록표!J2&amp;"!A"&amp;ROW(중기목록표!A28),"중기   25 →")</f>
        <v>중기   25 →</v>
      </c>
    </row>
    <row r="284" spans="1:26" ht="28.7" customHeight="1" x14ac:dyDescent="0.3">
      <c r="A284" s="9" t="s">
        <v>180</v>
      </c>
      <c r="B284" s="9" t="s">
        <v>177</v>
      </c>
      <c r="C284" s="87">
        <v>0.12</v>
      </c>
      <c r="D284" s="33" t="s">
        <v>14</v>
      </c>
      <c r="E284" s="62">
        <f t="shared" si="59"/>
        <v>24816</v>
      </c>
      <c r="F284" s="92">
        <f t="shared" si="59"/>
        <v>2977.7</v>
      </c>
      <c r="G284" s="93">
        <f>단가산출근거목록표!F7</f>
        <v>18084</v>
      </c>
      <c r="H284" s="95">
        <f>IF(C284=0,0,ROUNDDOWN(G284*C284,1))</f>
        <v>2170</v>
      </c>
      <c r="I284" s="93">
        <f>단가산출근거목록표!G7</f>
        <v>2498</v>
      </c>
      <c r="J284" s="95">
        <f>IF(C284=0,0,ROUNDDOWN(I284*C284,1))</f>
        <v>299.7</v>
      </c>
      <c r="K284" s="93">
        <f>단가산출근거목록표!H7</f>
        <v>4234</v>
      </c>
      <c r="L284" s="95">
        <f>IF(C284=0,0,ROUNDDOWN(K284*C284,1))</f>
        <v>508</v>
      </c>
      <c r="M284" s="24" t="s">
        <v>1190</v>
      </c>
      <c r="N284" s="16" t="s">
        <v>1188</v>
      </c>
      <c r="O284" s="6" t="s">
        <v>1189</v>
      </c>
      <c r="P284" s="6" t="s">
        <v>1129</v>
      </c>
      <c r="Z284" s="19" t="str">
        <f ca="1">HYPERLINK("#"&amp;단가산출근거목록표!J2&amp;"!A"&amp;ROW(단가산출근거목록표!A7),"산근    4 →")</f>
        <v>산근    4 →</v>
      </c>
    </row>
    <row r="285" spans="1:26" ht="28.7" customHeight="1" x14ac:dyDescent="0.3">
      <c r="A285" s="24" t="s">
        <v>1171</v>
      </c>
      <c r="B285" s="58"/>
      <c r="C285" s="58"/>
      <c r="D285" s="58"/>
      <c r="E285" s="58"/>
      <c r="F285" s="55">
        <f>J285+H285+L285</f>
        <v>98653</v>
      </c>
      <c r="G285" s="58"/>
      <c r="H285" s="55">
        <f>ROUNDDOWN(SUMIF(P279:P284,O285,H279:H284),0)</f>
        <v>73921</v>
      </c>
      <c r="I285" s="58"/>
      <c r="J285" s="55">
        <f>ROUNDDOWN(SUMIF(P279:P284,O285,J279:J284),0)</f>
        <v>9751</v>
      </c>
      <c r="K285" s="58"/>
      <c r="L285" s="55">
        <f>ROUNDDOWN(SUMIF(P279:P284,O285,L279:L284),0)</f>
        <v>14981</v>
      </c>
      <c r="M285" s="58"/>
      <c r="O285" s="6" t="s">
        <v>1129</v>
      </c>
      <c r="P285" s="6" t="s">
        <v>1172</v>
      </c>
    </row>
    <row r="286" spans="1:26" ht="28.7" customHeight="1" x14ac:dyDescent="0.3">
      <c r="A286" s="13" t="s">
        <v>1173</v>
      </c>
      <c r="B286" s="13"/>
      <c r="C286" s="88">
        <v>88.5</v>
      </c>
      <c r="D286" s="13"/>
      <c r="E286" s="90"/>
      <c r="F286" s="74">
        <f>J286+H286+L286</f>
        <v>87307</v>
      </c>
      <c r="G286" s="90"/>
      <c r="H286" s="74">
        <f>ROUNDDOWN(H285*C286/100,0)</f>
        <v>65420</v>
      </c>
      <c r="I286" s="90"/>
      <c r="J286" s="74">
        <f>ROUNDDOWN(J285*C286/100,0)</f>
        <v>8629</v>
      </c>
      <c r="K286" s="90"/>
      <c r="L286" s="74">
        <f>ROUNDDOWN(L285*C286/100,0)</f>
        <v>13258</v>
      </c>
      <c r="M286" s="90"/>
      <c r="O286" s="6" t="s">
        <v>1172</v>
      </c>
    </row>
    <row r="287" spans="1:26" ht="28.7" customHeight="1" x14ac:dyDescent="0.3">
      <c r="A287" s="84" t="s">
        <v>148</v>
      </c>
      <c r="B287" s="84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36" t="str">
        <f>HYPERLINK("#N"&amp;ROW(N293),"_x0005_`BDCOD|B01231_x0007_`POSS|"&amp;ROW(N289)&amp;"_x0007_`POSE|"&amp;ROW(N293)&amp;"_x0007_`")</f>
        <v>_x0005_`BDCOD|B01231_x0007_`POSS|289_x0007_`POSE|293_x0007_`</v>
      </c>
    </row>
    <row r="288" spans="1:26" ht="28.7" customHeight="1" x14ac:dyDescent="0.3">
      <c r="A288" s="43" t="s">
        <v>80</v>
      </c>
      <c r="B288" s="43" t="s">
        <v>72</v>
      </c>
      <c r="C288" s="86"/>
      <c r="D288" s="89" t="s">
        <v>68</v>
      </c>
      <c r="E288" s="86"/>
      <c r="F288" s="86"/>
      <c r="G288" s="86"/>
      <c r="H288" s="86"/>
      <c r="I288" s="86"/>
      <c r="J288" s="86"/>
      <c r="K288" s="86"/>
      <c r="L288" s="86"/>
      <c r="M288" s="89" t="s">
        <v>150</v>
      </c>
      <c r="O288" s="6" t="s">
        <v>1297</v>
      </c>
    </row>
    <row r="289" spans="1:26" ht="28.7" customHeight="1" x14ac:dyDescent="0.3">
      <c r="A289" s="9" t="s">
        <v>536</v>
      </c>
      <c r="B289" s="9" t="s">
        <v>502</v>
      </c>
      <c r="C289" s="87">
        <v>2.09</v>
      </c>
      <c r="D289" s="33" t="s">
        <v>537</v>
      </c>
      <c r="E289" s="62">
        <f t="shared" ref="E289:F293" si="60">I289+G289+K289</f>
        <v>0</v>
      </c>
      <c r="F289" s="91">
        <f t="shared" si="60"/>
        <v>0</v>
      </c>
      <c r="G289" s="59">
        <v>0</v>
      </c>
      <c r="H289" s="92">
        <f>IF(C289=0,0,ROUNDDOWN(G289*C289,1))</f>
        <v>0</v>
      </c>
      <c r="I289" s="93">
        <f>재료비목록표!E25</f>
        <v>0</v>
      </c>
      <c r="J289" s="94">
        <f>IF(C289=0,0,ROUNDDOWN(I289*C289,1))</f>
        <v>0</v>
      </c>
      <c r="K289" s="59">
        <v>0</v>
      </c>
      <c r="L289" s="92">
        <f>IF(C289=0,0,ROUNDDOWN(K289*C289,1))</f>
        <v>0</v>
      </c>
      <c r="M289" s="24" t="s">
        <v>1184</v>
      </c>
      <c r="N289" s="16" t="s">
        <v>1182</v>
      </c>
      <c r="O289" s="6" t="s">
        <v>1183</v>
      </c>
      <c r="P289" s="6" t="s">
        <v>1129</v>
      </c>
      <c r="Z289" s="19" t="str">
        <f ca="1">HYPERLINK("#"&amp;재료비목록표!G2&amp;"!A"&amp;ROW(재료비목록표!A25),"자재   22 →")</f>
        <v>자재   22 →</v>
      </c>
    </row>
    <row r="290" spans="1:26" ht="28.7" customHeight="1" x14ac:dyDescent="0.3">
      <c r="A290" s="9" t="s">
        <v>38</v>
      </c>
      <c r="B290" s="9" t="s">
        <v>25</v>
      </c>
      <c r="C290" s="87">
        <v>2.09</v>
      </c>
      <c r="D290" s="33" t="s">
        <v>26</v>
      </c>
      <c r="E290" s="62">
        <f t="shared" si="60"/>
        <v>68835</v>
      </c>
      <c r="F290" s="92">
        <f t="shared" si="60"/>
        <v>143865</v>
      </c>
      <c r="G290" s="93">
        <f>일위대가목록표!F9</f>
        <v>50534</v>
      </c>
      <c r="H290" s="95">
        <f>IF(C290=0,0,ROUNDDOWN(G290*C290,1))</f>
        <v>105616</v>
      </c>
      <c r="I290" s="93">
        <f>일위대가목록표!G9</f>
        <v>6769</v>
      </c>
      <c r="J290" s="95">
        <f>IF(C290=0,0,ROUNDDOWN(I290*C290,1))</f>
        <v>14147.2</v>
      </c>
      <c r="K290" s="93">
        <f>일위대가목록표!H9</f>
        <v>11532</v>
      </c>
      <c r="L290" s="95">
        <f>IF(C290=0,0,ROUNDDOWN(K290*C290,1))</f>
        <v>24101.8</v>
      </c>
      <c r="M290" s="24" t="s">
        <v>1211</v>
      </c>
      <c r="N290" s="16" t="s">
        <v>1209</v>
      </c>
      <c r="O290" s="6" t="s">
        <v>1210</v>
      </c>
      <c r="P290" s="6" t="s">
        <v>1129</v>
      </c>
      <c r="Z290" s="19" t="str">
        <f ca="1">HYPERLINK("#"&amp;일위대가목록표!J2&amp;"!A"&amp;ROW(일위대가목록표!A9),"대가    6 →")</f>
        <v>대가    6 →</v>
      </c>
    </row>
    <row r="291" spans="1:26" ht="28.7" customHeight="1" x14ac:dyDescent="0.3">
      <c r="A291" s="9" t="s">
        <v>180</v>
      </c>
      <c r="B291" s="9" t="s">
        <v>177</v>
      </c>
      <c r="C291" s="87">
        <v>0.31</v>
      </c>
      <c r="D291" s="33" t="s">
        <v>14</v>
      </c>
      <c r="E291" s="62">
        <f t="shared" si="60"/>
        <v>24816</v>
      </c>
      <c r="F291" s="92">
        <f t="shared" si="60"/>
        <v>7692.8</v>
      </c>
      <c r="G291" s="93">
        <f>단가산출근거목록표!F7</f>
        <v>18084</v>
      </c>
      <c r="H291" s="95">
        <f>IF(C291=0,0,ROUNDDOWN(G291*C291,1))</f>
        <v>5606</v>
      </c>
      <c r="I291" s="93">
        <f>단가산출근거목록표!G7</f>
        <v>2498</v>
      </c>
      <c r="J291" s="95">
        <f>IF(C291=0,0,ROUNDDOWN(I291*C291,1))</f>
        <v>774.3</v>
      </c>
      <c r="K291" s="93">
        <f>단가산출근거목록표!H7</f>
        <v>4234</v>
      </c>
      <c r="L291" s="95">
        <f>IF(C291=0,0,ROUNDDOWN(K291*C291,1))</f>
        <v>1312.5</v>
      </c>
      <c r="M291" s="24" t="s">
        <v>1190</v>
      </c>
      <c r="N291" s="16" t="s">
        <v>1188</v>
      </c>
      <c r="O291" s="6" t="s">
        <v>1189</v>
      </c>
      <c r="P291" s="6" t="s">
        <v>1129</v>
      </c>
      <c r="Z291" s="19" t="str">
        <f ca="1">HYPERLINK("#"&amp;단가산출근거목록표!J2&amp;"!A"&amp;ROW(단가산출근거목록표!A7),"산근    4 →")</f>
        <v>산근    4 →</v>
      </c>
    </row>
    <row r="292" spans="1:26" ht="28.7" customHeight="1" x14ac:dyDescent="0.3">
      <c r="A292" s="9" t="s">
        <v>172</v>
      </c>
      <c r="B292" s="9" t="s">
        <v>173</v>
      </c>
      <c r="C292" s="87">
        <v>0.75</v>
      </c>
      <c r="D292" s="33" t="s">
        <v>14</v>
      </c>
      <c r="E292" s="62">
        <f t="shared" si="60"/>
        <v>8328</v>
      </c>
      <c r="F292" s="92">
        <f t="shared" si="60"/>
        <v>6246</v>
      </c>
      <c r="G292" s="93">
        <f>단가산출근거목록표!F5</f>
        <v>6878</v>
      </c>
      <c r="H292" s="95">
        <f>IF(C292=0,0,ROUNDDOWN(G292*C292,1))</f>
        <v>5158.5</v>
      </c>
      <c r="I292" s="93">
        <f>단가산출근거목록표!G5</f>
        <v>538</v>
      </c>
      <c r="J292" s="95">
        <f>IF(C292=0,0,ROUNDDOWN(I292*C292,1))</f>
        <v>403.5</v>
      </c>
      <c r="K292" s="93">
        <f>단가산출근거목록표!H5</f>
        <v>912</v>
      </c>
      <c r="L292" s="95">
        <f>IF(C292=0,0,ROUNDDOWN(K292*C292,1))</f>
        <v>684</v>
      </c>
      <c r="M292" s="24" t="s">
        <v>1193</v>
      </c>
      <c r="N292" s="16" t="s">
        <v>1191</v>
      </c>
      <c r="O292" s="6" t="s">
        <v>1192</v>
      </c>
      <c r="P292" s="6" t="s">
        <v>1129</v>
      </c>
      <c r="Z292" s="19" t="str">
        <f ca="1">HYPERLINK("#"&amp;단가산출근거목록표!J2&amp;"!A"&amp;ROW(단가산출근거목록표!A5),"산근    2 →")</f>
        <v>산근    2 →</v>
      </c>
    </row>
    <row r="293" spans="1:26" ht="28.7" customHeight="1" x14ac:dyDescent="0.3">
      <c r="A293" s="9" t="s">
        <v>176</v>
      </c>
      <c r="B293" s="9" t="s">
        <v>177</v>
      </c>
      <c r="C293" s="87">
        <v>0.75</v>
      </c>
      <c r="D293" s="33" t="s">
        <v>14</v>
      </c>
      <c r="E293" s="62">
        <f t="shared" si="60"/>
        <v>12701</v>
      </c>
      <c r="F293" s="92">
        <f t="shared" si="60"/>
        <v>9525.7000000000007</v>
      </c>
      <c r="G293" s="93">
        <f>단가산출근거목록표!F6</f>
        <v>7908</v>
      </c>
      <c r="H293" s="95">
        <f>IF(C293=0,0,ROUNDDOWN(G293*C293,1))</f>
        <v>5931</v>
      </c>
      <c r="I293" s="93">
        <f>단가산출근거목록표!G6</f>
        <v>1963</v>
      </c>
      <c r="J293" s="95">
        <f>IF(C293=0,0,ROUNDDOWN(I293*C293,1))</f>
        <v>1472.2</v>
      </c>
      <c r="K293" s="93">
        <f>단가산출근거목록표!H6</f>
        <v>2830</v>
      </c>
      <c r="L293" s="95">
        <f>IF(C293=0,0,ROUNDDOWN(K293*C293,1))</f>
        <v>2122.5</v>
      </c>
      <c r="M293" s="24" t="s">
        <v>1196</v>
      </c>
      <c r="N293" s="16" t="s">
        <v>1194</v>
      </c>
      <c r="O293" s="6" t="s">
        <v>1195</v>
      </c>
      <c r="P293" s="6" t="s">
        <v>1129</v>
      </c>
      <c r="Z293" s="19" t="str">
        <f ca="1">HYPERLINK("#"&amp;단가산출근거목록표!J2&amp;"!A"&amp;ROW(단가산출근거목록표!A6),"산근    3 →")</f>
        <v>산근    3 →</v>
      </c>
    </row>
    <row r="294" spans="1:26" ht="28.7" customHeight="1" x14ac:dyDescent="0.3">
      <c r="A294" s="24" t="s">
        <v>1171</v>
      </c>
      <c r="B294" s="58"/>
      <c r="C294" s="58"/>
      <c r="D294" s="58"/>
      <c r="E294" s="58"/>
      <c r="F294" s="55">
        <f>J294+H294+L294</f>
        <v>167328</v>
      </c>
      <c r="G294" s="58"/>
      <c r="H294" s="55">
        <f>ROUNDDOWN(SUMIF(P289:P293,O294,H289:H293),0)</f>
        <v>122311</v>
      </c>
      <c r="I294" s="58"/>
      <c r="J294" s="55">
        <f>ROUNDDOWN(SUMIF(P289:P293,O294,J289:J293),0)</f>
        <v>16797</v>
      </c>
      <c r="K294" s="58"/>
      <c r="L294" s="55">
        <f>ROUNDDOWN(SUMIF(P289:P293,O294,L289:L293),0)</f>
        <v>28220</v>
      </c>
      <c r="M294" s="58"/>
      <c r="O294" s="6" t="s">
        <v>1129</v>
      </c>
      <c r="P294" s="6" t="s">
        <v>1172</v>
      </c>
    </row>
    <row r="295" spans="1:26" ht="28.7" customHeight="1" x14ac:dyDescent="0.3">
      <c r="A295" s="13" t="s">
        <v>1173</v>
      </c>
      <c r="B295" s="13"/>
      <c r="C295" s="88">
        <v>88.5</v>
      </c>
      <c r="D295" s="13"/>
      <c r="E295" s="90"/>
      <c r="F295" s="74">
        <f>J295+H295+L295</f>
        <v>148084</v>
      </c>
      <c r="G295" s="90"/>
      <c r="H295" s="74">
        <f>ROUNDDOWN(H294*C295/100,0)</f>
        <v>108245</v>
      </c>
      <c r="I295" s="90"/>
      <c r="J295" s="74">
        <f>ROUNDDOWN(J294*C295/100,0)</f>
        <v>14865</v>
      </c>
      <c r="K295" s="90"/>
      <c r="L295" s="74">
        <f>ROUNDDOWN(L294*C295/100,0)</f>
        <v>24974</v>
      </c>
      <c r="M295" s="90"/>
      <c r="O295" s="6" t="s">
        <v>1172</v>
      </c>
    </row>
    <row r="296" spans="1:26" ht="28.7" customHeight="1" x14ac:dyDescent="0.3">
      <c r="A296" s="84" t="s">
        <v>151</v>
      </c>
      <c r="B296" s="84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36" t="str">
        <f>HYPERLINK("#N"&amp;ROW(N299),"_x0005_`BDCOD|B01232_x0007_`POSS|"&amp;ROW(N298)&amp;"_x0007_`POSE|"&amp;ROW(N299)&amp;"_x0007_`")</f>
        <v>_x0005_`BDCOD|B01232_x0007_`POSS|298_x0007_`POSE|299_x0007_`</v>
      </c>
    </row>
    <row r="297" spans="1:26" ht="28.7" customHeight="1" x14ac:dyDescent="0.3">
      <c r="A297" s="43" t="s">
        <v>153</v>
      </c>
      <c r="B297" s="43" t="s">
        <v>154</v>
      </c>
      <c r="C297" s="86"/>
      <c r="D297" s="89" t="s">
        <v>26</v>
      </c>
      <c r="E297" s="86"/>
      <c r="F297" s="86"/>
      <c r="G297" s="86"/>
      <c r="H297" s="86"/>
      <c r="I297" s="86"/>
      <c r="J297" s="86"/>
      <c r="K297" s="86"/>
      <c r="L297" s="86"/>
      <c r="M297" s="89" t="s">
        <v>155</v>
      </c>
      <c r="O297" s="6" t="s">
        <v>1298</v>
      </c>
    </row>
    <row r="298" spans="1:26" ht="28.7" customHeight="1" x14ac:dyDescent="0.3">
      <c r="A298" s="9" t="s">
        <v>42</v>
      </c>
      <c r="B298" s="9" t="s">
        <v>43</v>
      </c>
      <c r="C298" s="87">
        <v>0.2</v>
      </c>
      <c r="D298" s="33" t="s">
        <v>14</v>
      </c>
      <c r="E298" s="62">
        <f>I298+G298+K298</f>
        <v>122871</v>
      </c>
      <c r="F298" s="92">
        <f>J298+H298+L298</f>
        <v>24574.199999999997</v>
      </c>
      <c r="G298" s="93">
        <f>일위대가목록표!F10</f>
        <v>121559</v>
      </c>
      <c r="H298" s="95">
        <f>IF(C298=0,0,ROUNDDOWN(G298*C298,1))</f>
        <v>24311.8</v>
      </c>
      <c r="I298" s="93">
        <f>일위대가목록표!G10</f>
        <v>1008</v>
      </c>
      <c r="J298" s="95">
        <f>IF(C298=0,0,ROUNDDOWN(I298*C298,1))</f>
        <v>201.6</v>
      </c>
      <c r="K298" s="93">
        <f>일위대가목록표!H10</f>
        <v>304</v>
      </c>
      <c r="L298" s="95">
        <f>IF(C298=0,0,ROUNDDOWN(K298*C298,1))</f>
        <v>60.8</v>
      </c>
      <c r="M298" s="24" t="s">
        <v>1243</v>
      </c>
      <c r="N298" s="16" t="s">
        <v>1241</v>
      </c>
      <c r="O298" s="6" t="s">
        <v>1242</v>
      </c>
      <c r="P298" s="6" t="s">
        <v>1129</v>
      </c>
      <c r="Z298" s="19" t="str">
        <f ca="1">HYPERLINK("#"&amp;일위대가목록표!J2&amp;"!A"&amp;ROW(일위대가목록표!A10),"대가    7 →")</f>
        <v>대가    7 →</v>
      </c>
    </row>
    <row r="299" spans="1:26" ht="28.7" customHeight="1" x14ac:dyDescent="0.3">
      <c r="A299" s="9" t="s">
        <v>207</v>
      </c>
      <c r="B299" s="9" t="s">
        <v>208</v>
      </c>
      <c r="C299" s="87">
        <v>1</v>
      </c>
      <c r="D299" s="33" t="s">
        <v>26</v>
      </c>
      <c r="E299" s="62">
        <f>I299+G299+K299</f>
        <v>5621</v>
      </c>
      <c r="F299" s="92">
        <f>J299+H299+L299</f>
        <v>5621</v>
      </c>
      <c r="G299" s="93">
        <f>단가산출근거목록표!F15</f>
        <v>5458</v>
      </c>
      <c r="H299" s="95">
        <f>IF(C299=0,0,ROUNDDOWN(G299*C299,1))</f>
        <v>5458</v>
      </c>
      <c r="I299" s="93">
        <f>단가산출근거목록표!G15</f>
        <v>0</v>
      </c>
      <c r="J299" s="95">
        <f>IF(C299=0,0,ROUNDDOWN(I299*C299,1))</f>
        <v>0</v>
      </c>
      <c r="K299" s="93">
        <f>단가산출근거목록표!H15</f>
        <v>163</v>
      </c>
      <c r="L299" s="95">
        <f>IF(C299=0,0,ROUNDDOWN(K299*C299,1))</f>
        <v>163</v>
      </c>
      <c r="M299" s="24" t="s">
        <v>1301</v>
      </c>
      <c r="N299" s="16" t="s">
        <v>1299</v>
      </c>
      <c r="O299" s="6" t="s">
        <v>1300</v>
      </c>
      <c r="P299" s="6" t="s">
        <v>1129</v>
      </c>
      <c r="Z299" s="19" t="str">
        <f ca="1">HYPERLINK("#"&amp;단가산출근거목록표!J2&amp;"!A"&amp;ROW(단가산출근거목록표!A15),"산근   12 →")</f>
        <v>산근   12 →</v>
      </c>
    </row>
    <row r="300" spans="1:26" ht="28.7" customHeight="1" x14ac:dyDescent="0.3">
      <c r="A300" s="24" t="s">
        <v>1171</v>
      </c>
      <c r="B300" s="58"/>
      <c r="C300" s="58"/>
      <c r="D300" s="58"/>
      <c r="E300" s="58"/>
      <c r="F300" s="55">
        <f>J300+H300+L300</f>
        <v>30193</v>
      </c>
      <c r="G300" s="58"/>
      <c r="H300" s="55">
        <f>ROUNDDOWN(SUMIF(P298:P299,O300,H298:H299),0)</f>
        <v>29769</v>
      </c>
      <c r="I300" s="58"/>
      <c r="J300" s="55">
        <f>ROUNDDOWN(SUMIF(P298:P299,O300,J298:J299),0)</f>
        <v>201</v>
      </c>
      <c r="K300" s="58"/>
      <c r="L300" s="55">
        <f>ROUNDDOWN(SUMIF(P298:P299,O300,L298:L299),0)</f>
        <v>223</v>
      </c>
      <c r="M300" s="58"/>
      <c r="O300" s="6" t="s">
        <v>1129</v>
      </c>
      <c r="P300" s="6" t="s">
        <v>1172</v>
      </c>
    </row>
    <row r="301" spans="1:26" ht="28.7" customHeight="1" x14ac:dyDescent="0.3">
      <c r="A301" s="13" t="s">
        <v>1173</v>
      </c>
      <c r="B301" s="13"/>
      <c r="C301" s="88">
        <v>88.5</v>
      </c>
      <c r="D301" s="13"/>
      <c r="E301" s="90"/>
      <c r="F301" s="74">
        <f>J301+H301+L301</f>
        <v>26719</v>
      </c>
      <c r="G301" s="90"/>
      <c r="H301" s="74">
        <f>ROUNDDOWN(H300*C301/100,0)</f>
        <v>26345</v>
      </c>
      <c r="I301" s="90"/>
      <c r="J301" s="74">
        <f>ROUNDDOWN(J300*C301/100,0)</f>
        <v>177</v>
      </c>
      <c r="K301" s="90"/>
      <c r="L301" s="74">
        <f>ROUNDDOWN(L300*C301/100,0)</f>
        <v>197</v>
      </c>
      <c r="M301" s="90"/>
      <c r="O301" s="6" t="s">
        <v>1172</v>
      </c>
    </row>
    <row r="302" spans="1:26" ht="28.7" customHeight="1" x14ac:dyDescent="0.3">
      <c r="A302" s="84" t="s">
        <v>156</v>
      </c>
      <c r="B302" s="84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36" t="str">
        <f>HYPERLINK("#N"&amp;ROW(N306),"_x0005_`BDCOD|B01233_x0007_`POSS|"&amp;ROW(N304)&amp;"_x0007_`POSE|"&amp;ROW(N306)&amp;"_x0007_`")</f>
        <v>_x0005_`BDCOD|B01233_x0007_`POSS|304_x0007_`POSE|306_x0007_`</v>
      </c>
    </row>
    <row r="303" spans="1:26" ht="28.7" customHeight="1" x14ac:dyDescent="0.3">
      <c r="A303" s="43" t="s">
        <v>158</v>
      </c>
      <c r="B303" s="43" t="s">
        <v>159</v>
      </c>
      <c r="C303" s="86"/>
      <c r="D303" s="89" t="s">
        <v>68</v>
      </c>
      <c r="E303" s="86"/>
      <c r="F303" s="86"/>
      <c r="G303" s="86"/>
      <c r="H303" s="86"/>
      <c r="I303" s="86"/>
      <c r="J303" s="86"/>
      <c r="K303" s="86"/>
      <c r="L303" s="86"/>
      <c r="M303" s="89" t="s">
        <v>160</v>
      </c>
      <c r="O303" s="6" t="s">
        <v>1302</v>
      </c>
    </row>
    <row r="304" spans="1:26" ht="28.7" customHeight="1" x14ac:dyDescent="0.3">
      <c r="A304" s="9" t="s">
        <v>1115</v>
      </c>
      <c r="B304" s="9" t="s">
        <v>1303</v>
      </c>
      <c r="C304" s="87">
        <v>0</v>
      </c>
      <c r="D304" s="33"/>
      <c r="E304" s="23">
        <v>0</v>
      </c>
      <c r="F304" s="10">
        <v>0</v>
      </c>
      <c r="G304" s="45"/>
      <c r="H304" s="10">
        <v>0</v>
      </c>
      <c r="I304" s="45"/>
      <c r="J304" s="23">
        <v>0</v>
      </c>
      <c r="K304" s="50"/>
      <c r="L304" s="23">
        <v>0</v>
      </c>
      <c r="M304" s="24" t="s">
        <v>1119</v>
      </c>
      <c r="N304" s="16" t="s">
        <v>1117</v>
      </c>
      <c r="O304" s="6" t="s">
        <v>1118</v>
      </c>
      <c r="P304" s="6" t="s">
        <v>1118</v>
      </c>
    </row>
    <row r="305" spans="1:26" ht="28.7" customHeight="1" x14ac:dyDescent="0.3">
      <c r="A305" s="9" t="s">
        <v>197</v>
      </c>
      <c r="B305" s="9" t="s">
        <v>198</v>
      </c>
      <c r="C305" s="87">
        <v>0.4</v>
      </c>
      <c r="D305" s="33" t="s">
        <v>26</v>
      </c>
      <c r="E305" s="62">
        <f>I305+G305+K305</f>
        <v>36282</v>
      </c>
      <c r="F305" s="92">
        <f>J305+H305+L305</f>
        <v>14512.8</v>
      </c>
      <c r="G305" s="93">
        <f>단가산출근거목록표!F12</f>
        <v>31636</v>
      </c>
      <c r="H305" s="95">
        <f>IF(C305=0,0,ROUNDDOWN(G305*C305,1))</f>
        <v>12654.4</v>
      </c>
      <c r="I305" s="93">
        <f>단가산출근거목록표!G12</f>
        <v>3697</v>
      </c>
      <c r="J305" s="95">
        <f>IF(C305=0,0,ROUNDDOWN(I305*C305,1))</f>
        <v>1478.8</v>
      </c>
      <c r="K305" s="93">
        <f>단가산출근거목록표!H12</f>
        <v>949</v>
      </c>
      <c r="L305" s="95">
        <f>IF(C305=0,0,ROUNDDOWN(K305*C305,1))</f>
        <v>379.6</v>
      </c>
      <c r="M305" s="24" t="s">
        <v>1266</v>
      </c>
      <c r="N305" s="16" t="s">
        <v>1264</v>
      </c>
      <c r="O305" s="6" t="s">
        <v>1265</v>
      </c>
      <c r="P305" s="6" t="s">
        <v>1129</v>
      </c>
      <c r="Z305" s="19" t="str">
        <f ca="1">HYPERLINK("#"&amp;단가산출근거목록표!J2&amp;"!A"&amp;ROW(단가산출근거목록표!A12),"산근    9 →")</f>
        <v>산근    9 →</v>
      </c>
    </row>
    <row r="306" spans="1:26" ht="28.7" customHeight="1" x14ac:dyDescent="0.3">
      <c r="A306" s="9" t="s">
        <v>555</v>
      </c>
      <c r="B306" s="9" t="s">
        <v>556</v>
      </c>
      <c r="C306" s="87">
        <v>1</v>
      </c>
      <c r="D306" s="33" t="s">
        <v>477</v>
      </c>
      <c r="E306" s="62">
        <f>I306+G306+K306</f>
        <v>142</v>
      </c>
      <c r="F306" s="91">
        <f>J306+H306+L306</f>
        <v>142</v>
      </c>
      <c r="G306" s="59">
        <v>0</v>
      </c>
      <c r="H306" s="92">
        <f>IF(C306=0,0,ROUNDDOWN(G306*C306,1))</f>
        <v>0</v>
      </c>
      <c r="I306" s="93">
        <f>재료비목록표!E29</f>
        <v>142</v>
      </c>
      <c r="J306" s="94">
        <f>IF(C306=0,0,ROUNDDOWN(I306*C306,1))</f>
        <v>142</v>
      </c>
      <c r="K306" s="59">
        <v>0</v>
      </c>
      <c r="L306" s="92">
        <f>IF(C306=0,0,ROUNDDOWN(K306*C306,1))</f>
        <v>0</v>
      </c>
      <c r="M306" s="24" t="s">
        <v>1306</v>
      </c>
      <c r="N306" s="16" t="s">
        <v>1304</v>
      </c>
      <c r="O306" s="6" t="s">
        <v>1305</v>
      </c>
      <c r="P306" s="6" t="s">
        <v>1129</v>
      </c>
      <c r="Z306" s="19" t="str">
        <f ca="1">HYPERLINK("#"&amp;재료비목록표!G2&amp;"!A"&amp;ROW(재료비목록표!A29),"자재   26 →")</f>
        <v>자재   26 →</v>
      </c>
    </row>
    <row r="307" spans="1:26" ht="28.7" customHeight="1" x14ac:dyDescent="0.3">
      <c r="A307" s="24" t="s">
        <v>1171</v>
      </c>
      <c r="B307" s="58"/>
      <c r="C307" s="58"/>
      <c r="D307" s="58"/>
      <c r="E307" s="58"/>
      <c r="F307" s="55">
        <f>J307+H307+L307</f>
        <v>14653</v>
      </c>
      <c r="G307" s="58"/>
      <c r="H307" s="55">
        <f>ROUNDDOWN(SUMIF(P304:P306,O307,H304:H306),0)</f>
        <v>12654</v>
      </c>
      <c r="I307" s="58"/>
      <c r="J307" s="55">
        <f>ROUNDDOWN(SUMIF(P304:P306,O307,J304:J306),0)</f>
        <v>1620</v>
      </c>
      <c r="K307" s="58"/>
      <c r="L307" s="55">
        <f>ROUNDDOWN(SUMIF(P304:P306,O307,L304:L306),0)</f>
        <v>379</v>
      </c>
      <c r="M307" s="58"/>
      <c r="O307" s="6" t="s">
        <v>1129</v>
      </c>
      <c r="P307" s="6" t="s">
        <v>1172</v>
      </c>
    </row>
    <row r="308" spans="1:26" ht="28.7" customHeight="1" x14ac:dyDescent="0.3">
      <c r="A308" s="13" t="s">
        <v>1173</v>
      </c>
      <c r="B308" s="13"/>
      <c r="C308" s="88">
        <v>88.5</v>
      </c>
      <c r="D308" s="13"/>
      <c r="E308" s="90"/>
      <c r="F308" s="74">
        <f>J308+H308+L308</f>
        <v>12966</v>
      </c>
      <c r="G308" s="90"/>
      <c r="H308" s="74">
        <f>ROUNDDOWN(H307*C308/100,0)</f>
        <v>11198</v>
      </c>
      <c r="I308" s="90"/>
      <c r="J308" s="74">
        <f>ROUNDDOWN(J307*C308/100,0)</f>
        <v>1433</v>
      </c>
      <c r="K308" s="90"/>
      <c r="L308" s="74">
        <f>ROUNDDOWN(L307*C308/100,0)</f>
        <v>335</v>
      </c>
      <c r="M308" s="90"/>
      <c r="O308" s="6" t="s">
        <v>1172</v>
      </c>
    </row>
    <row r="309" spans="1:26" ht="28.7" customHeight="1" x14ac:dyDescent="0.3">
      <c r="A309" s="84" t="s">
        <v>161</v>
      </c>
      <c r="B309" s="84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36" t="str">
        <f>HYPERLINK("#N"&amp;ROW(N314),"_x0005_`BDCOD|B01234_x0007_`POSS|"&amp;ROW(N311)&amp;"_x0007_`POSE|"&amp;ROW(N314)&amp;"_x0007_`")</f>
        <v>_x0005_`BDCOD|B01234_x0007_`POSS|311_x0007_`POSE|314_x0007_`</v>
      </c>
    </row>
    <row r="310" spans="1:26" ht="28.7" customHeight="1" x14ac:dyDescent="0.3">
      <c r="A310" s="43" t="s">
        <v>163</v>
      </c>
      <c r="B310" s="43"/>
      <c r="C310" s="86"/>
      <c r="D310" s="89" t="s">
        <v>53</v>
      </c>
      <c r="E310" s="86"/>
      <c r="F310" s="86"/>
      <c r="G310" s="86"/>
      <c r="H310" s="86"/>
      <c r="I310" s="86"/>
      <c r="J310" s="86"/>
      <c r="K310" s="86"/>
      <c r="L310" s="86"/>
      <c r="M310" s="89" t="s">
        <v>164</v>
      </c>
      <c r="O310" s="6" t="s">
        <v>1307</v>
      </c>
    </row>
    <row r="311" spans="1:26" ht="28.7" customHeight="1" x14ac:dyDescent="0.3">
      <c r="A311" s="9" t="s">
        <v>211</v>
      </c>
      <c r="B311" s="9" t="s">
        <v>212</v>
      </c>
      <c r="C311" s="87">
        <v>7.7999999999999996E-3</v>
      </c>
      <c r="D311" s="33" t="s">
        <v>213</v>
      </c>
      <c r="E311" s="62">
        <f t="shared" ref="E311:F314" si="61">I311+G311+K311</f>
        <v>970987</v>
      </c>
      <c r="F311" s="92">
        <f t="shared" si="61"/>
        <v>7573.5999999999995</v>
      </c>
      <c r="G311" s="93">
        <f>단가산출근거목록표!F16</f>
        <v>922307</v>
      </c>
      <c r="H311" s="95">
        <f>IF(C311=0,0,ROUNDDOWN(G311*C311,1))</f>
        <v>7193.9</v>
      </c>
      <c r="I311" s="93">
        <f>단가산출근거목록표!G16</f>
        <v>13680</v>
      </c>
      <c r="J311" s="95">
        <f>IF(C311=0,0,ROUNDDOWN(I311*C311,1))</f>
        <v>106.7</v>
      </c>
      <c r="K311" s="93">
        <f>단가산출근거목록표!H16</f>
        <v>35000</v>
      </c>
      <c r="L311" s="95">
        <f>IF(C311=0,0,ROUNDDOWN(K311*C311,1))</f>
        <v>273</v>
      </c>
      <c r="M311" s="24" t="s">
        <v>1311</v>
      </c>
      <c r="N311" s="16" t="s">
        <v>1308</v>
      </c>
      <c r="O311" s="6" t="s">
        <v>1310</v>
      </c>
      <c r="P311" s="6" t="s">
        <v>1129</v>
      </c>
      <c r="Q311" s="6" t="s">
        <v>1309</v>
      </c>
      <c r="Z311" s="19" t="str">
        <f ca="1">HYPERLINK("#"&amp;단가산출근거목록표!J2&amp;"!A"&amp;ROW(단가산출근거목록표!A16),"산근   13 →")</f>
        <v>산근   13 →</v>
      </c>
    </row>
    <row r="312" spans="1:26" ht="28.7" customHeight="1" x14ac:dyDescent="0.3">
      <c r="A312" s="9" t="s">
        <v>42</v>
      </c>
      <c r="B312" s="9" t="s">
        <v>43</v>
      </c>
      <c r="C312" s="87">
        <v>0.32</v>
      </c>
      <c r="D312" s="33" t="s">
        <v>14</v>
      </c>
      <c r="E312" s="62">
        <f t="shared" si="61"/>
        <v>122871</v>
      </c>
      <c r="F312" s="92">
        <f t="shared" si="61"/>
        <v>39318.5</v>
      </c>
      <c r="G312" s="93">
        <f>일위대가목록표!F10</f>
        <v>121559</v>
      </c>
      <c r="H312" s="95">
        <f>IF(C312=0,0,ROUNDDOWN(G312*C312,1))</f>
        <v>38898.800000000003</v>
      </c>
      <c r="I312" s="93">
        <f>일위대가목록표!G10</f>
        <v>1008</v>
      </c>
      <c r="J312" s="95">
        <f>IF(C312=0,0,ROUNDDOWN(I312*C312,1))</f>
        <v>322.5</v>
      </c>
      <c r="K312" s="93">
        <f>일위대가목록표!H10</f>
        <v>304</v>
      </c>
      <c r="L312" s="95">
        <f>IF(C312=0,0,ROUNDDOWN(K312*C312,1))</f>
        <v>97.2</v>
      </c>
      <c r="M312" s="24" t="s">
        <v>1243</v>
      </c>
      <c r="N312" s="16" t="s">
        <v>1241</v>
      </c>
      <c r="O312" s="6" t="s">
        <v>1242</v>
      </c>
      <c r="P312" s="6" t="s">
        <v>1129</v>
      </c>
      <c r="Z312" s="19" t="str">
        <f ca="1">HYPERLINK("#"&amp;일위대가목록표!J2&amp;"!A"&amp;ROW(일위대가목록표!A10),"대가    7 →")</f>
        <v>대가    7 →</v>
      </c>
    </row>
    <row r="313" spans="1:26" ht="28.7" customHeight="1" x14ac:dyDescent="0.3">
      <c r="A313" s="9" t="s">
        <v>197</v>
      </c>
      <c r="B313" s="9" t="s">
        <v>204</v>
      </c>
      <c r="C313" s="87">
        <v>3.2</v>
      </c>
      <c r="D313" s="33" t="s">
        <v>26</v>
      </c>
      <c r="E313" s="62">
        <f t="shared" si="61"/>
        <v>41739</v>
      </c>
      <c r="F313" s="92">
        <f t="shared" si="61"/>
        <v>133564.79999999999</v>
      </c>
      <c r="G313" s="93">
        <f>단가산출근거목록표!F14</f>
        <v>36155</v>
      </c>
      <c r="H313" s="95">
        <f>IF(C313=0,0,ROUNDDOWN(G313*C313,1))</f>
        <v>115696</v>
      </c>
      <c r="I313" s="93">
        <f>단가산출근거목록표!G14</f>
        <v>4500</v>
      </c>
      <c r="J313" s="95">
        <f>IF(C313=0,0,ROUNDDOWN(I313*C313,1))</f>
        <v>14400</v>
      </c>
      <c r="K313" s="93">
        <f>단가산출근거목록표!H14</f>
        <v>1084</v>
      </c>
      <c r="L313" s="95">
        <f>IF(C313=0,0,ROUNDDOWN(K313*C313,1))</f>
        <v>3468.8</v>
      </c>
      <c r="M313" s="24" t="s">
        <v>1314</v>
      </c>
      <c r="N313" s="16" t="s">
        <v>1312</v>
      </c>
      <c r="O313" s="6" t="s">
        <v>1313</v>
      </c>
      <c r="P313" s="6" t="s">
        <v>1129</v>
      </c>
      <c r="Z313" s="19" t="str">
        <f ca="1">HYPERLINK("#"&amp;단가산출근거목록표!J2&amp;"!A"&amp;ROW(단가산출근거목록표!A14),"산근   11 →")</f>
        <v>산근   11 →</v>
      </c>
    </row>
    <row r="314" spans="1:26" ht="28.7" customHeight="1" x14ac:dyDescent="0.3">
      <c r="A314" s="9" t="s">
        <v>555</v>
      </c>
      <c r="B314" s="9" t="s">
        <v>556</v>
      </c>
      <c r="C314" s="87">
        <v>18.3</v>
      </c>
      <c r="D314" s="33" t="s">
        <v>477</v>
      </c>
      <c r="E314" s="62">
        <f t="shared" si="61"/>
        <v>142</v>
      </c>
      <c r="F314" s="91">
        <f t="shared" si="61"/>
        <v>2598.6</v>
      </c>
      <c r="G314" s="59">
        <v>0</v>
      </c>
      <c r="H314" s="92">
        <f>IF(C314=0,0,ROUNDDOWN(G314*C314,1))</f>
        <v>0</v>
      </c>
      <c r="I314" s="93">
        <f>재료비목록표!E29</f>
        <v>142</v>
      </c>
      <c r="J314" s="94">
        <f>IF(C314=0,0,ROUNDDOWN(I314*C314,1))</f>
        <v>2598.6</v>
      </c>
      <c r="K314" s="59">
        <v>0</v>
      </c>
      <c r="L314" s="92">
        <f>IF(C314=0,0,ROUNDDOWN(K314*C314,1))</f>
        <v>0</v>
      </c>
      <c r="M314" s="24" t="s">
        <v>1306</v>
      </c>
      <c r="N314" s="16" t="s">
        <v>1304</v>
      </c>
      <c r="O314" s="6" t="s">
        <v>1305</v>
      </c>
      <c r="P314" s="6" t="s">
        <v>1129</v>
      </c>
      <c r="Z314" s="19" t="str">
        <f ca="1">HYPERLINK("#"&amp;재료비목록표!G2&amp;"!A"&amp;ROW(재료비목록표!A29),"자재   26 →")</f>
        <v>자재   26 →</v>
      </c>
    </row>
    <row r="315" spans="1:26" ht="28.7" customHeight="1" x14ac:dyDescent="0.3">
      <c r="A315" s="24" t="s">
        <v>1171</v>
      </c>
      <c r="B315" s="58"/>
      <c r="C315" s="58"/>
      <c r="D315" s="58"/>
      <c r="E315" s="58"/>
      <c r="F315" s="55">
        <f>J315+H315+L315</f>
        <v>183054</v>
      </c>
      <c r="G315" s="58"/>
      <c r="H315" s="55">
        <f>ROUNDDOWN(SUMIF(P311:P314,O315,H311:H314),0)</f>
        <v>161788</v>
      </c>
      <c r="I315" s="58"/>
      <c r="J315" s="55">
        <f>ROUNDDOWN(SUMIF(P311:P314,O315,J311:J314),0)</f>
        <v>17427</v>
      </c>
      <c r="K315" s="58"/>
      <c r="L315" s="55">
        <f>ROUNDDOWN(SUMIF(P311:P314,O315,L311:L314),0)</f>
        <v>3839</v>
      </c>
      <c r="M315" s="58"/>
      <c r="O315" s="6" t="s">
        <v>1129</v>
      </c>
      <c r="P315" s="6" t="s">
        <v>1172</v>
      </c>
    </row>
    <row r="316" spans="1:26" ht="28.7" customHeight="1" x14ac:dyDescent="0.3">
      <c r="A316" s="13" t="s">
        <v>1173</v>
      </c>
      <c r="B316" s="13"/>
      <c r="C316" s="88">
        <v>88.5</v>
      </c>
      <c r="D316" s="13"/>
      <c r="E316" s="90"/>
      <c r="F316" s="74">
        <f>J316+H316+L316</f>
        <v>162001</v>
      </c>
      <c r="G316" s="90"/>
      <c r="H316" s="74">
        <f>ROUNDDOWN(H315*C316/100,0)</f>
        <v>143182</v>
      </c>
      <c r="I316" s="90"/>
      <c r="J316" s="74">
        <f>ROUNDDOWN(J315*C316/100,0)</f>
        <v>15422</v>
      </c>
      <c r="K316" s="90"/>
      <c r="L316" s="74">
        <f>ROUNDDOWN(L315*C316/100,0)</f>
        <v>3397</v>
      </c>
      <c r="M316" s="90"/>
      <c r="O316" s="6" t="s">
        <v>1172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3" type="noConversion"/>
  <conditionalFormatting sqref="C5:M316">
    <cfRule type="expression" dxfId="3" priority="1" stopIfTrue="1">
      <formula>AND(C5&lt;&gt;0,INT(C5)=C5)</formula>
    </cfRule>
  </conditionalFormatting>
  <hyperlinks>
    <hyperlink ref="Z1" r:id="rId1" tooltip="설계예산시스템(STmate w24.04)으로 작성 하였으며,_x000a_엑셀 인쇄품질 600 dpi에 최적화 되어 있습니다._x000a_경영정보(주) http://www.stma.co.kr_x000a_Tel) 070-4350-0040_x000a_Fax) 0505-300-3948"/>
    <hyperlink ref="N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10" style="5" customWidth="1"/>
    <col min="5" max="5" width="5.5" style="5" customWidth="1"/>
    <col min="6" max="9" width="13" style="5" customWidth="1"/>
    <col min="10" max="10" width="10" style="5" customWidth="1"/>
    <col min="11" max="11" width="9.125" style="5" hidden="1" customWidth="1"/>
    <col min="12" max="12" width="9.125" style="17" customWidth="1"/>
    <col min="13" max="16384" width="9.125" style="5"/>
  </cols>
  <sheetData>
    <row r="1" spans="1:12" ht="24.95" customHeight="1" x14ac:dyDescent="0.3">
      <c r="A1" s="130" t="s">
        <v>165</v>
      </c>
      <c r="B1" s="131"/>
      <c r="C1" s="131"/>
      <c r="D1" s="131"/>
      <c r="E1" s="131"/>
      <c r="F1" s="131"/>
      <c r="G1" s="131"/>
      <c r="H1" s="131"/>
      <c r="I1" s="131"/>
      <c r="J1" s="131"/>
      <c r="K1" s="4" t="s">
        <v>166</v>
      </c>
      <c r="L1" s="18" t="s">
        <v>166</v>
      </c>
    </row>
    <row r="2" spans="1:12" ht="24.95" customHeight="1" x14ac:dyDescent="0.3">
      <c r="A2" s="1" t="s">
        <v>1</v>
      </c>
      <c r="K2" s="21" t="str">
        <f ca="1">MID(CELL("filename",$A$1),FIND("]",CELL("filename",$A$1))+1,LEN(CELL("filename",$A$1)))</f>
        <v>일위대가수량금액집계표</v>
      </c>
    </row>
    <row r="3" spans="1:12" ht="24.95" customHeight="1" x14ac:dyDescent="0.3">
      <c r="A3" s="7" t="s">
        <v>2</v>
      </c>
      <c r="B3" s="7" t="s">
        <v>3</v>
      </c>
      <c r="C3" s="7" t="s">
        <v>4</v>
      </c>
      <c r="D3" s="7" t="s">
        <v>635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3" t="s">
        <v>10</v>
      </c>
      <c r="L3" s="19" t="str">
        <f>HYPERLINK("#'〓 목 차 〓'!B2","목차 →")</f>
        <v>목차 →</v>
      </c>
    </row>
    <row r="4" spans="1:12" ht="24.95" customHeight="1" x14ac:dyDescent="0.3">
      <c r="A4" s="8" t="s">
        <v>432</v>
      </c>
      <c r="B4" s="9" t="s">
        <v>12</v>
      </c>
      <c r="C4" s="9" t="s">
        <v>13</v>
      </c>
      <c r="D4" s="97">
        <v>5.16</v>
      </c>
      <c r="E4" s="33" t="s">
        <v>14</v>
      </c>
      <c r="F4" s="55">
        <f t="shared" ref="F4:F37" si="0">H4+G4+I4</f>
        <v>563776</v>
      </c>
      <c r="G4" s="54">
        <f>ROUND(D4*일위대가목록표!F4,0)</f>
        <v>563776</v>
      </c>
      <c r="H4" s="63">
        <f>ROUND(D4*일위대가목록표!G4,0)</f>
        <v>0</v>
      </c>
      <c r="I4" s="55">
        <f>ROUND(D4*일위대가목록표!H4,0)</f>
        <v>0</v>
      </c>
      <c r="J4" s="14" t="s">
        <v>432</v>
      </c>
      <c r="L4" s="19" t="str">
        <f ca="1">HYPERLINK("#"&amp;일위대가목록표!J2&amp;"!A"&amp;ROW(일위대가목록표!A4),"대가    1 →")</f>
        <v>대가    1 →</v>
      </c>
    </row>
    <row r="5" spans="1:12" ht="24.95" customHeight="1" x14ac:dyDescent="0.3">
      <c r="A5" s="8" t="s">
        <v>437</v>
      </c>
      <c r="B5" s="9" t="s">
        <v>18</v>
      </c>
      <c r="C5" s="9" t="s">
        <v>19</v>
      </c>
      <c r="D5" s="97">
        <v>19.8</v>
      </c>
      <c r="E5" s="33" t="s">
        <v>20</v>
      </c>
      <c r="F5" s="55">
        <f t="shared" si="0"/>
        <v>410137</v>
      </c>
      <c r="G5" s="54">
        <f>ROUND(D5*일위대가목록표!F5,0)</f>
        <v>410137</v>
      </c>
      <c r="H5" s="63">
        <f>ROUND(D5*일위대가목록표!G5,0)</f>
        <v>0</v>
      </c>
      <c r="I5" s="55">
        <f>ROUND(D5*일위대가목록표!H5,0)</f>
        <v>0</v>
      </c>
      <c r="J5" s="14" t="s">
        <v>437</v>
      </c>
      <c r="L5" s="19" t="str">
        <f ca="1">HYPERLINK("#"&amp;일위대가목록표!J2&amp;"!A"&amp;ROW(일위대가목록표!A5),"대가    2 →")</f>
        <v>대가    2 →</v>
      </c>
    </row>
    <row r="6" spans="1:12" ht="24.95" customHeight="1" x14ac:dyDescent="0.3">
      <c r="A6" s="8" t="s">
        <v>442</v>
      </c>
      <c r="B6" s="9" t="s">
        <v>24</v>
      </c>
      <c r="C6" s="9" t="s">
        <v>25</v>
      </c>
      <c r="D6" s="97">
        <v>403.89</v>
      </c>
      <c r="E6" s="33" t="s">
        <v>26</v>
      </c>
      <c r="F6" s="55">
        <f t="shared" si="0"/>
        <v>21404150</v>
      </c>
      <c r="G6" s="54">
        <f>ROUND(D6*일위대가목록표!F6,0)</f>
        <v>16010603</v>
      </c>
      <c r="H6" s="63">
        <f>ROUND(D6*일위대가목록표!G6,0)</f>
        <v>1994813</v>
      </c>
      <c r="I6" s="55">
        <f>ROUND(D6*일위대가목록표!H6,0)</f>
        <v>3398734</v>
      </c>
      <c r="J6" s="14" t="s">
        <v>442</v>
      </c>
      <c r="L6" s="19" t="str">
        <f ca="1">HYPERLINK("#"&amp;일위대가목록표!J2&amp;"!A"&amp;ROW(일위대가목록표!A6),"대가    3 →")</f>
        <v>대가    3 →</v>
      </c>
    </row>
    <row r="7" spans="1:12" ht="24.95" customHeight="1" x14ac:dyDescent="0.3">
      <c r="A7" s="8" t="s">
        <v>448</v>
      </c>
      <c r="B7" s="9" t="s">
        <v>30</v>
      </c>
      <c r="C7" s="9" t="s">
        <v>25</v>
      </c>
      <c r="D7" s="97">
        <v>122</v>
      </c>
      <c r="E7" s="33" t="s">
        <v>26</v>
      </c>
      <c r="F7" s="55">
        <f t="shared" si="0"/>
        <v>6459046</v>
      </c>
      <c r="G7" s="54">
        <f>ROUND(D7*일위대가목록표!F7,0)</f>
        <v>5191832</v>
      </c>
      <c r="H7" s="63">
        <f>ROUND(D7*일위대가목록표!G7,0)</f>
        <v>468724</v>
      </c>
      <c r="I7" s="55">
        <f>ROUND(D7*일위대가목록표!H7,0)</f>
        <v>798490</v>
      </c>
      <c r="J7" s="14" t="s">
        <v>448</v>
      </c>
      <c r="L7" s="19" t="str">
        <f ca="1">HYPERLINK("#"&amp;일위대가목록표!J2&amp;"!A"&amp;ROW(일위대가목록표!A7),"대가    4 →")</f>
        <v>대가    4 →</v>
      </c>
    </row>
    <row r="8" spans="1:12" ht="24.95" customHeight="1" x14ac:dyDescent="0.3">
      <c r="A8" s="8" t="s">
        <v>454</v>
      </c>
      <c r="B8" s="9" t="s">
        <v>30</v>
      </c>
      <c r="C8" s="9" t="s">
        <v>34</v>
      </c>
      <c r="D8" s="97">
        <v>28.8</v>
      </c>
      <c r="E8" s="33" t="s">
        <v>26</v>
      </c>
      <c r="F8" s="55">
        <f t="shared" si="0"/>
        <v>1677283</v>
      </c>
      <c r="G8" s="54">
        <f>ROUND(D8*일위대가목록표!F8,0)</f>
        <v>1363910</v>
      </c>
      <c r="H8" s="63">
        <f>ROUND(D8*일위대가목록표!G8,0)</f>
        <v>115920</v>
      </c>
      <c r="I8" s="55">
        <f>ROUND(D8*일위대가목록표!H8,0)</f>
        <v>197453</v>
      </c>
      <c r="J8" s="14" t="s">
        <v>454</v>
      </c>
      <c r="L8" s="19" t="str">
        <f ca="1">HYPERLINK("#"&amp;일위대가목록표!J2&amp;"!A"&amp;ROW(일위대가목록표!A8),"대가    5 →")</f>
        <v>대가    5 →</v>
      </c>
    </row>
    <row r="9" spans="1:12" ht="24.95" customHeight="1" x14ac:dyDescent="0.3">
      <c r="A9" s="8" t="s">
        <v>458</v>
      </c>
      <c r="B9" s="9" t="s">
        <v>38</v>
      </c>
      <c r="C9" s="9" t="s">
        <v>25</v>
      </c>
      <c r="D9" s="97">
        <v>496.37</v>
      </c>
      <c r="E9" s="33" t="s">
        <v>26</v>
      </c>
      <c r="F9" s="55">
        <f t="shared" si="0"/>
        <v>34167630</v>
      </c>
      <c r="G9" s="54">
        <f>ROUND(D9*일위대가목록표!F9,0)</f>
        <v>25083562</v>
      </c>
      <c r="H9" s="63">
        <f>ROUND(D9*일위대가목록표!G9,0)</f>
        <v>3359929</v>
      </c>
      <c r="I9" s="55">
        <f>ROUND(D9*일위대가목록표!H9,0)</f>
        <v>5724139</v>
      </c>
      <c r="J9" s="14" t="s">
        <v>458</v>
      </c>
      <c r="L9" s="19" t="str">
        <f ca="1">HYPERLINK("#"&amp;일위대가목록표!J2&amp;"!A"&amp;ROW(일위대가목록표!A9),"대가    6 →")</f>
        <v>대가    6 →</v>
      </c>
    </row>
    <row r="10" spans="1:12" ht="24.95" customHeight="1" x14ac:dyDescent="0.3">
      <c r="A10" s="8" t="s">
        <v>464</v>
      </c>
      <c r="B10" s="9" t="s">
        <v>42</v>
      </c>
      <c r="C10" s="9" t="s">
        <v>43</v>
      </c>
      <c r="D10" s="97">
        <v>17.72</v>
      </c>
      <c r="E10" s="33" t="s">
        <v>14</v>
      </c>
      <c r="F10" s="55">
        <f t="shared" si="0"/>
        <v>2177274</v>
      </c>
      <c r="G10" s="54">
        <f>ROUND(D10*일위대가목록표!F10,0)</f>
        <v>2154025</v>
      </c>
      <c r="H10" s="63">
        <f>ROUND(D10*일위대가목록표!G10,0)</f>
        <v>17862</v>
      </c>
      <c r="I10" s="55">
        <f>ROUND(D10*일위대가목록표!H10,0)</f>
        <v>5387</v>
      </c>
      <c r="J10" s="14" t="s">
        <v>464</v>
      </c>
      <c r="L10" s="19" t="str">
        <f ca="1">HYPERLINK("#"&amp;일위대가목록표!J2&amp;"!A"&amp;ROW(일위대가목록표!A10),"대가    7 →")</f>
        <v>대가    7 →</v>
      </c>
    </row>
    <row r="11" spans="1:12" ht="24.95" customHeight="1" x14ac:dyDescent="0.3">
      <c r="A11" s="8" t="s">
        <v>469</v>
      </c>
      <c r="B11" s="9" t="s">
        <v>47</v>
      </c>
      <c r="C11" s="9" t="s">
        <v>25</v>
      </c>
      <c r="D11" s="97">
        <v>270</v>
      </c>
      <c r="E11" s="33" t="s">
        <v>26</v>
      </c>
      <c r="F11" s="55">
        <f t="shared" si="0"/>
        <v>16544790</v>
      </c>
      <c r="G11" s="54">
        <f>ROUND(D11*일위대가목록표!F11,0)</f>
        <v>13339620</v>
      </c>
      <c r="H11" s="63">
        <f>ROUND(D11*일위대가목록표!G11,0)</f>
        <v>1185570</v>
      </c>
      <c r="I11" s="55">
        <f>ROUND(D11*일위대가목록표!H11,0)</f>
        <v>2019600</v>
      </c>
      <c r="J11" s="14" t="s">
        <v>469</v>
      </c>
      <c r="L11" s="19" t="str">
        <f ca="1">HYPERLINK("#"&amp;일위대가목록표!J2&amp;"!A"&amp;ROW(일위대가목록표!A11),"대가    8 →")</f>
        <v>대가    8 →</v>
      </c>
    </row>
    <row r="12" spans="1:12" ht="24.95" customHeight="1" x14ac:dyDescent="0.3">
      <c r="A12" s="8" t="s">
        <v>474</v>
      </c>
      <c r="B12" s="9" t="s">
        <v>51</v>
      </c>
      <c r="C12" s="9" t="s">
        <v>52</v>
      </c>
      <c r="D12" s="97">
        <v>42</v>
      </c>
      <c r="E12" s="33" t="s">
        <v>53</v>
      </c>
      <c r="F12" s="55">
        <f t="shared" si="0"/>
        <v>959742</v>
      </c>
      <c r="G12" s="54">
        <f>ROUND(D12*일위대가목록표!F12,0)</f>
        <v>815346</v>
      </c>
      <c r="H12" s="63">
        <f>ROUND(D12*일위대가목록표!G12,0)</f>
        <v>144396</v>
      </c>
      <c r="I12" s="55">
        <f>ROUND(D12*일위대가목록표!H12,0)</f>
        <v>0</v>
      </c>
      <c r="J12" s="14" t="s">
        <v>474</v>
      </c>
      <c r="L12" s="19" t="str">
        <f ca="1">HYPERLINK("#"&amp;일위대가목록표!J2&amp;"!A"&amp;ROW(일위대가목록표!A12),"대가    9 →")</f>
        <v>대가    9 →</v>
      </c>
    </row>
    <row r="13" spans="1:12" ht="24.95" customHeight="1" x14ac:dyDescent="0.3">
      <c r="A13" s="8" t="s">
        <v>480</v>
      </c>
      <c r="B13" s="9" t="s">
        <v>51</v>
      </c>
      <c r="C13" s="9" t="s">
        <v>57</v>
      </c>
      <c r="D13" s="97">
        <v>76</v>
      </c>
      <c r="E13" s="33" t="s">
        <v>53</v>
      </c>
      <c r="F13" s="55">
        <f t="shared" si="0"/>
        <v>2688576</v>
      </c>
      <c r="G13" s="54">
        <f>ROUND(D13*일위대가목록표!F13,0)</f>
        <v>2221708</v>
      </c>
      <c r="H13" s="63">
        <f>ROUND(D13*일위대가목록표!G13,0)</f>
        <v>466868</v>
      </c>
      <c r="I13" s="55">
        <f>ROUND(D13*일위대가목록표!H13,0)</f>
        <v>0</v>
      </c>
      <c r="J13" s="14" t="s">
        <v>480</v>
      </c>
      <c r="L13" s="19" t="str">
        <f ca="1">HYPERLINK("#"&amp;일위대가목록표!J2&amp;"!A"&amp;ROW(일위대가목록표!A13),"대가   10 →")</f>
        <v>대가   10 →</v>
      </c>
    </row>
    <row r="14" spans="1:12" ht="24.95" customHeight="1" x14ac:dyDescent="0.3">
      <c r="A14" s="8" t="s">
        <v>486</v>
      </c>
      <c r="B14" s="9" t="s">
        <v>61</v>
      </c>
      <c r="C14" s="9" t="s">
        <v>62</v>
      </c>
      <c r="D14" s="97">
        <v>6230</v>
      </c>
      <c r="E14" s="33" t="s">
        <v>26</v>
      </c>
      <c r="F14" s="55">
        <f t="shared" si="0"/>
        <v>4174100</v>
      </c>
      <c r="G14" s="54">
        <f>ROUND(D14*일위대가목록표!F14,0)</f>
        <v>2597910</v>
      </c>
      <c r="H14" s="63">
        <f>ROUND(D14*일위대가목록표!G14,0)</f>
        <v>691530</v>
      </c>
      <c r="I14" s="55">
        <f>ROUND(D14*일위대가목록표!H14,0)</f>
        <v>884660</v>
      </c>
      <c r="J14" s="14" t="s">
        <v>486</v>
      </c>
      <c r="L14" s="19" t="str">
        <f ca="1">HYPERLINK("#"&amp;일위대가목록표!J2&amp;"!A"&amp;ROW(일위대가목록표!A14),"대가   11 →")</f>
        <v>대가   11 →</v>
      </c>
    </row>
    <row r="15" spans="1:12" ht="24.95" customHeight="1" x14ac:dyDescent="0.3">
      <c r="A15" s="8" t="s">
        <v>491</v>
      </c>
      <c r="B15" s="9" t="s">
        <v>66</v>
      </c>
      <c r="C15" s="9" t="s">
        <v>67</v>
      </c>
      <c r="D15" s="97">
        <v>105</v>
      </c>
      <c r="E15" s="33" t="s">
        <v>68</v>
      </c>
      <c r="F15" s="55">
        <f t="shared" si="0"/>
        <v>11577825</v>
      </c>
      <c r="G15" s="54">
        <f>ROUND(D15*일위대가목록표!F15,0)</f>
        <v>9001440</v>
      </c>
      <c r="H15" s="63">
        <f>ROUND(D15*일위대가목록표!G15,0)</f>
        <v>1050840</v>
      </c>
      <c r="I15" s="55">
        <f>ROUND(D15*일위대가목록표!H15,0)</f>
        <v>1525545</v>
      </c>
      <c r="J15" s="14" t="s">
        <v>491</v>
      </c>
      <c r="L15" s="19" t="str">
        <f ca="1">HYPERLINK("#"&amp;일위대가목록표!J2&amp;"!A"&amp;ROW(일위대가목록표!A15),"대가   12 →")</f>
        <v>대가   12 →</v>
      </c>
    </row>
    <row r="16" spans="1:12" ht="24.95" customHeight="1" x14ac:dyDescent="0.3">
      <c r="A16" s="8" t="s">
        <v>496</v>
      </c>
      <c r="B16" s="9" t="s">
        <v>66</v>
      </c>
      <c r="C16" s="9" t="s">
        <v>72</v>
      </c>
      <c r="D16" s="97">
        <v>10</v>
      </c>
      <c r="E16" s="33" t="s">
        <v>68</v>
      </c>
      <c r="F16" s="55">
        <f t="shared" si="0"/>
        <v>1471410</v>
      </c>
      <c r="G16" s="54">
        <f>ROUND(D16*일위대가목록표!F16,0)</f>
        <v>1144920</v>
      </c>
      <c r="H16" s="63">
        <f>ROUND(D16*일위대가목록표!G16,0)</f>
        <v>133270</v>
      </c>
      <c r="I16" s="55">
        <f>ROUND(D16*일위대가목록표!H16,0)</f>
        <v>193220</v>
      </c>
      <c r="J16" s="14" t="s">
        <v>496</v>
      </c>
      <c r="L16" s="19" t="str">
        <f ca="1">HYPERLINK("#"&amp;일위대가목록표!J2&amp;"!A"&amp;ROW(일위대가목록표!A16),"대가   13 →")</f>
        <v>대가   13 →</v>
      </c>
    </row>
    <row r="17" spans="1:12" ht="24.95" customHeight="1" x14ac:dyDescent="0.3">
      <c r="A17" s="8" t="s">
        <v>500</v>
      </c>
      <c r="B17" s="9" t="s">
        <v>66</v>
      </c>
      <c r="C17" s="9" t="s">
        <v>76</v>
      </c>
      <c r="D17" s="97">
        <v>14</v>
      </c>
      <c r="E17" s="33" t="s">
        <v>68</v>
      </c>
      <c r="F17" s="55">
        <f t="shared" si="0"/>
        <v>2569378</v>
      </c>
      <c r="G17" s="54">
        <f>ROUND(D17*일위대가목록표!F17,0)</f>
        <v>1998304</v>
      </c>
      <c r="H17" s="63">
        <f>ROUND(D17*일위대가목록표!G17,0)</f>
        <v>232974</v>
      </c>
      <c r="I17" s="55">
        <f>ROUND(D17*일위대가목록표!H17,0)</f>
        <v>338100</v>
      </c>
      <c r="J17" s="14" t="s">
        <v>500</v>
      </c>
      <c r="L17" s="19" t="str">
        <f ca="1">HYPERLINK("#"&amp;일위대가목록표!J2&amp;"!A"&amp;ROW(일위대가목록표!A17),"대가   14 →")</f>
        <v>대가   14 →</v>
      </c>
    </row>
    <row r="18" spans="1:12" ht="24.95" customHeight="1" x14ac:dyDescent="0.3">
      <c r="A18" s="8" t="s">
        <v>505</v>
      </c>
      <c r="B18" s="9" t="s">
        <v>80</v>
      </c>
      <c r="C18" s="9" t="s">
        <v>67</v>
      </c>
      <c r="D18" s="97">
        <v>30</v>
      </c>
      <c r="E18" s="33" t="s">
        <v>68</v>
      </c>
      <c r="F18" s="55">
        <f t="shared" si="0"/>
        <v>3339960</v>
      </c>
      <c r="G18" s="54">
        <f>ROUND(D18*일위대가목록표!F18,0)</f>
        <v>2441460</v>
      </c>
      <c r="H18" s="63">
        <f>ROUND(D18*일위대가목록표!G18,0)</f>
        <v>335220</v>
      </c>
      <c r="I18" s="55">
        <f>ROUND(D18*일위대가목록표!H18,0)</f>
        <v>563280</v>
      </c>
      <c r="J18" s="14" t="s">
        <v>505</v>
      </c>
      <c r="L18" s="19" t="str">
        <f ca="1">HYPERLINK("#"&amp;일위대가목록표!J2&amp;"!A"&amp;ROW(일위대가목록표!A18),"대가   15 →")</f>
        <v>대가   15 →</v>
      </c>
    </row>
    <row r="19" spans="1:12" ht="24.95" customHeight="1" x14ac:dyDescent="0.3">
      <c r="A19" s="8" t="s">
        <v>509</v>
      </c>
      <c r="B19" s="9" t="s">
        <v>80</v>
      </c>
      <c r="C19" s="9" t="s">
        <v>76</v>
      </c>
      <c r="D19" s="97">
        <v>52</v>
      </c>
      <c r="E19" s="33" t="s">
        <v>68</v>
      </c>
      <c r="F19" s="55">
        <f t="shared" si="0"/>
        <v>9622860</v>
      </c>
      <c r="G19" s="54">
        <f>ROUND(D19*일위대가목록표!F19,0)</f>
        <v>7033884</v>
      </c>
      <c r="H19" s="63">
        <f>ROUND(D19*일위대가목록표!G19,0)</f>
        <v>966004</v>
      </c>
      <c r="I19" s="55">
        <f>ROUND(D19*일위대가목록표!H19,0)</f>
        <v>1622972</v>
      </c>
      <c r="J19" s="14" t="s">
        <v>509</v>
      </c>
      <c r="L19" s="19" t="str">
        <f ca="1">HYPERLINK("#"&amp;일위대가목록표!J2&amp;"!A"&amp;ROW(일위대가목록표!A19),"대가   16 →")</f>
        <v>대가   16 →</v>
      </c>
    </row>
    <row r="20" spans="1:12" ht="24.95" customHeight="1" x14ac:dyDescent="0.3">
      <c r="A20" s="8" t="s">
        <v>515</v>
      </c>
      <c r="B20" s="9" t="s">
        <v>87</v>
      </c>
      <c r="C20" s="9" t="s">
        <v>88</v>
      </c>
      <c r="D20" s="97">
        <v>212</v>
      </c>
      <c r="E20" s="33" t="s">
        <v>68</v>
      </c>
      <c r="F20" s="55">
        <f t="shared" si="0"/>
        <v>3001708</v>
      </c>
      <c r="G20" s="54">
        <f>ROUND(D20*일위대가목록표!F20,0)</f>
        <v>2814512</v>
      </c>
      <c r="H20" s="63">
        <f>ROUND(D20*일위대가목록표!G20,0)</f>
        <v>109392</v>
      </c>
      <c r="I20" s="55">
        <f>ROUND(D20*일위대가목록표!H20,0)</f>
        <v>77804</v>
      </c>
      <c r="J20" s="14" t="s">
        <v>515</v>
      </c>
      <c r="L20" s="19" t="str">
        <f ca="1">HYPERLINK("#"&amp;일위대가목록표!J2&amp;"!A"&amp;ROW(일위대가목록표!A20),"대가   17 →")</f>
        <v>대가   17 →</v>
      </c>
    </row>
    <row r="21" spans="1:12" ht="24.95" customHeight="1" x14ac:dyDescent="0.3">
      <c r="A21" s="8" t="s">
        <v>520</v>
      </c>
      <c r="B21" s="9" t="s">
        <v>87</v>
      </c>
      <c r="C21" s="9" t="s">
        <v>92</v>
      </c>
      <c r="D21" s="97">
        <v>132</v>
      </c>
      <c r="E21" s="33" t="s">
        <v>68</v>
      </c>
      <c r="F21" s="55">
        <f t="shared" si="0"/>
        <v>2427876</v>
      </c>
      <c r="G21" s="54">
        <f>ROUND(D21*일위대가목록표!F21,0)</f>
        <v>2284128</v>
      </c>
      <c r="H21" s="63">
        <f>ROUND(D21*일위대가목록표!G21,0)</f>
        <v>85536</v>
      </c>
      <c r="I21" s="55">
        <f>ROUND(D21*일위대가목록표!H21,0)</f>
        <v>58212</v>
      </c>
      <c r="J21" s="14" t="s">
        <v>520</v>
      </c>
      <c r="L21" s="19" t="str">
        <f ca="1">HYPERLINK("#"&amp;일위대가목록표!J2&amp;"!A"&amp;ROW(일위대가목록표!A21),"대가   18 →")</f>
        <v>대가   18 →</v>
      </c>
    </row>
    <row r="22" spans="1:12" ht="24.95" customHeight="1" x14ac:dyDescent="0.3">
      <c r="A22" s="8" t="s">
        <v>524</v>
      </c>
      <c r="B22" s="9" t="s">
        <v>96</v>
      </c>
      <c r="C22" s="9" t="s">
        <v>97</v>
      </c>
      <c r="D22" s="97">
        <v>6</v>
      </c>
      <c r="E22" s="33" t="s">
        <v>53</v>
      </c>
      <c r="F22" s="55">
        <f t="shared" si="0"/>
        <v>10286556</v>
      </c>
      <c r="G22" s="54">
        <f>ROUND(D22*일위대가목록표!F22,0)</f>
        <v>7676028</v>
      </c>
      <c r="H22" s="63">
        <f>ROUND(D22*일위대가목록표!G22,0)</f>
        <v>1071456</v>
      </c>
      <c r="I22" s="55">
        <f>ROUND(D22*일위대가목록표!H22,0)</f>
        <v>1539072</v>
      </c>
      <c r="J22" s="14" t="s">
        <v>524</v>
      </c>
      <c r="L22" s="19" t="str">
        <f ca="1">HYPERLINK("#"&amp;일위대가목록표!J2&amp;"!A"&amp;ROW(일위대가목록표!A22),"대가   19 →")</f>
        <v>대가   19 →</v>
      </c>
    </row>
    <row r="23" spans="1:12" ht="24.95" customHeight="1" x14ac:dyDescent="0.3">
      <c r="A23" s="8" t="s">
        <v>528</v>
      </c>
      <c r="B23" s="9" t="s">
        <v>96</v>
      </c>
      <c r="C23" s="9" t="s">
        <v>101</v>
      </c>
      <c r="D23" s="97">
        <v>6</v>
      </c>
      <c r="E23" s="33" t="s">
        <v>53</v>
      </c>
      <c r="F23" s="55">
        <f t="shared" si="0"/>
        <v>6461400</v>
      </c>
      <c r="G23" s="54">
        <f>ROUND(D23*일위대가목록표!F23,0)</f>
        <v>4881432</v>
      </c>
      <c r="H23" s="63">
        <f>ROUND(D23*일위대가목록표!G23,0)</f>
        <v>647652</v>
      </c>
      <c r="I23" s="55">
        <f>ROUND(D23*일위대가목록표!H23,0)</f>
        <v>932316</v>
      </c>
      <c r="J23" s="14" t="s">
        <v>528</v>
      </c>
      <c r="L23" s="19" t="str">
        <f ca="1">HYPERLINK("#"&amp;일위대가목록표!J2&amp;"!A"&amp;ROW(일위대가목록표!A23),"대가   20 →")</f>
        <v>대가   20 →</v>
      </c>
    </row>
    <row r="24" spans="1:12" ht="24.95" customHeight="1" x14ac:dyDescent="0.3">
      <c r="A24" s="8" t="s">
        <v>532</v>
      </c>
      <c r="B24" s="9" t="s">
        <v>105</v>
      </c>
      <c r="C24" s="9"/>
      <c r="D24" s="97">
        <v>22</v>
      </c>
      <c r="E24" s="33" t="s">
        <v>53</v>
      </c>
      <c r="F24" s="55">
        <f t="shared" si="0"/>
        <v>77264</v>
      </c>
      <c r="G24" s="54">
        <f>ROUND(D24*일위대가목록표!F24,0)</f>
        <v>44462</v>
      </c>
      <c r="H24" s="63">
        <f>ROUND(D24*일위대가목록표!G24,0)</f>
        <v>14366</v>
      </c>
      <c r="I24" s="55">
        <f>ROUND(D24*일위대가목록표!H24,0)</f>
        <v>18436</v>
      </c>
      <c r="J24" s="14" t="s">
        <v>532</v>
      </c>
      <c r="L24" s="19" t="str">
        <f ca="1">HYPERLINK("#"&amp;일위대가목록표!J2&amp;"!A"&amp;ROW(일위대가목록표!A24),"대가   21 →")</f>
        <v>대가   21 →</v>
      </c>
    </row>
    <row r="25" spans="1:12" ht="24.95" customHeight="1" x14ac:dyDescent="0.3">
      <c r="A25" s="8" t="s">
        <v>535</v>
      </c>
      <c r="B25" s="9" t="s">
        <v>109</v>
      </c>
      <c r="C25" s="9" t="s">
        <v>110</v>
      </c>
      <c r="D25" s="97">
        <v>122</v>
      </c>
      <c r="E25" s="33" t="s">
        <v>26</v>
      </c>
      <c r="F25" s="55">
        <f t="shared" si="0"/>
        <v>10961212</v>
      </c>
      <c r="G25" s="54">
        <f>ROUND(D25*일위대가목록표!F25,0)</f>
        <v>8395186</v>
      </c>
      <c r="H25" s="63">
        <f>ROUND(D25*일위대가목록표!G25,0)</f>
        <v>1027728</v>
      </c>
      <c r="I25" s="55">
        <f>ROUND(D25*일위대가목록표!H25,0)</f>
        <v>1538298</v>
      </c>
      <c r="J25" s="14" t="s">
        <v>535</v>
      </c>
      <c r="L25" s="19" t="str">
        <f ca="1">HYPERLINK("#"&amp;일위대가목록표!J2&amp;"!A"&amp;ROW(일위대가목록표!A25),"대가   22 →")</f>
        <v>대가   22 →</v>
      </c>
    </row>
    <row r="26" spans="1:12" ht="24.95" customHeight="1" x14ac:dyDescent="0.3">
      <c r="A26" s="8" t="s">
        <v>540</v>
      </c>
      <c r="B26" s="9" t="s">
        <v>109</v>
      </c>
      <c r="C26" s="9" t="s">
        <v>114</v>
      </c>
      <c r="D26" s="97">
        <v>270</v>
      </c>
      <c r="E26" s="33" t="s">
        <v>26</v>
      </c>
      <c r="F26" s="55">
        <f t="shared" si="0"/>
        <v>22794480</v>
      </c>
      <c r="G26" s="54">
        <f>ROUND(D26*일위대가목록표!F26,0)</f>
        <v>16823700</v>
      </c>
      <c r="H26" s="63">
        <f>ROUND(D26*일위대가목록표!G26,0)</f>
        <v>2357370</v>
      </c>
      <c r="I26" s="55">
        <f>ROUND(D26*일위대가목록표!H26,0)</f>
        <v>3613410</v>
      </c>
      <c r="J26" s="14" t="s">
        <v>540</v>
      </c>
      <c r="L26" s="19" t="str">
        <f ca="1">HYPERLINK("#"&amp;일위대가목록표!J2&amp;"!A"&amp;ROW(일위대가목록표!A26),"대가   23 →")</f>
        <v>대가   23 →</v>
      </c>
    </row>
    <row r="27" spans="1:12" ht="24.95" customHeight="1" x14ac:dyDescent="0.3">
      <c r="A27" s="8" t="s">
        <v>545</v>
      </c>
      <c r="B27" s="9" t="s">
        <v>118</v>
      </c>
      <c r="C27" s="9" t="s">
        <v>119</v>
      </c>
      <c r="D27" s="97">
        <v>1</v>
      </c>
      <c r="E27" s="33" t="s">
        <v>53</v>
      </c>
      <c r="F27" s="55">
        <f t="shared" si="0"/>
        <v>384218</v>
      </c>
      <c r="G27" s="54">
        <f>ROUND(D27*일위대가목록표!F27,0)</f>
        <v>373588</v>
      </c>
      <c r="H27" s="63">
        <f>ROUND(D27*일위대가목록표!G27,0)</f>
        <v>10333</v>
      </c>
      <c r="I27" s="55">
        <f>ROUND(D27*일위대가목록표!H27,0)</f>
        <v>297</v>
      </c>
      <c r="J27" s="14" t="s">
        <v>545</v>
      </c>
      <c r="L27" s="19" t="str">
        <f ca="1">HYPERLINK("#"&amp;일위대가목록표!J2&amp;"!A"&amp;ROW(일위대가목록표!A27),"대가   24 →")</f>
        <v>대가   24 →</v>
      </c>
    </row>
    <row r="28" spans="1:12" ht="24.95" customHeight="1" x14ac:dyDescent="0.3">
      <c r="A28" s="8" t="s">
        <v>550</v>
      </c>
      <c r="B28" s="9" t="s">
        <v>123</v>
      </c>
      <c r="C28" s="9" t="s">
        <v>124</v>
      </c>
      <c r="D28" s="97">
        <v>20</v>
      </c>
      <c r="E28" s="33" t="s">
        <v>68</v>
      </c>
      <c r="F28" s="55">
        <f t="shared" si="0"/>
        <v>3640460</v>
      </c>
      <c r="G28" s="54">
        <f>ROUND(D28*일위대가목록표!F28,0)</f>
        <v>2887300</v>
      </c>
      <c r="H28" s="63">
        <f>ROUND(D28*일위대가목록표!G28,0)</f>
        <v>334680</v>
      </c>
      <c r="I28" s="55">
        <f>ROUND(D28*일위대가목록표!H28,0)</f>
        <v>418480</v>
      </c>
      <c r="J28" s="14" t="s">
        <v>550</v>
      </c>
      <c r="L28" s="19" t="str">
        <f ca="1">HYPERLINK("#"&amp;일위대가목록표!J2&amp;"!A"&amp;ROW(일위대가목록표!A28),"대가   25 →")</f>
        <v>대가   25 →</v>
      </c>
    </row>
    <row r="29" spans="1:12" ht="24.95" customHeight="1" x14ac:dyDescent="0.3">
      <c r="A29" s="8" t="s">
        <v>554</v>
      </c>
      <c r="B29" s="9" t="s">
        <v>128</v>
      </c>
      <c r="C29" s="9" t="s">
        <v>129</v>
      </c>
      <c r="D29" s="97">
        <v>20</v>
      </c>
      <c r="E29" s="33" t="s">
        <v>68</v>
      </c>
      <c r="F29" s="55">
        <f t="shared" si="0"/>
        <v>3769040</v>
      </c>
      <c r="G29" s="54">
        <f>ROUND(D29*일위대가목록표!F29,0)</f>
        <v>2733340</v>
      </c>
      <c r="H29" s="63">
        <f>ROUND(D29*일위대가목록표!G29,0)</f>
        <v>433400</v>
      </c>
      <c r="I29" s="55">
        <f>ROUND(D29*일위대가목록표!H29,0)</f>
        <v>602300</v>
      </c>
      <c r="J29" s="14" t="s">
        <v>554</v>
      </c>
      <c r="L29" s="19" t="str">
        <f ca="1">HYPERLINK("#"&amp;일위대가목록표!J2&amp;"!A"&amp;ROW(일위대가목록표!A29),"대가   26 →")</f>
        <v>대가   26 →</v>
      </c>
    </row>
    <row r="30" spans="1:12" ht="24.95" customHeight="1" x14ac:dyDescent="0.3">
      <c r="A30" s="8" t="s">
        <v>559</v>
      </c>
      <c r="B30" s="9" t="s">
        <v>133</v>
      </c>
      <c r="C30" s="9" t="s">
        <v>129</v>
      </c>
      <c r="D30" s="97">
        <v>60</v>
      </c>
      <c r="E30" s="33" t="s">
        <v>68</v>
      </c>
      <c r="F30" s="55">
        <f t="shared" si="0"/>
        <v>14351520</v>
      </c>
      <c r="G30" s="54">
        <f>ROUND(D30*일위대가목록표!F30,0)</f>
        <v>10316760</v>
      </c>
      <c r="H30" s="63">
        <f>ROUND(D30*일위대가목록표!G30,0)</f>
        <v>1662420</v>
      </c>
      <c r="I30" s="55">
        <f>ROUND(D30*일위대가목록표!H30,0)</f>
        <v>2372340</v>
      </c>
      <c r="J30" s="14" t="s">
        <v>559</v>
      </c>
      <c r="L30" s="19" t="str">
        <f ca="1">HYPERLINK("#"&amp;일위대가목록표!J2&amp;"!A"&amp;ROW(일위대가목록표!A30),"대가   27 →")</f>
        <v>대가   27 →</v>
      </c>
    </row>
    <row r="31" spans="1:12" ht="24.95" customHeight="1" x14ac:dyDescent="0.3">
      <c r="A31" s="8" t="s">
        <v>563</v>
      </c>
      <c r="B31" s="9" t="s">
        <v>87</v>
      </c>
      <c r="C31" s="9" t="s">
        <v>137</v>
      </c>
      <c r="D31" s="97">
        <v>22</v>
      </c>
      <c r="E31" s="33" t="s">
        <v>68</v>
      </c>
      <c r="F31" s="55">
        <f t="shared" si="0"/>
        <v>491722</v>
      </c>
      <c r="G31" s="54">
        <f>ROUND(D31*일위대가목록표!F31,0)</f>
        <v>463386</v>
      </c>
      <c r="H31" s="63">
        <f>ROUND(D31*일위대가목록표!G31,0)</f>
        <v>17006</v>
      </c>
      <c r="I31" s="55">
        <f>ROUND(D31*일위대가목록표!H31,0)</f>
        <v>11330</v>
      </c>
      <c r="J31" s="14" t="s">
        <v>563</v>
      </c>
      <c r="L31" s="19" t="str">
        <f ca="1">HYPERLINK("#"&amp;일위대가목록표!J2&amp;"!A"&amp;ROW(일위대가목록표!A31),"대가   28 →")</f>
        <v>대가   28 →</v>
      </c>
    </row>
    <row r="32" spans="1:12" ht="24.95" customHeight="1" x14ac:dyDescent="0.3">
      <c r="A32" s="8" t="s">
        <v>567</v>
      </c>
      <c r="B32" s="9" t="s">
        <v>141</v>
      </c>
      <c r="C32" s="9" t="s">
        <v>142</v>
      </c>
      <c r="D32" s="97">
        <v>20</v>
      </c>
      <c r="E32" s="33" t="s">
        <v>26</v>
      </c>
      <c r="F32" s="55">
        <f t="shared" si="0"/>
        <v>1291800</v>
      </c>
      <c r="G32" s="54">
        <f>ROUND(D32*일위대가목록표!F32,0)</f>
        <v>1081160</v>
      </c>
      <c r="H32" s="63">
        <f>ROUND(D32*일위대가목록표!G32,0)</f>
        <v>79440</v>
      </c>
      <c r="I32" s="55">
        <f>ROUND(D32*일위대가목록표!H32,0)</f>
        <v>131200</v>
      </c>
      <c r="J32" s="14" t="s">
        <v>567</v>
      </c>
      <c r="L32" s="19" t="str">
        <f ca="1">HYPERLINK("#"&amp;일위대가목록표!J2&amp;"!A"&amp;ROW(일위대가목록표!A32),"대가   29 →")</f>
        <v>대가   29 →</v>
      </c>
    </row>
    <row r="33" spans="1:12" ht="24.95" customHeight="1" x14ac:dyDescent="0.3">
      <c r="A33" s="8" t="s">
        <v>572</v>
      </c>
      <c r="B33" s="9" t="s">
        <v>109</v>
      </c>
      <c r="C33" s="9" t="s">
        <v>146</v>
      </c>
      <c r="D33" s="97">
        <v>90</v>
      </c>
      <c r="E33" s="33" t="s">
        <v>26</v>
      </c>
      <c r="F33" s="55">
        <f t="shared" si="0"/>
        <v>7857630</v>
      </c>
      <c r="G33" s="54">
        <f>ROUND(D33*일위대가목록표!F33,0)</f>
        <v>5887800</v>
      </c>
      <c r="H33" s="63">
        <f>ROUND(D33*일위대가목록표!G33,0)</f>
        <v>776610</v>
      </c>
      <c r="I33" s="55">
        <f>ROUND(D33*일위대가목록표!H33,0)</f>
        <v>1193220</v>
      </c>
      <c r="J33" s="14" t="s">
        <v>572</v>
      </c>
      <c r="L33" s="19" t="str">
        <f ca="1">HYPERLINK("#"&amp;일위대가목록표!J2&amp;"!A"&amp;ROW(일위대가목록표!A33),"대가   30 →")</f>
        <v>대가   30 →</v>
      </c>
    </row>
    <row r="34" spans="1:12" ht="24.95" customHeight="1" x14ac:dyDescent="0.3">
      <c r="A34" s="8" t="s">
        <v>577</v>
      </c>
      <c r="B34" s="9" t="s">
        <v>80</v>
      </c>
      <c r="C34" s="9" t="s">
        <v>72</v>
      </c>
      <c r="D34" s="97">
        <v>75</v>
      </c>
      <c r="E34" s="33" t="s">
        <v>68</v>
      </c>
      <c r="F34" s="55">
        <f t="shared" si="0"/>
        <v>11106300</v>
      </c>
      <c r="G34" s="54">
        <f>ROUND(D34*일위대가목록표!F34,0)</f>
        <v>8118375</v>
      </c>
      <c r="H34" s="63">
        <f>ROUND(D34*일위대가목록표!G34,0)</f>
        <v>1114875</v>
      </c>
      <c r="I34" s="55">
        <f>ROUND(D34*일위대가목록표!H34,0)</f>
        <v>1873050</v>
      </c>
      <c r="J34" s="14" t="s">
        <v>577</v>
      </c>
      <c r="L34" s="19" t="str">
        <f ca="1">HYPERLINK("#"&amp;일위대가목록표!J2&amp;"!A"&amp;ROW(일위대가목록표!A34),"대가   31 →")</f>
        <v>대가   31 →</v>
      </c>
    </row>
    <row r="35" spans="1:12" ht="24.95" customHeight="1" x14ac:dyDescent="0.3">
      <c r="A35" s="8" t="s">
        <v>581</v>
      </c>
      <c r="B35" s="9" t="s">
        <v>153</v>
      </c>
      <c r="C35" s="9" t="s">
        <v>154</v>
      </c>
      <c r="D35" s="97">
        <v>48</v>
      </c>
      <c r="E35" s="33" t="s">
        <v>26</v>
      </c>
      <c r="F35" s="55">
        <f t="shared" si="0"/>
        <v>1282512</v>
      </c>
      <c r="G35" s="54">
        <f>ROUND(D35*일위대가목록표!F35,0)</f>
        <v>1264560</v>
      </c>
      <c r="H35" s="63">
        <f>ROUND(D35*일위대가목록표!G35,0)</f>
        <v>8496</v>
      </c>
      <c r="I35" s="55">
        <f>ROUND(D35*일위대가목록표!H35,0)</f>
        <v>9456</v>
      </c>
      <c r="J35" s="14" t="s">
        <v>581</v>
      </c>
      <c r="L35" s="19" t="str">
        <f ca="1">HYPERLINK("#"&amp;일위대가목록표!J2&amp;"!A"&amp;ROW(일위대가목록표!A35),"대가   32 →")</f>
        <v>대가   32 →</v>
      </c>
    </row>
    <row r="36" spans="1:12" ht="24.95" customHeight="1" x14ac:dyDescent="0.3">
      <c r="A36" s="8" t="s">
        <v>585</v>
      </c>
      <c r="B36" s="9" t="s">
        <v>158</v>
      </c>
      <c r="C36" s="9" t="s">
        <v>159</v>
      </c>
      <c r="D36" s="97">
        <v>10</v>
      </c>
      <c r="E36" s="33" t="s">
        <v>68</v>
      </c>
      <c r="F36" s="55">
        <f t="shared" si="0"/>
        <v>129660</v>
      </c>
      <c r="G36" s="54">
        <f>ROUND(D36*일위대가목록표!F36,0)</f>
        <v>111980</v>
      </c>
      <c r="H36" s="63">
        <f>ROUND(D36*일위대가목록표!G36,0)</f>
        <v>14330</v>
      </c>
      <c r="I36" s="55">
        <f>ROUND(D36*일위대가목록표!H36,0)</f>
        <v>3350</v>
      </c>
      <c r="J36" s="14" t="s">
        <v>585</v>
      </c>
      <c r="L36" s="19" t="str">
        <f ca="1">HYPERLINK("#"&amp;일위대가목록표!J2&amp;"!A"&amp;ROW(일위대가목록표!A36),"대가   33 →")</f>
        <v>대가   33 →</v>
      </c>
    </row>
    <row r="37" spans="1:12" ht="24.95" customHeight="1" x14ac:dyDescent="0.3">
      <c r="A37" s="8" t="s">
        <v>589</v>
      </c>
      <c r="B37" s="9" t="s">
        <v>163</v>
      </c>
      <c r="C37" s="9"/>
      <c r="D37" s="97">
        <v>1</v>
      </c>
      <c r="E37" s="33" t="s">
        <v>53</v>
      </c>
      <c r="F37" s="55">
        <f t="shared" si="0"/>
        <v>162001</v>
      </c>
      <c r="G37" s="54">
        <f>ROUND(D37*일위대가목록표!F37,0)</f>
        <v>143182</v>
      </c>
      <c r="H37" s="63">
        <f>ROUND(D37*일위대가목록표!G37,0)</f>
        <v>15422</v>
      </c>
      <c r="I37" s="55">
        <f>ROUND(D37*일위대가목록표!H37,0)</f>
        <v>3397</v>
      </c>
      <c r="J37" s="14" t="s">
        <v>589</v>
      </c>
      <c r="L37" s="19" t="str">
        <f ca="1">HYPERLINK("#"&amp;일위대가목록표!J2&amp;"!A"&amp;ROW(일위대가목록표!A37),"대가   34 →")</f>
        <v>대가   34 →</v>
      </c>
    </row>
  </sheetData>
  <mergeCells count="1">
    <mergeCell ref="A1:J1"/>
  </mergeCells>
  <phoneticPr fontId="23" type="noConversion"/>
  <hyperlinks>
    <hyperlink ref="L1" r:id="rId1" tooltip="설계예산시스템(STmate w24.04)으로 작성 하였으며,_x000a_엑셀 인쇄품질 600 dpi에 최적화 되어 있습니다._x000a_경영정보(주) http://www.stma.co.kr_x000a_Tel) 070-4350-0040_x000a_Fax) 0505-300-3948"/>
    <hyperlink ref="K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&amp;R&amp;"굴림체,"&amp;9 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5" customWidth="1"/>
    <col min="2" max="3" width="24.25" style="5" customWidth="1"/>
    <col min="4" max="4" width="5.5" style="5" customWidth="1"/>
    <col min="5" max="8" width="11.5" style="5" customWidth="1"/>
    <col min="9" max="9" width="10" style="5" customWidth="1"/>
    <col min="10" max="10" width="9.125" style="15" hidden="1" customWidth="1"/>
    <col min="11" max="11" width="9.125" style="17" customWidth="1"/>
    <col min="12" max="16384" width="9.125" style="5"/>
  </cols>
  <sheetData>
    <row r="1" spans="1:11" ht="24.95" customHeight="1" x14ac:dyDescent="0.3">
      <c r="A1" s="130" t="s">
        <v>167</v>
      </c>
      <c r="B1" s="131"/>
      <c r="C1" s="131"/>
      <c r="D1" s="131"/>
      <c r="E1" s="131"/>
      <c r="F1" s="131"/>
      <c r="G1" s="131"/>
      <c r="H1" s="131"/>
      <c r="I1" s="131"/>
      <c r="J1" s="4" t="s">
        <v>166</v>
      </c>
      <c r="K1" s="18" t="s">
        <v>166</v>
      </c>
    </row>
    <row r="2" spans="1:11" ht="22.35" customHeight="1" x14ac:dyDescent="0.3">
      <c r="A2" s="1" t="s">
        <v>1</v>
      </c>
      <c r="J2" s="21" t="str">
        <f ca="1">MID(CELL("filename",$A$1),FIND("]",CELL("filename",$A$1))+1,LEN(CELL("filename",$A$1)))</f>
        <v>단가산출근거목록표</v>
      </c>
    </row>
    <row r="3" spans="1:11" ht="22.3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K3" s="19" t="str">
        <f>HYPERLINK("#'〓 목 차 〓'!B2","목차 →")</f>
        <v>목차 →</v>
      </c>
    </row>
    <row r="4" spans="1:11" ht="22.35" customHeight="1" x14ac:dyDescent="0.3">
      <c r="A4" s="8" t="s">
        <v>11</v>
      </c>
      <c r="B4" s="9" t="s">
        <v>168</v>
      </c>
      <c r="C4" s="9" t="s">
        <v>169</v>
      </c>
      <c r="D4" s="8" t="s">
        <v>14</v>
      </c>
      <c r="E4" s="55">
        <f>단가산출근거!C39</f>
        <v>7528</v>
      </c>
      <c r="F4" s="54">
        <f>단가산출근거!D39</f>
        <v>6216</v>
      </c>
      <c r="G4" s="63">
        <f>단가산출근거!E39</f>
        <v>1008</v>
      </c>
      <c r="H4" s="55">
        <f>단가산출근거!F39</f>
        <v>304</v>
      </c>
      <c r="I4" s="14" t="s">
        <v>11</v>
      </c>
      <c r="J4" s="36" t="str">
        <f>"_x0007_`COD|D00075_x0005_`QTY1|1_x0005_`BQC|_x0005_`EQC|_x0005_`JDC|_x0005_`WQC|_x0005_`EDT|_x0005_`ADJ|F_x0005_`NAG|0_x0005_`UC|F_x0005_`DET|"&amp;ROW(단가산출근거!A5)&amp;"_x0005_`"</f>
        <v>_x0007_`COD|D00075_x0005_`QTY1|1_x0005_`BQC|_x0005_`EQC|_x0005_`JDC|_x0005_`WQC|_x0005_`EDT|_x0005_`ADJ|F_x0005_`NAG|0_x0005_`UC|F_x0005_`DET|5_x0005_`</v>
      </c>
      <c r="K4" s="19" t="str">
        <f ca="1">HYPERLINK("#"&amp;단가산출근거!G2&amp;"!A"&amp;ROW(단가산출근거!A5),"산근    1 →")</f>
        <v>산근    1 →</v>
      </c>
    </row>
    <row r="5" spans="1:11" ht="22.35" customHeight="1" x14ac:dyDescent="0.3">
      <c r="A5" s="8" t="s">
        <v>17</v>
      </c>
      <c r="B5" s="9" t="s">
        <v>172</v>
      </c>
      <c r="C5" s="9" t="s">
        <v>173</v>
      </c>
      <c r="D5" s="8" t="s">
        <v>14</v>
      </c>
      <c r="E5" s="55">
        <f>단가산출근거!C109</f>
        <v>8328</v>
      </c>
      <c r="F5" s="54">
        <f>단가산출근거!D109</f>
        <v>6878</v>
      </c>
      <c r="G5" s="63">
        <f>단가산출근거!E109</f>
        <v>538</v>
      </c>
      <c r="H5" s="55">
        <f>단가산출근거!F109</f>
        <v>912</v>
      </c>
      <c r="I5" s="14" t="s">
        <v>17</v>
      </c>
      <c r="J5" s="36" t="str">
        <f>"_x0007_`COD|D00159_x0005_`QTY1|1_x0005_`BQC|_x0005_`EQC|_x0005_`JDC|_x0005_`WQC|_x0005_`EDT|_x0005_`ADJ|F_x0005_`NAG|0_x0005_`UC|F_x0005_`DET|"&amp;ROW(단가산출근거!A40)&amp;"_x0005_`"</f>
        <v>_x0007_`COD|D00159_x0005_`QTY1|1_x0005_`BQC|_x0005_`EQC|_x0005_`JDC|_x0005_`WQC|_x0005_`EDT|_x0005_`ADJ|F_x0005_`NAG|0_x0005_`UC|F_x0005_`DET|40_x0005_`</v>
      </c>
      <c r="K5" s="19" t="str">
        <f ca="1">HYPERLINK("#"&amp;단가산출근거!G2&amp;"!A"&amp;ROW(단가산출근거!A40),"산근    2 →")</f>
        <v>산근    2 →</v>
      </c>
    </row>
    <row r="6" spans="1:11" ht="22.35" customHeight="1" x14ac:dyDescent="0.3">
      <c r="A6" s="8" t="s">
        <v>23</v>
      </c>
      <c r="B6" s="9" t="s">
        <v>176</v>
      </c>
      <c r="C6" s="9" t="s">
        <v>177</v>
      </c>
      <c r="D6" s="8" t="s">
        <v>14</v>
      </c>
      <c r="E6" s="55">
        <f>단가산출근거!C179</f>
        <v>12701</v>
      </c>
      <c r="F6" s="54">
        <f>단가산출근거!D179</f>
        <v>7908</v>
      </c>
      <c r="G6" s="63">
        <f>단가산출근거!E179</f>
        <v>1963</v>
      </c>
      <c r="H6" s="55">
        <f>단가산출근거!F179</f>
        <v>2830</v>
      </c>
      <c r="I6" s="14" t="s">
        <v>23</v>
      </c>
      <c r="J6" s="36" t="str">
        <f>"_x0007_`COD|D00959_x0005_`QTY1|1_x0005_`BQC|_x0005_`EQC|_x0005_`JDC|_x0005_`WQC|_x0005_`EDT|_x0005_`ADJ|F_x0005_`NAG|0_x0005_`UC|F_x0005_`DET|"&amp;ROW(단가산출근거!A110)&amp;"_x0005_`"</f>
        <v>_x0007_`COD|D00959_x0005_`QTY1|1_x0005_`BQC|_x0005_`EQC|_x0005_`JDC|_x0005_`WQC|_x0005_`EDT|_x0005_`ADJ|F_x0005_`NAG|0_x0005_`UC|F_x0005_`DET|110_x0005_`</v>
      </c>
      <c r="K6" s="19" t="str">
        <f ca="1">HYPERLINK("#"&amp;단가산출근거!G2&amp;"!A"&amp;ROW(단가산출근거!A110),"산근    3 →")</f>
        <v>산근    3 →</v>
      </c>
    </row>
    <row r="7" spans="1:11" ht="22.35" customHeight="1" x14ac:dyDescent="0.3">
      <c r="A7" s="8" t="s">
        <v>29</v>
      </c>
      <c r="B7" s="9" t="s">
        <v>180</v>
      </c>
      <c r="C7" s="9" t="s">
        <v>177</v>
      </c>
      <c r="D7" s="8" t="s">
        <v>14</v>
      </c>
      <c r="E7" s="55">
        <f>단가산출근거!C214</f>
        <v>24816</v>
      </c>
      <c r="F7" s="54">
        <f>단가산출근거!D214</f>
        <v>18084</v>
      </c>
      <c r="G7" s="63">
        <f>단가산출근거!E214</f>
        <v>2498</v>
      </c>
      <c r="H7" s="55">
        <f>단가산출근거!F214</f>
        <v>4234</v>
      </c>
      <c r="I7" s="14" t="s">
        <v>29</v>
      </c>
      <c r="J7" s="36" t="str">
        <f>"_x0007_`COD|D01124_x0005_`QTY1|1_x0005_`BQC|_x0005_`EQC|_x0005_`JDC|_x0005_`WQC|_x0005_`EDT|_x0005_`ADJ|F_x0005_`NAG|0_x0005_`UC|F_x0005_`DET|"&amp;ROW(단가산출근거!A180)&amp;"_x0005_`"</f>
        <v>_x0007_`COD|D01124_x0005_`QTY1|1_x0005_`BQC|_x0005_`EQC|_x0005_`JDC|_x0005_`WQC|_x0005_`EDT|_x0005_`ADJ|F_x0005_`NAG|0_x0005_`UC|F_x0005_`DET|180_x0005_`</v>
      </c>
      <c r="K7" s="19" t="str">
        <f ca="1">HYPERLINK("#"&amp;단가산출근거!G2&amp;"!A"&amp;ROW(단가산출근거!A180),"산근    4 →")</f>
        <v>산근    4 →</v>
      </c>
    </row>
    <row r="8" spans="1:11" ht="22.35" customHeight="1" x14ac:dyDescent="0.3">
      <c r="A8" s="8" t="s">
        <v>33</v>
      </c>
      <c r="B8" s="9" t="s">
        <v>183</v>
      </c>
      <c r="C8" s="9" t="s">
        <v>184</v>
      </c>
      <c r="D8" s="8" t="s">
        <v>26</v>
      </c>
      <c r="E8" s="55">
        <f>단가산출근거!C319</f>
        <v>30398</v>
      </c>
      <c r="F8" s="54">
        <f>단가산출근거!D319</f>
        <v>18289</v>
      </c>
      <c r="G8" s="63">
        <f>단가산출근거!E319</f>
        <v>5101</v>
      </c>
      <c r="H8" s="55">
        <f>단가산출근거!F319</f>
        <v>7008</v>
      </c>
      <c r="I8" s="14" t="s">
        <v>33</v>
      </c>
      <c r="J8" s="36" t="str">
        <f>"_x0007_`COD|D01129_x0005_`QTY1|1_x0005_`BQC|_x0005_`EQC|_x0005_`JDC|_x0005_`WQC|_x0005_`EDT|_x0005_`ADJ|F_x0005_`NAG|0_x0005_`UC|F_x0005_`DET|"&amp;ROW(단가산출근거!A215)&amp;"_x0005_`"</f>
        <v>_x0007_`COD|D01129_x0005_`QTY1|1_x0005_`BQC|_x0005_`EQC|_x0005_`JDC|_x0005_`WQC|_x0005_`EDT|_x0005_`ADJ|F_x0005_`NAG|0_x0005_`UC|F_x0005_`DET|215_x0005_`</v>
      </c>
      <c r="K8" s="19" t="str">
        <f ca="1">HYPERLINK("#"&amp;단가산출근거!G2&amp;"!A"&amp;ROW(단가산출근거!A215),"산근    5 →")</f>
        <v>산근    5 →</v>
      </c>
    </row>
    <row r="9" spans="1:11" ht="22.35" customHeight="1" x14ac:dyDescent="0.3">
      <c r="A9" s="8" t="s">
        <v>37</v>
      </c>
      <c r="B9" s="9" t="s">
        <v>187</v>
      </c>
      <c r="C9" s="9" t="s">
        <v>188</v>
      </c>
      <c r="D9" s="8" t="s">
        <v>14</v>
      </c>
      <c r="E9" s="55">
        <f>단가산출근거!C354</f>
        <v>1641</v>
      </c>
      <c r="F9" s="54">
        <f>단가산출근거!D354</f>
        <v>944</v>
      </c>
      <c r="G9" s="63">
        <f>단가산출근거!E354</f>
        <v>305</v>
      </c>
      <c r="H9" s="55">
        <f>단가산출근거!F354</f>
        <v>392</v>
      </c>
      <c r="I9" s="14" t="s">
        <v>37</v>
      </c>
      <c r="J9" s="36" t="str">
        <f>"_x0007_`COD|D01343_x0005_`QTY1|1_x0005_`BQC|_x0005_`EQC|_x0005_`JDC|_x0005_`WQC|_x0005_`EDT|_x0005_`ADJ|F_x0005_`NAG|0_x0005_`UC|F_x0005_`DET|"&amp;ROW(단가산출근거!A320)&amp;"_x0005_`"</f>
        <v>_x0007_`COD|D01343_x0005_`QTY1|1_x0005_`BQC|_x0005_`EQC|_x0005_`JDC|_x0005_`WQC|_x0005_`EDT|_x0005_`ADJ|F_x0005_`NAG|0_x0005_`UC|F_x0005_`DET|320_x0005_`</v>
      </c>
      <c r="K9" s="19" t="str">
        <f ca="1">HYPERLINK("#"&amp;단가산출근거!G2&amp;"!A"&amp;ROW(단가산출근거!A320),"산근    6 →")</f>
        <v>산근    6 →</v>
      </c>
    </row>
    <row r="10" spans="1:11" ht="22.35" customHeight="1" x14ac:dyDescent="0.3">
      <c r="A10" s="8" t="s">
        <v>41</v>
      </c>
      <c r="B10" s="9" t="s">
        <v>183</v>
      </c>
      <c r="C10" s="9" t="s">
        <v>191</v>
      </c>
      <c r="D10" s="8" t="s">
        <v>26</v>
      </c>
      <c r="E10" s="55">
        <f>단가산출근거!C459</f>
        <v>29098</v>
      </c>
      <c r="F10" s="54">
        <f>단가산출근거!D459</f>
        <v>17543</v>
      </c>
      <c r="G10" s="63">
        <f>단가산출근거!E459</f>
        <v>4874</v>
      </c>
      <c r="H10" s="55">
        <f>단가산출근거!F459</f>
        <v>6681</v>
      </c>
      <c r="I10" s="14" t="s">
        <v>41</v>
      </c>
      <c r="J10" s="36" t="str">
        <f>"_x0007_`COD|D02119_x0005_`QTY1|1_x0005_`BQC|_x0005_`EQC|_x0005_`JDC|_x0005_`WQC|_x0005_`EDT|_x0005_`ADJ|F_x0005_`NAG|0_x0005_`UC|F_x0005_`DET|"&amp;ROW(단가산출근거!A355)&amp;"_x0005_`"</f>
        <v>_x0007_`COD|D02119_x0005_`QTY1|1_x0005_`BQC|_x0005_`EQC|_x0005_`JDC|_x0005_`WQC|_x0005_`EDT|_x0005_`ADJ|F_x0005_`NAG|0_x0005_`UC|F_x0005_`DET|355_x0005_`</v>
      </c>
      <c r="K10" s="19" t="str">
        <f ca="1">HYPERLINK("#"&amp;단가산출근거!G2&amp;"!A"&amp;ROW(단가산출근거!A355),"산근    7 →")</f>
        <v>산근    7 →</v>
      </c>
    </row>
    <row r="11" spans="1:11" ht="22.35" customHeight="1" x14ac:dyDescent="0.3">
      <c r="A11" s="8" t="s">
        <v>46</v>
      </c>
      <c r="B11" s="9" t="s">
        <v>194</v>
      </c>
      <c r="C11" s="9" t="s">
        <v>188</v>
      </c>
      <c r="D11" s="8" t="s">
        <v>14</v>
      </c>
      <c r="E11" s="55">
        <f>단가산출근거!C494</f>
        <v>1279</v>
      </c>
      <c r="F11" s="54">
        <f>단가산출근거!D494</f>
        <v>736</v>
      </c>
      <c r="G11" s="63">
        <f>단가산출근거!E494</f>
        <v>238</v>
      </c>
      <c r="H11" s="55">
        <f>단가산출근거!F494</f>
        <v>305</v>
      </c>
      <c r="I11" s="14" t="s">
        <v>46</v>
      </c>
      <c r="J11" s="36" t="str">
        <f>"_x0007_`COD|D02139_x0005_`QTY1|1_x0005_`BQC|_x0005_`EQC|_x0005_`JDC|_x0005_`WQC|_x0005_`EDT|_x0005_`ADJ|F_x0005_`NAG|0_x0005_`UC|F_x0005_`DET|"&amp;ROW(단가산출근거!A460)&amp;"_x0005_`"</f>
        <v>_x0007_`COD|D02139_x0005_`QTY1|1_x0005_`BQC|_x0005_`EQC|_x0005_`JDC|_x0005_`WQC|_x0005_`EDT|_x0005_`ADJ|F_x0005_`NAG|0_x0005_`UC|F_x0005_`DET|460_x0005_`</v>
      </c>
      <c r="K11" s="19" t="str">
        <f ca="1">HYPERLINK("#"&amp;단가산출근거!G2&amp;"!A"&amp;ROW(단가산출근거!A460),"산근    8 →")</f>
        <v>산근    8 →</v>
      </c>
    </row>
    <row r="12" spans="1:11" ht="22.35" customHeight="1" x14ac:dyDescent="0.3">
      <c r="A12" s="8" t="s">
        <v>50</v>
      </c>
      <c r="B12" s="9" t="s">
        <v>197</v>
      </c>
      <c r="C12" s="9" t="s">
        <v>198</v>
      </c>
      <c r="D12" s="8" t="s">
        <v>26</v>
      </c>
      <c r="E12" s="55">
        <f>단가산출근거!C529</f>
        <v>36282</v>
      </c>
      <c r="F12" s="54">
        <f>단가산출근거!D529</f>
        <v>31636</v>
      </c>
      <c r="G12" s="63">
        <f>단가산출근거!E529</f>
        <v>3697</v>
      </c>
      <c r="H12" s="55">
        <f>단가산출근거!F529</f>
        <v>949</v>
      </c>
      <c r="I12" s="14" t="s">
        <v>50</v>
      </c>
      <c r="J12" s="36" t="str">
        <f>"_x0007_`COD|D02195_x0005_`QTY1|1_x0005_`BQC|_x0005_`EQC|_x0005_`JDC|_x0005_`WQC|_x0005_`EDT|_x0005_`ADJ|F_x0005_`NAG|0_x0005_`UC|F_x0005_`DET|"&amp;ROW(단가산출근거!A495)&amp;"_x0005_`"</f>
        <v>_x0007_`COD|D02195_x0005_`QTY1|1_x0005_`BQC|_x0005_`EQC|_x0005_`JDC|_x0005_`WQC|_x0005_`EDT|_x0005_`ADJ|F_x0005_`NAG|0_x0005_`UC|F_x0005_`DET|495_x0005_`</v>
      </c>
      <c r="K12" s="19" t="str">
        <f ca="1">HYPERLINK("#"&amp;단가산출근거!G2&amp;"!A"&amp;ROW(단가산출근거!A495),"산근    9 →")</f>
        <v>산근    9 →</v>
      </c>
    </row>
    <row r="13" spans="1:11" ht="22.35" customHeight="1" x14ac:dyDescent="0.3">
      <c r="A13" s="8" t="s">
        <v>56</v>
      </c>
      <c r="B13" s="9" t="s">
        <v>42</v>
      </c>
      <c r="C13" s="9" t="s">
        <v>201</v>
      </c>
      <c r="D13" s="8" t="s">
        <v>14</v>
      </c>
      <c r="E13" s="55">
        <f>단가산출근거!C599</f>
        <v>67383</v>
      </c>
      <c r="F13" s="54">
        <f>단가산출근거!D599</f>
        <v>66071</v>
      </c>
      <c r="G13" s="63">
        <f>단가산출근거!E599</f>
        <v>1008</v>
      </c>
      <c r="H13" s="55">
        <f>단가산출근거!F599</f>
        <v>304</v>
      </c>
      <c r="I13" s="14" t="s">
        <v>56</v>
      </c>
      <c r="J13" s="36" t="str">
        <f>"_x0007_`COD|D02200_x0005_`QTY1|1_x0005_`BQC|_x0005_`EQC|_x0005_`JDC|_x0005_`WQC|_x0005_`EDT|_x0005_`ADJ|F_x0005_`NAG|0_x0005_`UC|F_x0005_`DET|"&amp;ROW(단가산출근거!A530)&amp;"_x0005_`"</f>
        <v>_x0007_`COD|D02200_x0005_`QTY1|1_x0005_`BQC|_x0005_`EQC|_x0005_`JDC|_x0005_`WQC|_x0005_`EDT|_x0005_`ADJ|F_x0005_`NAG|0_x0005_`UC|F_x0005_`DET|530_x0005_`</v>
      </c>
      <c r="K13" s="19" t="str">
        <f ca="1">HYPERLINK("#"&amp;단가산출근거!G2&amp;"!A"&amp;ROW(단가산출근거!A530),"산근   10 →")</f>
        <v>산근   10 →</v>
      </c>
    </row>
    <row r="14" spans="1:11" ht="22.35" customHeight="1" x14ac:dyDescent="0.3">
      <c r="A14" s="8" t="s">
        <v>60</v>
      </c>
      <c r="B14" s="9" t="s">
        <v>197</v>
      </c>
      <c r="C14" s="9" t="s">
        <v>204</v>
      </c>
      <c r="D14" s="8" t="s">
        <v>26</v>
      </c>
      <c r="E14" s="55">
        <f>단가산출근거!C634</f>
        <v>41739</v>
      </c>
      <c r="F14" s="54">
        <f>단가산출근거!D634</f>
        <v>36155</v>
      </c>
      <c r="G14" s="63">
        <f>단가산출근거!E634</f>
        <v>4500</v>
      </c>
      <c r="H14" s="55">
        <f>단가산출근거!F634</f>
        <v>1084</v>
      </c>
      <c r="I14" s="14" t="s">
        <v>60</v>
      </c>
      <c r="J14" s="36" t="str">
        <f>"_x0007_`COD|D02246_x0005_`QTY1|1_x0005_`BQC|2024년 개정_x0005_`EQC|_x0005_`JDC|_x0005_`WQC|_x0005_`EDT|_x0005_`ADJ|T_x0005_`SBM| _x0005_`ADJM|1_x0005_`ADJL|1_x0005_`ADJS|1_x0005_`NAG|0_x0005_`UC|F_x0005_`DET|"&amp;ROW(단가산출근거!A600)&amp;"_x0005_`"</f>
        <v>_x0007_`COD|D02246_x0005_`QTY1|1_x0005_`BQC|2024년 개정_x0005_`EQC|_x0005_`JDC|_x0005_`WQC|_x0005_`EDT|_x0005_`ADJ|T_x0005_`SBM| _x0005_`ADJM|1_x0005_`ADJL|1_x0005_`ADJS|1_x0005_`NAG|0_x0005_`UC|F_x0005_`DET|600_x0005_`</v>
      </c>
      <c r="K14" s="19" t="str">
        <f ca="1">HYPERLINK("#"&amp;단가산출근거!G2&amp;"!A"&amp;ROW(단가산출근거!A600),"산근   11 →")</f>
        <v>산근   11 →</v>
      </c>
    </row>
    <row r="15" spans="1:11" ht="22.35" customHeight="1" x14ac:dyDescent="0.3">
      <c r="A15" s="8" t="s">
        <v>65</v>
      </c>
      <c r="B15" s="9" t="s">
        <v>207</v>
      </c>
      <c r="C15" s="9" t="s">
        <v>208</v>
      </c>
      <c r="D15" s="8" t="s">
        <v>26</v>
      </c>
      <c r="E15" s="55">
        <f>단가산출근거!C669</f>
        <v>5621</v>
      </c>
      <c r="F15" s="54">
        <f>단가산출근거!D669</f>
        <v>5458</v>
      </c>
      <c r="G15" s="63">
        <f>단가산출근거!E669</f>
        <v>0</v>
      </c>
      <c r="H15" s="55">
        <f>단가산출근거!F669</f>
        <v>163</v>
      </c>
      <c r="I15" s="14" t="s">
        <v>65</v>
      </c>
      <c r="J15" s="36" t="str">
        <f>"_x0007_`COD|D02248_x0005_`QTY1|1_x0005_`BQC|2024년 개정_x0005_`EQC|_x0005_`JDC|_x0005_`WQC|_x0005_`EDT|_x0005_`ADJ|T_x0005_`SBM| _x0005_`ADJM|1_x0005_`ADJL|1_x0005_`ADJS|1_x0005_`NAG|0_x0005_`UC|F_x0005_`DET|"&amp;ROW(단가산출근거!A635)&amp;"_x0005_`"</f>
        <v>_x0007_`COD|D02248_x0005_`QTY1|1_x0005_`BQC|2024년 개정_x0005_`EQC|_x0005_`JDC|_x0005_`WQC|_x0005_`EDT|_x0005_`ADJ|T_x0005_`SBM| _x0005_`ADJM|1_x0005_`ADJL|1_x0005_`ADJS|1_x0005_`NAG|0_x0005_`UC|F_x0005_`DET|635_x0005_`</v>
      </c>
      <c r="K15" s="19" t="str">
        <f ca="1">HYPERLINK("#"&amp;단가산출근거!G2&amp;"!A"&amp;ROW(단가산출근거!A635),"산근   12 →")</f>
        <v>산근   12 →</v>
      </c>
    </row>
    <row r="16" spans="1:11" ht="22.35" customHeight="1" x14ac:dyDescent="0.3">
      <c r="A16" s="8" t="s">
        <v>71</v>
      </c>
      <c r="B16" s="9" t="s">
        <v>211</v>
      </c>
      <c r="C16" s="9" t="s">
        <v>212</v>
      </c>
      <c r="D16" s="8" t="s">
        <v>213</v>
      </c>
      <c r="E16" s="55">
        <f>단가산출근거!C739</f>
        <v>970987</v>
      </c>
      <c r="F16" s="54">
        <f>단가산출근거!D739</f>
        <v>922307</v>
      </c>
      <c r="G16" s="63">
        <f>단가산출근거!E739</f>
        <v>13680</v>
      </c>
      <c r="H16" s="55">
        <f>단가산출근거!F739</f>
        <v>35000</v>
      </c>
      <c r="I16" s="14" t="s">
        <v>71</v>
      </c>
      <c r="J16" s="36" t="str">
        <f>"_x0007_`COD|D02251_x0005_`QTY1|1_x0005_`BQC|2024년 개정_x0005_`EQC|_x0005_`JDC|_x0005_`WQC|_x0005_`EDT|_x0005_`ADJ|T_x0005_`SBM| _x0005_`ADJM|1_x0005_`ADJL|1_x0005_`ADJS|1_x0005_`NAG|0_x0005_`UC|F_x0005_`DET|"&amp;ROW(단가산출근거!A670)&amp;"_x0005_`"</f>
        <v>_x0007_`COD|D02251_x0005_`QTY1|1_x0005_`BQC|2024년 개정_x0005_`EQC|_x0005_`JDC|_x0005_`WQC|_x0005_`EDT|_x0005_`ADJ|T_x0005_`SBM| _x0005_`ADJM|1_x0005_`ADJL|1_x0005_`ADJS|1_x0005_`NAG|0_x0005_`UC|F_x0005_`DET|670_x0005_`</v>
      </c>
      <c r="K16" s="19" t="str">
        <f ca="1">HYPERLINK("#"&amp;단가산출근거!G2&amp;"!A"&amp;ROW(단가산출근거!A670),"산근   13 →")</f>
        <v>산근   13 →</v>
      </c>
    </row>
    <row r="17" spans="1:11" ht="22.35" customHeight="1" x14ac:dyDescent="0.3">
      <c r="A17" s="8" t="s">
        <v>75</v>
      </c>
      <c r="B17" s="9" t="s">
        <v>216</v>
      </c>
      <c r="C17" s="9" t="s">
        <v>217</v>
      </c>
      <c r="D17" s="8" t="s">
        <v>14</v>
      </c>
      <c r="E17" s="55">
        <f>단가산출근거!C809</f>
        <v>27665</v>
      </c>
      <c r="F17" s="54">
        <f>단가산출근거!D809</f>
        <v>22142</v>
      </c>
      <c r="G17" s="63">
        <f>단가산출근거!E809</f>
        <v>2285</v>
      </c>
      <c r="H17" s="55">
        <f>단가산출근거!F809</f>
        <v>3238</v>
      </c>
      <c r="I17" s="14" t="s">
        <v>75</v>
      </c>
      <c r="J17" s="36" t="str">
        <f>"_x0007_`COD|D02262_x0005_`QTY1|1_x0005_`BQC|24년_x0005_`EQC|_x0005_`JDC|_x0005_`WQC|_x0005_`EDT|_x0005_`ADJ|F_x0005_`NAG|0_x0005_`UC|F_x0005_`DET|"&amp;ROW(단가산출근거!A740)&amp;"_x0005_`"</f>
        <v>_x0007_`COD|D02262_x0005_`QTY1|1_x0005_`BQC|24년_x0005_`EQC|_x0005_`JDC|_x0005_`WQC|_x0005_`EDT|_x0005_`ADJ|F_x0005_`NAG|0_x0005_`UC|F_x0005_`DET|740_x0005_`</v>
      </c>
      <c r="K17" s="19" t="str">
        <f ca="1">HYPERLINK("#"&amp;단가산출근거!G2&amp;"!A"&amp;ROW(단가산출근거!A740),"산근   14 →")</f>
        <v>산근   14 →</v>
      </c>
    </row>
    <row r="18" spans="1:11" ht="22.35" customHeight="1" x14ac:dyDescent="0.3">
      <c r="A18" s="8" t="s">
        <v>79</v>
      </c>
      <c r="B18" s="9" t="s">
        <v>220</v>
      </c>
      <c r="C18" s="9" t="s">
        <v>188</v>
      </c>
      <c r="D18" s="8" t="s">
        <v>14</v>
      </c>
      <c r="E18" s="55">
        <f>단가산출근거!C843</f>
        <v>1714</v>
      </c>
      <c r="F18" s="54">
        <f>단가산출근거!D843</f>
        <v>987</v>
      </c>
      <c r="G18" s="63">
        <f>단가산출근거!E843</f>
        <v>318</v>
      </c>
      <c r="H18" s="55">
        <f>단가산출근거!F843</f>
        <v>409</v>
      </c>
      <c r="I18" s="14" t="s">
        <v>79</v>
      </c>
      <c r="J18" s="36" t="str">
        <f>"_x0007_`COD|D02264_x0005_`QTY1|1_x0005_`BQC|_x0005_`EQC|_x0005_`JDC|_x0005_`WQC|_x0005_`EDT|_x0005_`ADJ|F_x0005_`NAG|88.5_x0005_`UC|T_x0005_`DET|"&amp;ROW(단가산출근거!A810)&amp;"_x0005_`"</f>
        <v>_x0007_`COD|D02264_x0005_`QTY1|1_x0005_`BQC|_x0005_`EQC|_x0005_`JDC|_x0005_`WQC|_x0005_`EDT|_x0005_`ADJ|F_x0005_`NAG|88.5_x0005_`UC|T_x0005_`DET|810_x0005_`</v>
      </c>
      <c r="K18" s="19" t="str">
        <f ca="1">HYPERLINK("#"&amp;단가산출근거!G2&amp;"!A"&amp;ROW(단가산출근거!A810),"산근   15 →")</f>
        <v>산근   15 →</v>
      </c>
    </row>
    <row r="19" spans="1:11" ht="22.35" customHeight="1" x14ac:dyDescent="0.3">
      <c r="A19" s="8" t="s">
        <v>83</v>
      </c>
      <c r="B19" s="9" t="s">
        <v>223</v>
      </c>
      <c r="C19" s="9" t="s">
        <v>224</v>
      </c>
      <c r="D19" s="8" t="s">
        <v>14</v>
      </c>
      <c r="E19" s="55">
        <f>단가산출근거!C912</f>
        <v>21128</v>
      </c>
      <c r="F19" s="54">
        <f>단가산출근거!D912</f>
        <v>10971</v>
      </c>
      <c r="G19" s="63">
        <f>단가산출근거!E912</f>
        <v>3625</v>
      </c>
      <c r="H19" s="55">
        <f>단가산출근거!F912</f>
        <v>6532</v>
      </c>
      <c r="I19" s="14" t="s">
        <v>83</v>
      </c>
      <c r="J19" s="36" t="str">
        <f>"_x0007_`COD|D02265_x0005_`QTY1|1_x0005_`BQC|_x0005_`EQC|_x0005_`JDC|_x0005_`WQC|_x0005_`EDT|_x0005_`ADJ|F_x0005_`NAG|88.5_x0005_`UC|T_x0005_`DET|"&amp;ROW(단가산출근거!A844)&amp;"_x0005_`"</f>
        <v>_x0007_`COD|D02265_x0005_`QTY1|1_x0005_`BQC|_x0005_`EQC|_x0005_`JDC|_x0005_`WQC|_x0005_`EDT|_x0005_`ADJ|F_x0005_`NAG|88.5_x0005_`UC|T_x0005_`DET|844_x0005_`</v>
      </c>
      <c r="K19" s="19" t="str">
        <f ca="1">HYPERLINK("#"&amp;단가산출근거!G2&amp;"!A"&amp;ROW(단가산출근거!A844),"산근   16 →")</f>
        <v>산근   16 →</v>
      </c>
    </row>
    <row r="20" spans="1:11" ht="22.35" customHeight="1" x14ac:dyDescent="0.3">
      <c r="A20" s="8" t="s">
        <v>86</v>
      </c>
      <c r="B20" s="9" t="s">
        <v>227</v>
      </c>
      <c r="C20" s="9" t="s">
        <v>228</v>
      </c>
      <c r="D20" s="8" t="s">
        <v>14</v>
      </c>
      <c r="E20" s="55">
        <f>단가산출근거!C1016</f>
        <v>9944</v>
      </c>
      <c r="F20" s="54">
        <f>단가산출근거!D1016</f>
        <v>3755</v>
      </c>
      <c r="G20" s="63">
        <f>단가산출근거!E1016</f>
        <v>4866</v>
      </c>
      <c r="H20" s="55">
        <f>단가산출근거!F1016</f>
        <v>1323</v>
      </c>
      <c r="I20" s="14" t="s">
        <v>86</v>
      </c>
      <c r="J20" s="36" t="str">
        <f>"_x0007_`COD|D02266_x0005_`QTY1|1_x0005_`BQC|_x0005_`EQC|_x0005_`JDC|_x0005_`WQC|_x0005_`EDT|_x0005_`ADJ|F_x0005_`NAG|88.5_x0005_`UC|T_x0005_`DET|"&amp;ROW(단가산출근거!A913)&amp;"_x0005_`"</f>
        <v>_x0007_`COD|D02266_x0005_`QTY1|1_x0005_`BQC|_x0005_`EQC|_x0005_`JDC|_x0005_`WQC|_x0005_`EDT|_x0005_`ADJ|F_x0005_`NAG|88.5_x0005_`UC|T_x0005_`DET|913_x0005_`</v>
      </c>
      <c r="K20" s="19" t="str">
        <f ca="1">HYPERLINK("#"&amp;단가산출근거!G2&amp;"!A"&amp;ROW(단가산출근거!A913),"산근   17 →")</f>
        <v>산근   17 →</v>
      </c>
    </row>
    <row r="21" spans="1:11" ht="22.35" customHeight="1" x14ac:dyDescent="0.3">
      <c r="A21" s="8" t="s">
        <v>91</v>
      </c>
      <c r="B21" s="9" t="s">
        <v>187</v>
      </c>
      <c r="C21" s="9" t="s">
        <v>188</v>
      </c>
      <c r="D21" s="8" t="s">
        <v>14</v>
      </c>
      <c r="E21" s="55">
        <f>단가산출근거!C1050</f>
        <v>1450</v>
      </c>
      <c r="F21" s="54">
        <f>단가산출근거!D1050</f>
        <v>835</v>
      </c>
      <c r="G21" s="63">
        <f>단가산출근거!E1050</f>
        <v>269</v>
      </c>
      <c r="H21" s="55">
        <f>단가산출근거!F1050</f>
        <v>346</v>
      </c>
      <c r="I21" s="14" t="s">
        <v>91</v>
      </c>
      <c r="J21" s="36" t="str">
        <f>"_x0007_`COD|D02267_x0005_`QTY1|1_x0005_`BQC|_x0005_`EQC|_x0005_`JDC|_x0005_`WQC|_x0005_`EDT|_x0005_`ADJ|F_x0005_`NAG|88.5_x0005_`UC|T_x0005_`DET|"&amp;ROW(단가산출근거!A1017)&amp;"_x0005_`"</f>
        <v>_x0007_`COD|D02267_x0005_`QTY1|1_x0005_`BQC|_x0005_`EQC|_x0005_`JDC|_x0005_`WQC|_x0005_`EDT|_x0005_`ADJ|F_x0005_`NAG|88.5_x0005_`UC|T_x0005_`DET|1017_x0005_`</v>
      </c>
      <c r="K21" s="19" t="str">
        <f ca="1">HYPERLINK("#"&amp;단가산출근거!G2&amp;"!A"&amp;ROW(단가산출근거!A1017),"산근   18 →")</f>
        <v>산근   18 →</v>
      </c>
    </row>
    <row r="22" spans="1:11" ht="22.35" customHeight="1" x14ac:dyDescent="0.3">
      <c r="A22" s="8" t="s">
        <v>95</v>
      </c>
      <c r="B22" s="9" t="s">
        <v>233</v>
      </c>
      <c r="C22" s="9" t="s">
        <v>234</v>
      </c>
      <c r="D22" s="8" t="s">
        <v>14</v>
      </c>
      <c r="E22" s="55">
        <f>단가산출근거!C1119</f>
        <v>31331</v>
      </c>
      <c r="F22" s="54">
        <f>단가산출근거!D1119</f>
        <v>16310</v>
      </c>
      <c r="G22" s="63">
        <f>단가산출근거!E1119</f>
        <v>5385</v>
      </c>
      <c r="H22" s="55">
        <f>단가산출근거!F1119</f>
        <v>9636</v>
      </c>
      <c r="I22" s="14" t="s">
        <v>95</v>
      </c>
      <c r="J22" s="36" t="str">
        <f>"_x0007_`COD|D02268_x0005_`QTY1|1_x0005_`BQC|_x0005_`EQC|_x0005_`JDC|_x0005_`WQC|_x0005_`EDT|_x0005_`ADJ|F_x0005_`NAG|88.5_x0005_`UC|T_x0005_`DET|"&amp;ROW(단가산출근거!A1051)&amp;"_x0005_`"</f>
        <v>_x0007_`COD|D02268_x0005_`QTY1|1_x0005_`BQC|_x0005_`EQC|_x0005_`JDC|_x0005_`WQC|_x0005_`EDT|_x0005_`ADJ|F_x0005_`NAG|88.5_x0005_`UC|T_x0005_`DET|1051_x0005_`</v>
      </c>
      <c r="K22" s="19" t="str">
        <f ca="1">HYPERLINK("#"&amp;단가산출근거!G2&amp;"!A"&amp;ROW(단가산출근거!A1051),"산근   19 →")</f>
        <v>산근   19 →</v>
      </c>
    </row>
    <row r="23" spans="1:11" ht="22.35" customHeight="1" x14ac:dyDescent="0.3">
      <c r="A23" s="8" t="s">
        <v>100</v>
      </c>
      <c r="B23" s="9" t="s">
        <v>237</v>
      </c>
      <c r="C23" s="9" t="s">
        <v>188</v>
      </c>
      <c r="D23" s="8" t="s">
        <v>14</v>
      </c>
      <c r="E23" s="55">
        <f>단가산출근거!C1188</f>
        <v>1256</v>
      </c>
      <c r="F23" s="54">
        <f>단가산출근거!D1188</f>
        <v>723</v>
      </c>
      <c r="G23" s="63">
        <f>단가산출근거!E1188</f>
        <v>233</v>
      </c>
      <c r="H23" s="55">
        <f>단가산출근거!F1188</f>
        <v>300</v>
      </c>
      <c r="I23" s="14" t="s">
        <v>100</v>
      </c>
      <c r="J23" s="36" t="str">
        <f>"_x0007_`COD|D02269_x0005_`QTY1|1_x0005_`BQC|_x0005_`EQC|_x0005_`JDC|_x0005_`WQC|_x0005_`EDT|_x0005_`ADJ|F_x0005_`NAG|88.5_x0005_`UC|T_x0005_`DET|"&amp;ROW(단가산출근거!A1120)&amp;"_x0005_`"</f>
        <v>_x0007_`COD|D02269_x0005_`QTY1|1_x0005_`BQC|_x0005_`EQC|_x0005_`JDC|_x0005_`WQC|_x0005_`EDT|_x0005_`ADJ|F_x0005_`NAG|88.5_x0005_`UC|T_x0005_`DET|1120_x0005_`</v>
      </c>
      <c r="K23" s="19" t="str">
        <f ca="1">HYPERLINK("#"&amp;단가산출근거!G2&amp;"!A"&amp;ROW(단가산출근거!A1120),"산근   20 →")</f>
        <v>산근   20 →</v>
      </c>
    </row>
    <row r="24" spans="1:11" ht="22.35" customHeight="1" x14ac:dyDescent="0.3">
      <c r="A24" s="8" t="s">
        <v>104</v>
      </c>
      <c r="B24" s="9" t="s">
        <v>240</v>
      </c>
      <c r="C24" s="9" t="s">
        <v>241</v>
      </c>
      <c r="D24" s="8" t="s">
        <v>14</v>
      </c>
      <c r="E24" s="55">
        <f>단가산출근거!C1222</f>
        <v>2063</v>
      </c>
      <c r="F24" s="54">
        <f>단가산출근거!D1222</f>
        <v>1315</v>
      </c>
      <c r="G24" s="63">
        <f>단가산출근거!E1222</f>
        <v>362</v>
      </c>
      <c r="H24" s="55">
        <f>단가산출근거!F1222</f>
        <v>386</v>
      </c>
      <c r="I24" s="14" t="s">
        <v>104</v>
      </c>
      <c r="J24" s="36" t="str">
        <f>"_x0007_`COD|D02270_x0005_`QTY1|1_x0005_`BQC|_x0005_`EQC|_x0005_`JDC|_x0005_`WQC|_x0005_`EDT|_x0005_`ADJ|F_x0005_`NAG|88.5_x0005_`UC|T_x0005_`DET|"&amp;ROW(단가산출근거!A1189)&amp;"_x0005_`"</f>
        <v>_x0007_`COD|D02270_x0005_`QTY1|1_x0005_`BQC|_x0005_`EQC|_x0005_`JDC|_x0005_`WQC|_x0005_`EDT|_x0005_`ADJ|F_x0005_`NAG|88.5_x0005_`UC|T_x0005_`DET|1189_x0005_`</v>
      </c>
      <c r="K24" s="19" t="str">
        <f ca="1">HYPERLINK("#"&amp;단가산출근거!G2&amp;"!A"&amp;ROW(단가산출근거!A1189),"산근   21 →")</f>
        <v>산근   21 →</v>
      </c>
    </row>
    <row r="25" spans="1:11" ht="22.35" customHeight="1" x14ac:dyDescent="0.3">
      <c r="A25" s="8" t="s">
        <v>108</v>
      </c>
      <c r="B25" s="9" t="s">
        <v>244</v>
      </c>
      <c r="C25" s="9" t="s">
        <v>234</v>
      </c>
      <c r="D25" s="8" t="s">
        <v>14</v>
      </c>
      <c r="E25" s="55">
        <f>단가산출근거!C1291</f>
        <v>31331</v>
      </c>
      <c r="F25" s="54">
        <f>단가산출근거!D1291</f>
        <v>16310</v>
      </c>
      <c r="G25" s="63">
        <f>단가산출근거!E1291</f>
        <v>5385</v>
      </c>
      <c r="H25" s="55">
        <f>단가산출근거!F1291</f>
        <v>9636</v>
      </c>
      <c r="I25" s="14" t="s">
        <v>108</v>
      </c>
      <c r="J25" s="36" t="str">
        <f>"_x0007_`COD|D02271_x0005_`QTY1|1_x0005_`BQC|_x0005_`EQC|_x0005_`JDC|_x0005_`WQC|_x0005_`EDT|_x0005_`ADJ|F_x0005_`NAG|88.5_x0005_`UC|T_x0005_`DET|"&amp;ROW(단가산출근거!A1223)&amp;"_x0005_`"</f>
        <v>_x0007_`COD|D02271_x0005_`QTY1|1_x0005_`BQC|_x0005_`EQC|_x0005_`JDC|_x0005_`WQC|_x0005_`EDT|_x0005_`ADJ|F_x0005_`NAG|88.5_x0005_`UC|T_x0005_`DET|1223_x0005_`</v>
      </c>
      <c r="K25" s="19" t="str">
        <f ca="1">HYPERLINK("#"&amp;단가산출근거!G2&amp;"!A"&amp;ROW(단가산출근거!A1223),"산근   22 →")</f>
        <v>산근   22 →</v>
      </c>
    </row>
    <row r="26" spans="1:11" ht="22.35" customHeight="1" x14ac:dyDescent="0.3">
      <c r="A26" s="8" t="s">
        <v>113</v>
      </c>
      <c r="B26" s="9" t="s">
        <v>247</v>
      </c>
      <c r="C26" s="9" t="s">
        <v>248</v>
      </c>
      <c r="D26" s="8" t="s">
        <v>14</v>
      </c>
      <c r="E26" s="91">
        <f>단가산출근거!C1325</f>
        <v>0</v>
      </c>
      <c r="F26" s="94">
        <f>단가산출근거!D1325</f>
        <v>0</v>
      </c>
      <c r="G26" s="95">
        <f>단가산출근거!E1325</f>
        <v>0</v>
      </c>
      <c r="H26" s="91">
        <f>단가산출근거!F1325</f>
        <v>0</v>
      </c>
      <c r="I26" s="14" t="s">
        <v>113</v>
      </c>
      <c r="J26" s="36" t="str">
        <f>"_x0007_`COD|D02272_x0005_`QTY1|1_x0005_`BQC|_x0005_`EQC|_x0005_`JDC|_x0005_`WQC|_x0005_`EDT|_x0005_`ADJ|F_x0005_`NAG|88.5_x0005_`UC|T_x0005_`DET|"&amp;ROW(단가산출근거!A1292)&amp;"_x0005_`"</f>
        <v>_x0007_`COD|D02272_x0005_`QTY1|1_x0005_`BQC|_x0005_`EQC|_x0005_`JDC|_x0005_`WQC|_x0005_`EDT|_x0005_`ADJ|F_x0005_`NAG|88.5_x0005_`UC|T_x0005_`DET|1292_x0005_`</v>
      </c>
      <c r="K26" s="19" t="str">
        <f ca="1">HYPERLINK("#"&amp;단가산출근거!G2&amp;"!A"&amp;ROW(단가산출근거!A1292),"산근   23 →")</f>
        <v>산근   23 →</v>
      </c>
    </row>
    <row r="27" spans="1:11" ht="22.35" customHeight="1" x14ac:dyDescent="0.3">
      <c r="A27" s="8" t="s">
        <v>117</v>
      </c>
      <c r="B27" s="9" t="s">
        <v>251</v>
      </c>
      <c r="C27" s="9" t="s">
        <v>252</v>
      </c>
      <c r="D27" s="8" t="s">
        <v>14</v>
      </c>
      <c r="E27" s="55">
        <f>단가산출근거!C1394</f>
        <v>1988</v>
      </c>
      <c r="F27" s="54">
        <f>단가산출근거!D1394</f>
        <v>879</v>
      </c>
      <c r="G27" s="63">
        <f>단가산출근거!E1394</f>
        <v>582</v>
      </c>
      <c r="H27" s="55">
        <f>단가산출근거!F1394</f>
        <v>527</v>
      </c>
      <c r="I27" s="14" t="s">
        <v>117</v>
      </c>
      <c r="J27" s="36" t="str">
        <f>"_x0007_`COD|D02273_x0005_`QTY1|1_x0005_`BQC|_x0005_`EQC|_x0005_`JDC|_x0005_`WQC|_x0005_`EDT|_x0005_`ADJ|F_x0005_`NAG|88.5_x0005_`UC|T_x0005_`DET|"&amp;ROW(단가산출근거!A1326)&amp;"_x0005_`"</f>
        <v>_x0007_`COD|D02273_x0005_`QTY1|1_x0005_`BQC|_x0005_`EQC|_x0005_`JDC|_x0005_`WQC|_x0005_`EDT|_x0005_`ADJ|F_x0005_`NAG|88.5_x0005_`UC|T_x0005_`DET|1326_x0005_`</v>
      </c>
      <c r="K27" s="19" t="str">
        <f ca="1">HYPERLINK("#"&amp;단가산출근거!G2&amp;"!A"&amp;ROW(단가산출근거!A1326),"산근   24 →")</f>
        <v>산근   24 →</v>
      </c>
    </row>
    <row r="28" spans="1:11" ht="22.35" customHeight="1" x14ac:dyDescent="0.3">
      <c r="A28" s="8" t="s">
        <v>122</v>
      </c>
      <c r="B28" s="9" t="s">
        <v>255</v>
      </c>
      <c r="C28" s="9" t="s">
        <v>256</v>
      </c>
      <c r="D28" s="8" t="s">
        <v>14</v>
      </c>
      <c r="E28" s="55">
        <f>단가산출근거!C1463</f>
        <v>1988</v>
      </c>
      <c r="F28" s="54">
        <f>단가산출근거!D1463</f>
        <v>846</v>
      </c>
      <c r="G28" s="63">
        <f>단가산출근거!E1463</f>
        <v>560</v>
      </c>
      <c r="H28" s="55">
        <f>단가산출근거!F1463</f>
        <v>582</v>
      </c>
      <c r="I28" s="14" t="s">
        <v>122</v>
      </c>
      <c r="J28" s="36" t="str">
        <f>"_x0007_`COD|D02274_x0005_`QTY1|1_x0005_`BQC|_x0005_`EQC|_x0005_`JDC|_x0005_`WQC|_x0005_`EDT|_x0005_`ADJ|F_x0005_`NAG|88.5_x0005_`UC|T_x0005_`DET|"&amp;ROW(단가산출근거!A1395)&amp;"_x0005_`"</f>
        <v>_x0007_`COD|D02274_x0005_`QTY1|1_x0005_`BQC|_x0005_`EQC|_x0005_`JDC|_x0005_`WQC|_x0005_`EDT|_x0005_`ADJ|F_x0005_`NAG|88.5_x0005_`UC|T_x0005_`DET|1395_x0005_`</v>
      </c>
      <c r="K28" s="19" t="str">
        <f ca="1">HYPERLINK("#"&amp;단가산출근거!G2&amp;"!A"&amp;ROW(단가산출근거!A1395),"산근   25 →")</f>
        <v>산근   25 →</v>
      </c>
    </row>
    <row r="29" spans="1:11" ht="22.35" customHeight="1" x14ac:dyDescent="0.3">
      <c r="A29" s="8" t="s">
        <v>127</v>
      </c>
      <c r="B29" s="9" t="s">
        <v>259</v>
      </c>
      <c r="C29" s="9" t="s">
        <v>260</v>
      </c>
      <c r="D29" s="8" t="s">
        <v>14</v>
      </c>
      <c r="E29" s="55">
        <f>단가산출근거!C1567</f>
        <v>6852</v>
      </c>
      <c r="F29" s="54">
        <f>단가산출근거!D1567</f>
        <v>4294</v>
      </c>
      <c r="G29" s="63">
        <f>단가산출근거!E1567</f>
        <v>932</v>
      </c>
      <c r="H29" s="55">
        <f>단가산출근거!F1567</f>
        <v>1626</v>
      </c>
      <c r="I29" s="14" t="s">
        <v>127</v>
      </c>
      <c r="J29" s="36" t="str">
        <f>"_x0007_`COD|D02275_x0005_`QTY1|1_x0005_`BQC|_x0005_`EQC|_x0005_`JDC|_x0005_`WQC|_x0005_`EDT|_x0005_`ADJ|F_x0005_`NAG|88.5_x0005_`UC|T_x0005_`DET|"&amp;ROW(단가산출근거!A1464)&amp;"_x0005_`"</f>
        <v>_x0007_`COD|D02275_x0005_`QTY1|1_x0005_`BQC|_x0005_`EQC|_x0005_`JDC|_x0005_`WQC|_x0005_`EDT|_x0005_`ADJ|F_x0005_`NAG|88.5_x0005_`UC|T_x0005_`DET|1464_x0005_`</v>
      </c>
      <c r="K29" s="19" t="str">
        <f ca="1">HYPERLINK("#"&amp;단가산출근거!G2&amp;"!A"&amp;ROW(단가산출근거!A1464),"산근   26 →")</f>
        <v>산근   26 →</v>
      </c>
    </row>
    <row r="30" spans="1:11" ht="22.35" customHeight="1" x14ac:dyDescent="0.3">
      <c r="A30" s="8" t="s">
        <v>132</v>
      </c>
      <c r="B30" s="9" t="s">
        <v>263</v>
      </c>
      <c r="C30" s="9" t="s">
        <v>264</v>
      </c>
      <c r="D30" s="8" t="s">
        <v>14</v>
      </c>
      <c r="E30" s="55">
        <f>단가산출근거!C1706</f>
        <v>7742</v>
      </c>
      <c r="F30" s="54">
        <f>단가산출근거!D1706</f>
        <v>4879</v>
      </c>
      <c r="G30" s="63">
        <f>단가산출근거!E1706</f>
        <v>1040</v>
      </c>
      <c r="H30" s="55">
        <f>단가산출근거!F1706</f>
        <v>1823</v>
      </c>
      <c r="I30" s="14" t="s">
        <v>132</v>
      </c>
      <c r="J30" s="36" t="str">
        <f>"_x0007_`COD|D02276_x0005_`QTY1|1_x0005_`BQC|_x0005_`EQC|_x0005_`JDC|_x0005_`WQC|_x0005_`EDT|_x0005_`ADJ|F_x0005_`NAG|88.5_x0005_`UC|T_x0005_`DET|"&amp;ROW(단가산출근거!A1568)&amp;"_x0005_`"</f>
        <v>_x0007_`COD|D02276_x0005_`QTY1|1_x0005_`BQC|_x0005_`EQC|_x0005_`JDC|_x0005_`WQC|_x0005_`EDT|_x0005_`ADJ|F_x0005_`NAG|88.5_x0005_`UC|T_x0005_`DET|1568_x0005_`</v>
      </c>
      <c r="K30" s="19" t="str">
        <f ca="1">HYPERLINK("#"&amp;단가산출근거!G2&amp;"!A"&amp;ROW(단가산출근거!A1568),"산근   27 →")</f>
        <v>산근   27 →</v>
      </c>
    </row>
    <row r="31" spans="1:11" ht="22.35" customHeight="1" x14ac:dyDescent="0.3">
      <c r="A31" s="8" t="s">
        <v>136</v>
      </c>
      <c r="B31" s="9" t="s">
        <v>267</v>
      </c>
      <c r="C31" s="9"/>
      <c r="D31" s="8" t="s">
        <v>14</v>
      </c>
      <c r="E31" s="55">
        <f>단가산출근거!C1775</f>
        <v>2012</v>
      </c>
      <c r="F31" s="54">
        <f>단가산출근거!D1775</f>
        <v>1158</v>
      </c>
      <c r="G31" s="63">
        <f>단가산출근거!E1775</f>
        <v>374</v>
      </c>
      <c r="H31" s="55">
        <f>단가산출근거!F1775</f>
        <v>480</v>
      </c>
      <c r="I31" s="14" t="s">
        <v>136</v>
      </c>
      <c r="J31" s="36" t="str">
        <f>"_x0007_`COD|D02277_x0005_`QTY1|1_x0005_`BQC|_x0005_`EQC|_x0005_`JDC|_x0005_`WQC|_x0005_`EDT|_x0005_`ADJ|F_x0005_`NAG|88.5_x0005_`UC|T_x0005_`DET|"&amp;ROW(단가산출근거!A1707)&amp;"_x0005_`"</f>
        <v>_x0007_`COD|D02277_x0005_`QTY1|1_x0005_`BQC|_x0005_`EQC|_x0005_`JDC|_x0005_`WQC|_x0005_`EDT|_x0005_`ADJ|F_x0005_`NAG|88.5_x0005_`UC|T_x0005_`DET|1707_x0005_`</v>
      </c>
      <c r="K31" s="19" t="str">
        <f ca="1">HYPERLINK("#"&amp;단가산출근거!G2&amp;"!A"&amp;ROW(단가산출근거!A1707),"산근   28 →")</f>
        <v>산근   28 →</v>
      </c>
    </row>
    <row r="32" spans="1:11" ht="22.35" customHeight="1" x14ac:dyDescent="0.3">
      <c r="A32" s="8" t="s">
        <v>140</v>
      </c>
      <c r="B32" s="9" t="s">
        <v>270</v>
      </c>
      <c r="C32" s="9" t="s">
        <v>188</v>
      </c>
      <c r="D32" s="8" t="s">
        <v>26</v>
      </c>
      <c r="E32" s="55">
        <f>단가산출근거!C1809</f>
        <v>1140</v>
      </c>
      <c r="F32" s="54">
        <f>단가산출근거!D1809</f>
        <v>633</v>
      </c>
      <c r="G32" s="63">
        <f>단가산출근거!E1809</f>
        <v>204</v>
      </c>
      <c r="H32" s="55">
        <f>단가산출근거!F1809</f>
        <v>303</v>
      </c>
      <c r="I32" s="14" t="s">
        <v>140</v>
      </c>
      <c r="J32" s="36" t="str">
        <f>"_x0007_`COD|D02278_x0005_`QTY1|1_x0005_`BQC|_x0005_`EQC|_x0005_`JDC|_x0005_`WQC|_x0005_`EDT|_x0005_`ADJ|F_x0005_`NAG|88.5_x0005_`UC|T_x0005_`DET|"&amp;ROW(단가산출근거!A1776)&amp;"_x0005_`"</f>
        <v>_x0007_`COD|D02278_x0005_`QTY1|1_x0005_`BQC|_x0005_`EQC|_x0005_`JDC|_x0005_`WQC|_x0005_`EDT|_x0005_`ADJ|F_x0005_`NAG|88.5_x0005_`UC|T_x0005_`DET|1776_x0005_`</v>
      </c>
      <c r="K32" s="19" t="str">
        <f ca="1">HYPERLINK("#"&amp;단가산출근거!G2&amp;"!A"&amp;ROW(단가산출근거!A1776),"산근   29 →")</f>
        <v>산근   29 →</v>
      </c>
    </row>
    <row r="33" spans="1:11" ht="22.35" customHeight="1" x14ac:dyDescent="0.3">
      <c r="A33" s="8" t="s">
        <v>145</v>
      </c>
      <c r="B33" s="9" t="s">
        <v>273</v>
      </c>
      <c r="C33" s="9" t="s">
        <v>274</v>
      </c>
      <c r="D33" s="8" t="s">
        <v>26</v>
      </c>
      <c r="E33" s="55">
        <f>단가산출근거!C1843</f>
        <v>369</v>
      </c>
      <c r="F33" s="54">
        <f>단가산출근거!D1843</f>
        <v>213</v>
      </c>
      <c r="G33" s="63">
        <f>단가산출근거!E1843</f>
        <v>68</v>
      </c>
      <c r="H33" s="55">
        <f>단가산출근거!F1843</f>
        <v>88</v>
      </c>
      <c r="I33" s="14" t="s">
        <v>145</v>
      </c>
      <c r="J33" s="36" t="str">
        <f>"_x0007_`COD|D02279_x0005_`QTY1|1_x0005_`BQC|_x0005_`EQC|_x0005_`JDC|_x0005_`WQC|_x0005_`EDT|_x0005_`ADJ|F_x0005_`NAG|88.5_x0005_`UC|T_x0005_`DET|"&amp;ROW(단가산출근거!A1810)&amp;"_x0005_`"</f>
        <v>_x0007_`COD|D02279_x0005_`QTY1|1_x0005_`BQC|_x0005_`EQC|_x0005_`JDC|_x0005_`WQC|_x0005_`EDT|_x0005_`ADJ|F_x0005_`NAG|88.5_x0005_`UC|T_x0005_`DET|1810_x0005_`</v>
      </c>
      <c r="K33" s="19" t="str">
        <f ca="1">HYPERLINK("#"&amp;단가산출근거!G2&amp;"!A"&amp;ROW(단가산출근거!A1810),"산근   30 →")</f>
        <v>산근   30 →</v>
      </c>
    </row>
    <row r="34" spans="1:11" ht="22.35" customHeight="1" x14ac:dyDescent="0.3">
      <c r="A34" s="8" t="s">
        <v>149</v>
      </c>
      <c r="B34" s="9" t="s">
        <v>277</v>
      </c>
      <c r="C34" s="9" t="s">
        <v>278</v>
      </c>
      <c r="D34" s="8" t="s">
        <v>279</v>
      </c>
      <c r="E34" s="55">
        <f>단가산출근거!C1912</f>
        <v>473554</v>
      </c>
      <c r="F34" s="54">
        <f>단가산출근거!D1912</f>
        <v>0</v>
      </c>
      <c r="G34" s="63">
        <f>단가산출근거!E1912</f>
        <v>0</v>
      </c>
      <c r="H34" s="55">
        <f>단가산출근거!F1912</f>
        <v>473554</v>
      </c>
      <c r="I34" s="14" t="s">
        <v>149</v>
      </c>
      <c r="J34" s="36" t="str">
        <f>"_x0007_`COD|D02280_x0005_`QTY1|1_x0005_`BQC|_x0005_`EQC|_x0005_`JDC|_x0005_`WQC|_x0005_`EDT|_x0005_`ADJ|T_x0005_`SBM|S_x0005_`ADJM|1_x0005_`ADJL|1_x0005_`ADJS|1_x0005_`NAG|88.5_x0005_`UC|T_x0005_`DET|"&amp;ROW(단가산출근거!A1844)&amp;"_x0005_`"</f>
        <v>_x0007_`COD|D02280_x0005_`QTY1|1_x0005_`BQC|_x0005_`EQC|_x0005_`JDC|_x0005_`WQC|_x0005_`EDT|_x0005_`ADJ|T_x0005_`SBM|S_x0005_`ADJM|1_x0005_`ADJL|1_x0005_`ADJS|1_x0005_`NAG|88.5_x0005_`UC|T_x0005_`DET|1844_x0005_`</v>
      </c>
      <c r="K34" s="19" t="str">
        <f ca="1">HYPERLINK("#"&amp;단가산출근거!G2&amp;"!A"&amp;ROW(단가산출근거!A1844),"산근   31 →")</f>
        <v>산근   31 →</v>
      </c>
    </row>
    <row r="35" spans="1:11" ht="22.35" customHeight="1" x14ac:dyDescent="0.3">
      <c r="A35" s="8" t="s">
        <v>152</v>
      </c>
      <c r="B35" s="9" t="s">
        <v>282</v>
      </c>
      <c r="C35" s="9" t="s">
        <v>278</v>
      </c>
      <c r="D35" s="8" t="s">
        <v>279</v>
      </c>
      <c r="E35" s="55">
        <f>단가산출근거!C1946</f>
        <v>49479</v>
      </c>
      <c r="F35" s="54">
        <f>단가산출근거!D1946</f>
        <v>0</v>
      </c>
      <c r="G35" s="63">
        <f>단가산출근거!E1946</f>
        <v>0</v>
      </c>
      <c r="H35" s="55">
        <f>단가산출근거!F1946</f>
        <v>49479</v>
      </c>
      <c r="I35" s="14" t="s">
        <v>152</v>
      </c>
      <c r="J35" s="36" t="str">
        <f>"_x0007_`COD|D02281_x0005_`QTY1|1_x0005_`BQC|_x0005_`EQC|_x0005_`JDC|_x0005_`WQC|_x0005_`EDT|_x0005_`ADJ|T_x0005_`SBM|S_x0005_`ADJM|1_x0005_`ADJL|1_x0005_`ADJS|1_x0005_`NAG|88.5_x0005_`UC|T_x0005_`DET|"&amp;ROW(단가산출근거!A1913)&amp;"_x0005_`"</f>
        <v>_x0007_`COD|D02281_x0005_`QTY1|1_x0005_`BQC|_x0005_`EQC|_x0005_`JDC|_x0005_`WQC|_x0005_`EDT|_x0005_`ADJ|T_x0005_`SBM|S_x0005_`ADJM|1_x0005_`ADJL|1_x0005_`ADJS|1_x0005_`NAG|88.5_x0005_`UC|T_x0005_`DET|1913_x0005_`</v>
      </c>
      <c r="K35" s="19" t="str">
        <f ca="1">HYPERLINK("#"&amp;단가산출근거!G2&amp;"!A"&amp;ROW(단가산출근거!A1913),"산근   32 →")</f>
        <v>산근   32 →</v>
      </c>
    </row>
    <row r="36" spans="1:11" ht="22.35" customHeight="1" x14ac:dyDescent="0.3">
      <c r="A36" s="8" t="s">
        <v>157</v>
      </c>
      <c r="B36" s="9" t="s">
        <v>285</v>
      </c>
      <c r="C36" s="9" t="s">
        <v>286</v>
      </c>
      <c r="D36" s="8" t="s">
        <v>14</v>
      </c>
      <c r="E36" s="55">
        <f>단가산출근거!C2050</f>
        <v>16268</v>
      </c>
      <c r="F36" s="54">
        <f>단가산출근거!D2050</f>
        <v>0</v>
      </c>
      <c r="G36" s="63">
        <f>단가산출근거!E2050</f>
        <v>0</v>
      </c>
      <c r="H36" s="55">
        <f>단가산출근거!F2050</f>
        <v>16268</v>
      </c>
      <c r="I36" s="14" t="s">
        <v>157</v>
      </c>
      <c r="J36" s="36" t="str">
        <f>"_x0007_`COD|D02282_x0005_`QTY1|1_x0005_`BQC|_x0005_`EQC|_x0005_`JDC|_x0005_`WQC|_x0005_`EDT|_x0005_`ADJ|T_x0005_`SBM|S_x0005_`ADJM|1_x0005_`ADJL|1_x0005_`ADJS|1_x0005_`NAG|88.5_x0005_`UC|T_x0005_`DET|"&amp;ROW(단가산출근거!A1947)&amp;"_x0005_`"</f>
        <v>_x0007_`COD|D02282_x0005_`QTY1|1_x0005_`BQC|_x0005_`EQC|_x0005_`JDC|_x0005_`WQC|_x0005_`EDT|_x0005_`ADJ|T_x0005_`SBM|S_x0005_`ADJM|1_x0005_`ADJL|1_x0005_`ADJS|1_x0005_`NAG|88.5_x0005_`UC|T_x0005_`DET|1947_x0005_`</v>
      </c>
      <c r="K36" s="19" t="str">
        <f ca="1">HYPERLINK("#"&amp;단가산출근거!G2&amp;"!A"&amp;ROW(단가산출근거!A1947),"산근   33 →")</f>
        <v>산근   33 →</v>
      </c>
    </row>
    <row r="37" spans="1:11" ht="22.35" customHeight="1" x14ac:dyDescent="0.3">
      <c r="A37" s="8" t="s">
        <v>162</v>
      </c>
      <c r="B37" s="9" t="s">
        <v>289</v>
      </c>
      <c r="C37" s="9" t="s">
        <v>286</v>
      </c>
      <c r="D37" s="8" t="s">
        <v>14</v>
      </c>
      <c r="E37" s="55">
        <f>단가산출근거!C2154</f>
        <v>17215</v>
      </c>
      <c r="F37" s="54">
        <f>단가산출근거!D2154</f>
        <v>0</v>
      </c>
      <c r="G37" s="63">
        <f>단가산출근거!E2154</f>
        <v>0</v>
      </c>
      <c r="H37" s="55">
        <f>단가산출근거!F2154</f>
        <v>17215</v>
      </c>
      <c r="I37" s="14" t="s">
        <v>162</v>
      </c>
      <c r="J37" s="36" t="str">
        <f>"_x0007_`COD|D02283_x0005_`QTY1|1_x0005_`BQC|_x0005_`EQC|_x0005_`JDC|_x0005_`WQC|_x0005_`EDT|_x0005_`ADJ|T_x0005_`SBM|S_x0005_`ADJM|1_x0005_`ADJL|1_x0005_`ADJS|1_x0005_`NAG|88.5_x0005_`UC|T_x0005_`DET|"&amp;ROW(단가산출근거!A2051)&amp;"_x0005_`"</f>
        <v>_x0007_`COD|D02283_x0005_`QTY1|1_x0005_`BQC|_x0005_`EQC|_x0005_`JDC|_x0005_`WQC|_x0005_`EDT|_x0005_`ADJ|T_x0005_`SBM|S_x0005_`ADJM|1_x0005_`ADJL|1_x0005_`ADJS|1_x0005_`NAG|88.5_x0005_`UC|T_x0005_`DET|2051_x0005_`</v>
      </c>
      <c r="K37" s="19" t="str">
        <f ca="1">HYPERLINK("#"&amp;단가산출근거!G2&amp;"!A"&amp;ROW(단가산출근거!A2051),"산근   34 →")</f>
        <v>산근   34 →</v>
      </c>
    </row>
    <row r="38" spans="1:11" ht="22.35" customHeight="1" x14ac:dyDescent="0.3">
      <c r="A38" s="8" t="s">
        <v>292</v>
      </c>
      <c r="B38" s="9" t="s">
        <v>293</v>
      </c>
      <c r="C38" s="9" t="s">
        <v>294</v>
      </c>
      <c r="D38" s="8" t="s">
        <v>213</v>
      </c>
      <c r="E38" s="55">
        <f>단가산출근거!C2293</f>
        <v>31382</v>
      </c>
      <c r="F38" s="54">
        <f>단가산출근거!D2293</f>
        <v>0</v>
      </c>
      <c r="G38" s="63">
        <f>단가산출근거!E2293</f>
        <v>0</v>
      </c>
      <c r="H38" s="55">
        <f>단가산출근거!F2293</f>
        <v>31382</v>
      </c>
      <c r="I38" s="14" t="s">
        <v>292</v>
      </c>
      <c r="J38" s="36" t="str">
        <f>"_x0007_`COD|D02284_x0005_`QTY1|1_x0005_`BQC|_x0005_`EQC|_x0005_`JDC|_x0005_`WQC|_x0005_`EDT|_x0005_`ADJ|T_x0005_`SBM|S_x0005_`ADJM|1_x0005_`ADJL|1_x0005_`ADJS|1_x0005_`NAG|88.5_x0005_`UC|T_x0005_`DET|"&amp;ROW(단가산출근거!A2155)&amp;"_x0005_`"</f>
        <v>_x0007_`COD|D02284_x0005_`QTY1|1_x0005_`BQC|_x0005_`EQC|_x0005_`JDC|_x0005_`WQC|_x0005_`EDT|_x0005_`ADJ|T_x0005_`SBM|S_x0005_`ADJM|1_x0005_`ADJL|1_x0005_`ADJS|1_x0005_`NAG|88.5_x0005_`UC|T_x0005_`DET|2155_x0005_`</v>
      </c>
      <c r="K38" s="19" t="str">
        <f ca="1">HYPERLINK("#"&amp;단가산출근거!G2&amp;"!A"&amp;ROW(단가산출근거!A2155),"산근   35 →")</f>
        <v>산근   35 →</v>
      </c>
    </row>
    <row r="39" spans="1:11" ht="22.35" customHeight="1" x14ac:dyDescent="0.3">
      <c r="A39" s="8" t="s">
        <v>297</v>
      </c>
      <c r="B39" s="9" t="s">
        <v>298</v>
      </c>
      <c r="C39" s="9" t="s">
        <v>278</v>
      </c>
      <c r="D39" s="8" t="s">
        <v>279</v>
      </c>
      <c r="E39" s="55">
        <f>단가산출근거!C2362</f>
        <v>2211</v>
      </c>
      <c r="F39" s="54">
        <f>단가산출근거!D2362</f>
        <v>0</v>
      </c>
      <c r="G39" s="63">
        <f>단가산출근거!E2362</f>
        <v>0</v>
      </c>
      <c r="H39" s="55">
        <f>단가산출근거!F2362</f>
        <v>2211</v>
      </c>
      <c r="I39" s="14" t="s">
        <v>297</v>
      </c>
      <c r="J39" s="36" t="str">
        <f>"_x0007_`COD|D02285_x0005_`QTY1|1_x0005_`BQC|_x0005_`EQC|_x0005_`JDC|_x0005_`WQC|_x0005_`EDT|_x0005_`ADJ|T_x0005_`SBM|S_x0005_`ADJM|1_x0005_`ADJL|1_x0005_`ADJS|1_x0005_`NAG|88.5_x0005_`UC|T_x0005_`DET|"&amp;ROW(단가산출근거!A2294)&amp;"_x0005_`"</f>
        <v>_x0007_`COD|D02285_x0005_`QTY1|1_x0005_`BQC|_x0005_`EQC|_x0005_`JDC|_x0005_`WQC|_x0005_`EDT|_x0005_`ADJ|T_x0005_`SBM|S_x0005_`ADJM|1_x0005_`ADJL|1_x0005_`ADJS|1_x0005_`NAG|88.5_x0005_`UC|T_x0005_`DET|2294_x0005_`</v>
      </c>
      <c r="K39" s="19" t="str">
        <f ca="1">HYPERLINK("#"&amp;단가산출근거!G2&amp;"!A"&amp;ROW(단가산출근거!A2294),"산근   36 →")</f>
        <v>산근   36 →</v>
      </c>
    </row>
    <row r="40" spans="1:11" ht="22.35" customHeight="1" x14ac:dyDescent="0.3">
      <c r="A40" s="8" t="s">
        <v>301</v>
      </c>
      <c r="B40" s="9" t="s">
        <v>251</v>
      </c>
      <c r="C40" s="9" t="s">
        <v>302</v>
      </c>
      <c r="D40" s="8" t="s">
        <v>14</v>
      </c>
      <c r="E40" s="55">
        <f>단가산출근거!C2431</f>
        <v>1636</v>
      </c>
      <c r="F40" s="54">
        <f>단가산출근거!D2431</f>
        <v>723</v>
      </c>
      <c r="G40" s="63">
        <f>단가산출근거!E2431</f>
        <v>479</v>
      </c>
      <c r="H40" s="55">
        <f>단가산출근거!F2431</f>
        <v>434</v>
      </c>
      <c r="I40" s="14" t="s">
        <v>301</v>
      </c>
      <c r="J40" s="36" t="str">
        <f>"_x0007_`COD|D02286_x0005_`QTY1|1_x0005_`BQC|_x0005_`EQC|_x0005_`JDC|_x0005_`WQC|_x0005_`EDT|_x0005_`ADJ|F_x0005_`NAG|88.5_x0005_`UC|T_x0005_`DET|"&amp;ROW(단가산출근거!A2363)&amp;"_x0005_`"</f>
        <v>_x0007_`COD|D02286_x0005_`QTY1|1_x0005_`BQC|_x0005_`EQC|_x0005_`JDC|_x0005_`WQC|_x0005_`EDT|_x0005_`ADJ|F_x0005_`NAG|88.5_x0005_`UC|T_x0005_`DET|2363_x0005_`</v>
      </c>
      <c r="K40" s="19" t="str">
        <f ca="1">HYPERLINK("#"&amp;단가산출근거!G2&amp;"!A"&amp;ROW(단가산출근거!A2363),"산근   37 →")</f>
        <v>산근   37 →</v>
      </c>
    </row>
    <row r="41" spans="1:11" ht="22.35" customHeight="1" x14ac:dyDescent="0.3">
      <c r="A41" s="8" t="s">
        <v>305</v>
      </c>
      <c r="B41" s="9" t="s">
        <v>255</v>
      </c>
      <c r="C41" s="9" t="s">
        <v>306</v>
      </c>
      <c r="D41" s="8" t="s">
        <v>14</v>
      </c>
      <c r="E41" s="55">
        <f>단가산출근거!C2500</f>
        <v>2035</v>
      </c>
      <c r="F41" s="54">
        <f>단가산출근거!D2500</f>
        <v>866</v>
      </c>
      <c r="G41" s="63">
        <f>단가산출근거!E2500</f>
        <v>573</v>
      </c>
      <c r="H41" s="55">
        <f>단가산출근거!F2500</f>
        <v>596</v>
      </c>
      <c r="I41" s="14" t="s">
        <v>305</v>
      </c>
      <c r="J41" s="36" t="str">
        <f>"_x0007_`COD|D02287_x0005_`QTY1|1_x0005_`BQC|_x0005_`EQC|_x0005_`JDC|_x0005_`WQC|_x0005_`EDT|_x0005_`ADJ|F_x0005_`NAG|88.5_x0005_`UC|T_x0005_`DET|"&amp;ROW(단가산출근거!A2432)&amp;"_x0005_`"</f>
        <v>_x0007_`COD|D02287_x0005_`QTY1|1_x0005_`BQC|_x0005_`EQC|_x0005_`JDC|_x0005_`WQC|_x0005_`EDT|_x0005_`ADJ|F_x0005_`NAG|88.5_x0005_`UC|T_x0005_`DET|2432_x0005_`</v>
      </c>
      <c r="K41" s="19" t="str">
        <f ca="1">HYPERLINK("#"&amp;단가산출근거!G2&amp;"!A"&amp;ROW(단가산출근거!A2432),"산근   38 →")</f>
        <v>산근   38 →</v>
      </c>
    </row>
    <row r="42" spans="1:11" ht="22.35" customHeight="1" x14ac:dyDescent="0.3">
      <c r="A42" s="8" t="s">
        <v>309</v>
      </c>
      <c r="B42" s="9" t="s">
        <v>259</v>
      </c>
      <c r="C42" s="9" t="s">
        <v>310</v>
      </c>
      <c r="D42" s="8" t="s">
        <v>14</v>
      </c>
      <c r="E42" s="55">
        <f>단가산출근거!C2604</f>
        <v>7139</v>
      </c>
      <c r="F42" s="54">
        <f>단가산출근거!D2604</f>
        <v>4450</v>
      </c>
      <c r="G42" s="63">
        <f>단가산출근거!E2604</f>
        <v>1008</v>
      </c>
      <c r="H42" s="55">
        <f>단가산출근거!F2604</f>
        <v>1681</v>
      </c>
      <c r="I42" s="14" t="s">
        <v>309</v>
      </c>
      <c r="J42" s="36" t="str">
        <f>"_x0007_`COD|D02288_x0005_`QTY1|1_x0005_`BQC|_x0005_`EQC|_x0005_`JDC|_x0005_`WQC|_x0005_`EDT|_x0005_`ADJ|F_x0005_`NAG|88.5_x0005_`UC|T_x0005_`DET|"&amp;ROW(단가산출근거!A2501)&amp;"_x0005_`"</f>
        <v>_x0007_`COD|D02288_x0005_`QTY1|1_x0005_`BQC|_x0005_`EQC|_x0005_`JDC|_x0005_`WQC|_x0005_`EDT|_x0005_`ADJ|F_x0005_`NAG|88.5_x0005_`UC|T_x0005_`DET|2501_x0005_`</v>
      </c>
      <c r="K42" s="19" t="str">
        <f ca="1">HYPERLINK("#"&amp;단가산출근거!G2&amp;"!A"&amp;ROW(단가산출근거!A2501),"산근   39 →")</f>
        <v>산근   39 →</v>
      </c>
    </row>
    <row r="43" spans="1:11" ht="22.35" customHeight="1" x14ac:dyDescent="0.3">
      <c r="A43" s="8" t="s">
        <v>313</v>
      </c>
      <c r="B43" s="9" t="s">
        <v>263</v>
      </c>
      <c r="C43" s="9" t="s">
        <v>314</v>
      </c>
      <c r="D43" s="8" t="s">
        <v>14</v>
      </c>
      <c r="E43" s="55">
        <f>단가산출근거!C2743</f>
        <v>7856</v>
      </c>
      <c r="F43" s="54">
        <f>단가산출근거!D2743</f>
        <v>4941</v>
      </c>
      <c r="G43" s="63">
        <f>단가산출근거!E2743</f>
        <v>1075</v>
      </c>
      <c r="H43" s="55">
        <f>단가산출근거!F2743</f>
        <v>1840</v>
      </c>
      <c r="I43" s="14" t="s">
        <v>313</v>
      </c>
      <c r="J43" s="36" t="str">
        <f>"_x0007_`COD|D02289_x0005_`QTY1|1_x0005_`BQC|_x0005_`EQC|_x0005_`JDC|_x0005_`WQC|_x0005_`EDT|_x0005_`ADJ|F_x0005_`NAG|88.5_x0005_`UC|T_x0005_`DET|"&amp;ROW(단가산출근거!A2605)&amp;"_x0005_`"</f>
        <v>_x0007_`COD|D02289_x0005_`QTY1|1_x0005_`BQC|_x0005_`EQC|_x0005_`JDC|_x0005_`WQC|_x0005_`EDT|_x0005_`ADJ|F_x0005_`NAG|88.5_x0005_`UC|T_x0005_`DET|2605_x0005_`</v>
      </c>
      <c r="K43" s="19" t="str">
        <f ca="1">HYPERLINK("#"&amp;단가산출근거!G2&amp;"!A"&amp;ROW(단가산출근거!A2605),"산근   40 →")</f>
        <v>산근   40 →</v>
      </c>
    </row>
    <row r="44" spans="1:11" ht="22.35" customHeight="1" x14ac:dyDescent="0.3">
      <c r="A44" s="8" t="s">
        <v>317</v>
      </c>
      <c r="B44" s="9" t="s">
        <v>267</v>
      </c>
      <c r="C44" s="9" t="s">
        <v>318</v>
      </c>
      <c r="D44" s="8" t="s">
        <v>14</v>
      </c>
      <c r="E44" s="55">
        <f>단가산출근거!C2882</f>
        <v>3457</v>
      </c>
      <c r="F44" s="54">
        <f>단가산출근거!D2882</f>
        <v>2213</v>
      </c>
      <c r="G44" s="63">
        <f>단가산출근거!E2882</f>
        <v>519</v>
      </c>
      <c r="H44" s="55">
        <f>단가산출근거!F2882</f>
        <v>725</v>
      </c>
      <c r="I44" s="14" t="s">
        <v>317</v>
      </c>
      <c r="J44" s="36" t="str">
        <f>"_x0007_`COD|D02290_x0005_`QTY1|1_x0005_`BQC|_x0005_`EQC|_x0005_`JDC|_x0005_`WQC|_x0005_`EDT|_x0005_`ADJ|F_x0005_`NAG|88.5_x0005_`UC|T_x0005_`DET|"&amp;ROW(단가산출근거!A2744)&amp;"_x0005_`"</f>
        <v>_x0007_`COD|D02290_x0005_`QTY1|1_x0005_`BQC|_x0005_`EQC|_x0005_`JDC|_x0005_`WQC|_x0005_`EDT|_x0005_`ADJ|F_x0005_`NAG|88.5_x0005_`UC|T_x0005_`DET|2744_x0005_`</v>
      </c>
      <c r="K44" s="19" t="str">
        <f ca="1">HYPERLINK("#"&amp;단가산출근거!G2&amp;"!A"&amp;ROW(단가산출근거!A2744),"산근   41 →")</f>
        <v>산근   41 →</v>
      </c>
    </row>
    <row r="45" spans="1:11" ht="22.35" customHeight="1" x14ac:dyDescent="0.3">
      <c r="A45" s="8" t="s">
        <v>321</v>
      </c>
      <c r="B45" s="9" t="s">
        <v>251</v>
      </c>
      <c r="C45" s="9" t="s">
        <v>322</v>
      </c>
      <c r="D45" s="8" t="s">
        <v>14</v>
      </c>
      <c r="E45" s="55">
        <f>단가산출근거!C2951</f>
        <v>1812</v>
      </c>
      <c r="F45" s="54">
        <f>단가산출근거!D2951</f>
        <v>801</v>
      </c>
      <c r="G45" s="63">
        <f>단가산출근거!E2951</f>
        <v>531</v>
      </c>
      <c r="H45" s="55">
        <f>단가산출근거!F2951</f>
        <v>480</v>
      </c>
      <c r="I45" s="14" t="s">
        <v>321</v>
      </c>
      <c r="J45" s="36" t="str">
        <f>"_x0007_`COD|D02291_x0005_`QTY1|1_x0005_`BQC|_x0005_`EQC|_x0005_`JDC|_x0005_`WQC|_x0005_`EDT|_x0005_`ADJ|F_x0005_`NAG|88.5_x0005_`UC|T_x0005_`DET|"&amp;ROW(단가산출근거!A2883)&amp;"_x0005_`"</f>
        <v>_x0007_`COD|D02291_x0005_`QTY1|1_x0005_`BQC|_x0005_`EQC|_x0005_`JDC|_x0005_`WQC|_x0005_`EDT|_x0005_`ADJ|F_x0005_`NAG|88.5_x0005_`UC|T_x0005_`DET|2883_x0005_`</v>
      </c>
      <c r="K45" s="19" t="str">
        <f ca="1">HYPERLINK("#"&amp;단가산출근거!G2&amp;"!A"&amp;ROW(단가산출근거!A2883),"산근   42 →")</f>
        <v>산근   42 →</v>
      </c>
    </row>
    <row r="46" spans="1:11" ht="22.35" customHeight="1" x14ac:dyDescent="0.3">
      <c r="A46" s="8" t="s">
        <v>325</v>
      </c>
      <c r="B46" s="9" t="s">
        <v>255</v>
      </c>
      <c r="C46" s="9" t="s">
        <v>326</v>
      </c>
      <c r="D46" s="8" t="s">
        <v>14</v>
      </c>
      <c r="E46" s="55">
        <f>단가산출근거!C3020</f>
        <v>1904</v>
      </c>
      <c r="F46" s="54">
        <f>단가산출근거!D3020</f>
        <v>810</v>
      </c>
      <c r="G46" s="63">
        <f>단가산출근거!E3020</f>
        <v>537</v>
      </c>
      <c r="H46" s="55">
        <f>단가산출근거!F3020</f>
        <v>557</v>
      </c>
      <c r="I46" s="14" t="s">
        <v>325</v>
      </c>
      <c r="J46" s="36" t="str">
        <f>"_x0007_`COD|D02292_x0005_`QTY1|1_x0005_`BQC|_x0005_`EQC|_x0005_`JDC|_x0005_`WQC|_x0005_`EDT|_x0005_`ADJ|F_x0005_`NAG|88.5_x0005_`UC|T_x0005_`DET|"&amp;ROW(단가산출근거!A2952)&amp;"_x0005_`"</f>
        <v>_x0007_`COD|D02292_x0005_`QTY1|1_x0005_`BQC|_x0005_`EQC|_x0005_`JDC|_x0005_`WQC|_x0005_`EDT|_x0005_`ADJ|F_x0005_`NAG|88.5_x0005_`UC|T_x0005_`DET|2952_x0005_`</v>
      </c>
      <c r="K46" s="19" t="str">
        <f ca="1">HYPERLINK("#"&amp;단가산출근거!G2&amp;"!A"&amp;ROW(단가산출근거!A2952),"산근   43 →")</f>
        <v>산근   43 →</v>
      </c>
    </row>
    <row r="47" spans="1:11" ht="22.35" customHeight="1" x14ac:dyDescent="0.3">
      <c r="A47" s="8" t="s">
        <v>329</v>
      </c>
      <c r="B47" s="9" t="s">
        <v>259</v>
      </c>
      <c r="C47" s="9" t="s">
        <v>330</v>
      </c>
      <c r="D47" s="8" t="s">
        <v>14</v>
      </c>
      <c r="E47" s="55">
        <f>단가산출근거!C3124</f>
        <v>6128</v>
      </c>
      <c r="F47" s="54">
        <f>단가산출근거!D3124</f>
        <v>3907</v>
      </c>
      <c r="G47" s="63">
        <f>단가산출근거!E3124</f>
        <v>731</v>
      </c>
      <c r="H47" s="55">
        <f>단가산출근거!F3124</f>
        <v>1490</v>
      </c>
      <c r="I47" s="14" t="s">
        <v>329</v>
      </c>
      <c r="J47" s="36" t="str">
        <f>"_x0007_`COD|D02293_x0005_`QTY1|1_x0005_`BQC|_x0005_`EQC|_x0005_`JDC|_x0005_`WQC|_x0005_`EDT|_x0005_`ADJ|F_x0005_`NAG|88.5_x0005_`UC|T_x0005_`DET|"&amp;ROW(단가산출근거!A3021)&amp;"_x0005_`"</f>
        <v>_x0007_`COD|D02293_x0005_`QTY1|1_x0005_`BQC|_x0005_`EQC|_x0005_`JDC|_x0005_`WQC|_x0005_`EDT|_x0005_`ADJ|F_x0005_`NAG|88.5_x0005_`UC|T_x0005_`DET|3021_x0005_`</v>
      </c>
      <c r="K47" s="19" t="str">
        <f ca="1">HYPERLINK("#"&amp;단가산출근거!G2&amp;"!A"&amp;ROW(단가산출근거!A3021),"산근   44 →")</f>
        <v>산근   44 →</v>
      </c>
    </row>
    <row r="48" spans="1:11" ht="22.35" customHeight="1" x14ac:dyDescent="0.3">
      <c r="A48" s="8" t="s">
        <v>333</v>
      </c>
      <c r="B48" s="9" t="s">
        <v>263</v>
      </c>
      <c r="C48" s="9" t="s">
        <v>330</v>
      </c>
      <c r="D48" s="8" t="s">
        <v>14</v>
      </c>
      <c r="E48" s="55">
        <f>단가산출근거!C3263</f>
        <v>6924</v>
      </c>
      <c r="F48" s="54">
        <f>단가산출근거!D3263</f>
        <v>4429</v>
      </c>
      <c r="G48" s="63">
        <f>단가산출근거!E3263</f>
        <v>798</v>
      </c>
      <c r="H48" s="55">
        <f>단가산출근거!F3263</f>
        <v>1697</v>
      </c>
      <c r="I48" s="14" t="s">
        <v>333</v>
      </c>
      <c r="J48" s="36" t="str">
        <f>"_x0007_`COD|D02294_x0005_`QTY1|1_x0005_`BQC|_x0005_`EQC|_x0005_`JDC|_x0005_`WQC|_x0005_`EDT|_x0005_`ADJ|F_x0005_`NAG|88.5_x0005_`UC|T_x0005_`DET|"&amp;ROW(단가산출근거!A3125)&amp;"_x0005_`"</f>
        <v>_x0007_`COD|D02294_x0005_`QTY1|1_x0005_`BQC|_x0005_`EQC|_x0005_`JDC|_x0005_`WQC|_x0005_`EDT|_x0005_`ADJ|F_x0005_`NAG|88.5_x0005_`UC|T_x0005_`DET|3125_x0005_`</v>
      </c>
      <c r="K48" s="19" t="str">
        <f ca="1">HYPERLINK("#"&amp;단가산출근거!G2&amp;"!A"&amp;ROW(단가산출근거!A3125),"산근   45 →")</f>
        <v>산근   45 →</v>
      </c>
    </row>
    <row r="49" spans="1:11" ht="22.35" customHeight="1" x14ac:dyDescent="0.3">
      <c r="A49" s="8" t="s">
        <v>336</v>
      </c>
      <c r="B49" s="9" t="s">
        <v>267</v>
      </c>
      <c r="C49" s="9"/>
      <c r="D49" s="8" t="s">
        <v>14</v>
      </c>
      <c r="E49" s="55">
        <f>단가산출근거!C3297</f>
        <v>904</v>
      </c>
      <c r="F49" s="54">
        <f>단가산출근거!D3297</f>
        <v>521</v>
      </c>
      <c r="G49" s="63">
        <f>단가산출근거!E3297</f>
        <v>168</v>
      </c>
      <c r="H49" s="55">
        <f>단가산출근거!F3297</f>
        <v>215</v>
      </c>
      <c r="I49" s="14" t="s">
        <v>336</v>
      </c>
      <c r="J49" s="36" t="str">
        <f>"_x0007_`COD|D02295_x0005_`QTY1|1_x0005_`BQC|_x0005_`EQC|_x0005_`JDC|_x0005_`WQC|_x0005_`EDT|_x0005_`ADJ|F_x0005_`NAG|88.5_x0005_`UC|T_x0005_`DET|"&amp;ROW(단가산출근거!A3264)&amp;"_x0005_`"</f>
        <v>_x0007_`COD|D02295_x0005_`QTY1|1_x0005_`BQC|_x0005_`EQC|_x0005_`JDC|_x0005_`WQC|_x0005_`EDT|_x0005_`ADJ|F_x0005_`NAG|88.5_x0005_`UC|T_x0005_`DET|3264_x0005_`</v>
      </c>
      <c r="K49" s="19" t="str">
        <f ca="1">HYPERLINK("#"&amp;단가산출근거!G2&amp;"!A"&amp;ROW(단가산출근거!A3264),"산근   46 →")</f>
        <v>산근   46 →</v>
      </c>
    </row>
    <row r="50" spans="1:11" ht="22.35" customHeight="1" x14ac:dyDescent="0.3">
      <c r="A50" s="8" t="s">
        <v>339</v>
      </c>
      <c r="B50" s="9" t="s">
        <v>340</v>
      </c>
      <c r="C50" s="9" t="s">
        <v>278</v>
      </c>
      <c r="D50" s="8" t="s">
        <v>341</v>
      </c>
      <c r="E50" s="55">
        <f>단가산출근거!C3331</f>
        <v>13475</v>
      </c>
      <c r="F50" s="54">
        <f>단가산출근거!D3331</f>
        <v>0</v>
      </c>
      <c r="G50" s="63">
        <f>단가산출근거!E3331</f>
        <v>0</v>
      </c>
      <c r="H50" s="55">
        <f>단가산출근거!F3331</f>
        <v>13475</v>
      </c>
      <c r="I50" s="14" t="s">
        <v>339</v>
      </c>
      <c r="J50" s="36" t="str">
        <f>"_x0007_`COD|D02296_x0005_`QTY1|1_x0005_`BQC|_x0005_`EQC|_x0005_`JDC|_x0005_`WQC|_x0005_`EDT|_x0005_`ADJ|T_x0005_`SBM|S_x0005_`ADJM|1_x0005_`ADJL|1_x0005_`ADJS|1_x0005_`NAG|88.5_x0005_`UC|T_x0005_`DET|"&amp;ROW(단가산출근거!A3298)&amp;"_x0005_`"</f>
        <v>_x0007_`COD|D02296_x0005_`QTY1|1_x0005_`BQC|_x0005_`EQC|_x0005_`JDC|_x0005_`WQC|_x0005_`EDT|_x0005_`ADJ|T_x0005_`SBM|S_x0005_`ADJM|1_x0005_`ADJL|1_x0005_`ADJS|1_x0005_`NAG|88.5_x0005_`UC|T_x0005_`DET|3298_x0005_`</v>
      </c>
      <c r="K50" s="19" t="str">
        <f ca="1">HYPERLINK("#"&amp;단가산출근거!G2&amp;"!A"&amp;ROW(단가산출근거!A3298),"산근   47 →")</f>
        <v>산근   47 →</v>
      </c>
    </row>
  </sheetData>
  <mergeCells count="1">
    <mergeCell ref="A1:I1"/>
  </mergeCells>
  <phoneticPr fontId="23" type="noConversion"/>
  <hyperlinks>
    <hyperlink ref="K1" r:id="rId1" tooltip="설계예산시스템(STmate w24.04)으로 작성 하였으며,_x000a_엑셀 인쇄품질 600 dpi에 최적화 되어 있습니다._x000a_경영정보(주) http://www.stma.co.kr_x000a_Tel) 070-4350-0040_x000a_Fax) 0505-300-3948"/>
    <hyperlink ref="J1" r:id="rId2" tooltip="설계예산시스템(STmate w24.04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&amp;R&amp;"굴림체,"&amp;9 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 지정된 범위</vt:lpstr>
      </vt:variant>
      <vt:variant>
        <vt:i4>40</vt:i4>
      </vt:variant>
    </vt:vector>
  </HeadingPairs>
  <TitlesOfParts>
    <vt:vector size="62" baseType="lpstr">
      <vt:lpstr>〓 목 차 〓</vt:lpstr>
      <vt:lpstr>※※안내※※</vt:lpstr>
      <vt:lpstr>공사원가계산서</vt:lpstr>
      <vt:lpstr>총괄설계내역서</vt:lpstr>
      <vt:lpstr>착공내역서</vt:lpstr>
      <vt:lpstr>일위대가목록표</vt:lpstr>
      <vt:lpstr>일위대가표</vt:lpstr>
      <vt:lpstr>일위대가수량금액집계표</vt:lpstr>
      <vt:lpstr>단가산출근거목록표</vt:lpstr>
      <vt:lpstr>단가산출근거</vt:lpstr>
      <vt:lpstr>단가산출근거수량금액집계표</vt:lpstr>
      <vt:lpstr>환율및기초자료</vt:lpstr>
      <vt:lpstr>중기목록표</vt:lpstr>
      <vt:lpstr>중기사용료</vt:lpstr>
      <vt:lpstr>재료비목록표</vt:lpstr>
      <vt:lpstr>노무비목록표</vt:lpstr>
      <vt:lpstr>경비목록표</vt:lpstr>
      <vt:lpstr>자재단가대비표</vt:lpstr>
      <vt:lpstr>재료비수량금액집계표</vt:lpstr>
      <vt:lpstr>노무비수량금액집계표</vt:lpstr>
      <vt:lpstr>경비수량금액집계표</vt:lpstr>
      <vt:lpstr>중기시간금액집계표</vt:lpstr>
      <vt:lpstr>'〓 목 차 〓'!Print_Area</vt:lpstr>
      <vt:lpstr>경비목록표!Print_Area</vt:lpstr>
      <vt:lpstr>경비수량금액집계표!Print_Area</vt:lpstr>
      <vt:lpstr>공사원가계산서!Print_Area</vt:lpstr>
      <vt:lpstr>노무비목록표!Print_Area</vt:lpstr>
      <vt:lpstr>노무비수량금액집계표!Print_Area</vt:lpstr>
      <vt:lpstr>단가산출근거!Print_Area</vt:lpstr>
      <vt:lpstr>단가산출근거목록표!Print_Area</vt:lpstr>
      <vt:lpstr>단가산출근거수량금액집계표!Print_Area</vt:lpstr>
      <vt:lpstr>일위대가목록표!Print_Area</vt:lpstr>
      <vt:lpstr>일위대가수량금액집계표!Print_Area</vt:lpstr>
      <vt:lpstr>일위대가표!Print_Area</vt:lpstr>
      <vt:lpstr>자재단가대비표!Print_Area</vt:lpstr>
      <vt:lpstr>재료비목록표!Print_Area</vt:lpstr>
      <vt:lpstr>재료비수량금액집계표!Print_Area</vt:lpstr>
      <vt:lpstr>중기목록표!Print_Area</vt:lpstr>
      <vt:lpstr>중기사용료!Print_Area</vt:lpstr>
      <vt:lpstr>중기시간금액집계표!Print_Area</vt:lpstr>
      <vt:lpstr>착공내역서!Print_Area</vt:lpstr>
      <vt:lpstr>총괄설계내역서!Print_Area</vt:lpstr>
      <vt:lpstr>환율및기초자료!Print_Area</vt:lpstr>
      <vt:lpstr>경비목록표!Print_Titles</vt:lpstr>
      <vt:lpstr>경비수량금액집계표!Print_Titles</vt:lpstr>
      <vt:lpstr>공사원가계산서!Print_Titles</vt:lpstr>
      <vt:lpstr>노무비목록표!Print_Titles</vt:lpstr>
      <vt:lpstr>노무비수량금액집계표!Print_Titles</vt:lpstr>
      <vt:lpstr>단가산출근거!Print_Titles</vt:lpstr>
      <vt:lpstr>단가산출근거목록표!Print_Titles</vt:lpstr>
      <vt:lpstr>단가산출근거수량금액집계표!Print_Titles</vt:lpstr>
      <vt:lpstr>일위대가목록표!Print_Titles</vt:lpstr>
      <vt:lpstr>일위대가수량금액집계표!Print_Titles</vt:lpstr>
      <vt:lpstr>일위대가표!Print_Titles</vt:lpstr>
      <vt:lpstr>자재단가대비표!Print_Titles</vt:lpstr>
      <vt:lpstr>재료비목록표!Print_Titles</vt:lpstr>
      <vt:lpstr>재료비수량금액집계표!Print_Titles</vt:lpstr>
      <vt:lpstr>중기목록표!Print_Titles</vt:lpstr>
      <vt:lpstr>중기사용료!Print_Titles</vt:lpstr>
      <vt:lpstr>중기시간금액집계표!Print_Titles</vt:lpstr>
      <vt:lpstr>착공내역서!Print_Titles</vt:lpstr>
      <vt:lpstr>총괄설계내역서!Print_Titles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2024년 간선임도 신설사업(기번3/울진.울진.대흥.산65외2)</dc:title>
  <dc:creator/>
  <dc:description>STmate w24.04로 작성</dc:description>
  <cp:lastModifiedBy>user</cp:lastModifiedBy>
  <dcterms:created xsi:type="dcterms:W3CDTF">2024-04-22T07:06:06Z</dcterms:created>
  <dcterms:modified xsi:type="dcterms:W3CDTF">2024-04-22T07:06:10Z</dcterms:modified>
</cp:coreProperties>
</file>