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5년 계류보전사업(기번1-영덕.병곡.영리.산214-1)\영덕병곡(변경)\01.내역자료\"/>
    </mc:Choice>
  </mc:AlternateContent>
  <bookViews>
    <workbookView xWindow="0" yWindow="0" windowWidth="9660" windowHeight="5490"/>
  </bookViews>
  <sheets>
    <sheet name="〓 목 차 〓" sheetId="1" r:id="rId1"/>
    <sheet name="※※안내※※" sheetId="2" r:id="rId2"/>
    <sheet name="공사원가계산서" sheetId="3" r:id="rId3"/>
    <sheet name="총괄내역서" sheetId="4" r:id="rId4"/>
    <sheet name="설계변경내역서" sheetId="5" r:id="rId5"/>
    <sheet name="설계변경금액대비표" sheetId="6" r:id="rId6"/>
    <sheet name="설계변경증감대비표" sheetId="7" r:id="rId7"/>
    <sheet name="일위대가목록표" sheetId="8" r:id="rId8"/>
    <sheet name="일위대가표" sheetId="9" r:id="rId9"/>
    <sheet name="일위대가수량금액집계표" sheetId="10" r:id="rId10"/>
    <sheet name="단가산출근거목록표" sheetId="11" r:id="rId11"/>
    <sheet name="단가산출근거" sheetId="12" r:id="rId12"/>
    <sheet name="단가산출근거수량금액집계표" sheetId="13" r:id="rId13"/>
    <sheet name="환율및기초자료" sheetId="14" r:id="rId14"/>
    <sheet name="중기목록표" sheetId="15" r:id="rId15"/>
    <sheet name="중기사용료" sheetId="16" r:id="rId16"/>
    <sheet name="재료비목록표" sheetId="17" r:id="rId17"/>
    <sheet name="노무비목록표" sheetId="18" r:id="rId18"/>
    <sheet name="경비목록표" sheetId="19" r:id="rId19"/>
    <sheet name="일식견적목록표" sheetId="20" r:id="rId20"/>
    <sheet name="자재단가대비표" sheetId="21" r:id="rId21"/>
    <sheet name="재료비수량금액집계표" sheetId="22" r:id="rId22"/>
    <sheet name="노무비수량금액집계표" sheetId="23" r:id="rId23"/>
    <sheet name="중기시간금액집계표" sheetId="24" r:id="rId24"/>
    <sheet name="〓 INITIAL 〓" sheetId="25" state="veryHidden" r:id="rId25"/>
  </sheets>
  <definedNames>
    <definedName name="_xlnm.Print_Area" localSheetId="0">'〓 목 차 〓'!$A:$C</definedName>
    <definedName name="_xlnm.Print_Area" localSheetId="18">경비목록표!$A:$F</definedName>
    <definedName name="_xlnm.Print_Area" localSheetId="2">공사원가계산서!$A:$H</definedName>
    <definedName name="_xlnm.Print_Area" localSheetId="17">노무비목록표!$A:$F</definedName>
    <definedName name="_xlnm.Print_Area" localSheetId="22">노무비수량금액집계표!$A:$H</definedName>
    <definedName name="_xlnm.Print_Area" localSheetId="11">단가산출근거!$A:$F</definedName>
    <definedName name="_xlnm.Print_Area" localSheetId="10">단가산출근거목록표!$A:$I</definedName>
    <definedName name="_xlnm.Print_Area" localSheetId="12">단가산출근거수량금액집계표!$A:$J</definedName>
    <definedName name="_xlnm.Print_Area" localSheetId="5">설계변경금액대비표!$A:$G</definedName>
    <definedName name="_xlnm.Print_Area" localSheetId="4">설계변경내역서!$A:$N</definedName>
    <definedName name="_xlnm.Print_Area" localSheetId="6">설계변경증감대비표!$A:$K</definedName>
    <definedName name="_xlnm.Print_Area" localSheetId="19">일식견적목록표!$A:$I</definedName>
    <definedName name="_xlnm.Print_Area" localSheetId="7">일위대가목록표!$A:$I</definedName>
    <definedName name="_xlnm.Print_Area" localSheetId="9">일위대가수량금액집계표!$A:$J</definedName>
    <definedName name="_xlnm.Print_Area" localSheetId="8">일위대가표!$A:$M</definedName>
    <definedName name="_xlnm.Print_Area" localSheetId="20">자재단가대비표!$A:$Q</definedName>
    <definedName name="_xlnm.Print_Area" localSheetId="16">재료비목록표!$A:$F</definedName>
    <definedName name="_xlnm.Print_Area" localSheetId="21">재료비수량금액집계표!$A:$H</definedName>
    <definedName name="_xlnm.Print_Area" localSheetId="14">중기목록표!$A:$I</definedName>
    <definedName name="_xlnm.Print_Area" localSheetId="15">중기사용료!$A:$M</definedName>
    <definedName name="_xlnm.Print_Area" localSheetId="23">중기시간금액집계표!$A:$J</definedName>
    <definedName name="_xlnm.Print_Area" localSheetId="3">총괄내역서!$A:$G</definedName>
    <definedName name="_xlnm.Print_Area" localSheetId="13">환율및기초자료!$A:$H</definedName>
    <definedName name="_xlnm.Print_Titles" localSheetId="18">경비목록표!$1:$3</definedName>
    <definedName name="_xlnm.Print_Titles" localSheetId="2">공사원가계산서!$1:$4</definedName>
    <definedName name="_xlnm.Print_Titles" localSheetId="17">노무비목록표!$1:$3</definedName>
    <definedName name="_xlnm.Print_Titles" localSheetId="22">노무비수량금액집계표!$1:$3</definedName>
    <definedName name="_xlnm.Print_Titles" localSheetId="11">단가산출근거!$1:$4</definedName>
    <definedName name="_xlnm.Print_Titles" localSheetId="10">단가산출근거목록표!$1:$3</definedName>
    <definedName name="_xlnm.Print_Titles" localSheetId="12">단가산출근거수량금액집계표!$1:$3</definedName>
    <definedName name="_xlnm.Print_Titles" localSheetId="5">설계변경금액대비표!$1:$10</definedName>
    <definedName name="_xlnm.Print_Titles" localSheetId="4">설계변경내역서!$1:$4</definedName>
    <definedName name="_xlnm.Print_Titles" localSheetId="6">설계변경증감대비표!$1:$4</definedName>
    <definedName name="_xlnm.Print_Titles" localSheetId="19">일식견적목록표!$1:$3</definedName>
    <definedName name="_xlnm.Print_Titles" localSheetId="7">일위대가목록표!$1:$3</definedName>
    <definedName name="_xlnm.Print_Titles" localSheetId="9">일위대가수량금액집계표!$1:$3</definedName>
    <definedName name="_xlnm.Print_Titles" localSheetId="8">일위대가표!$1:$4</definedName>
    <definedName name="_xlnm.Print_Titles" localSheetId="20">자재단가대비표!$1:$4</definedName>
    <definedName name="_xlnm.Print_Titles" localSheetId="16">재료비목록표!$1:$3</definedName>
    <definedName name="_xlnm.Print_Titles" localSheetId="21">재료비수량금액집계표!$1:$3</definedName>
    <definedName name="_xlnm.Print_Titles" localSheetId="14">중기목록표!$1:$3</definedName>
    <definedName name="_xlnm.Print_Titles" localSheetId="15">중기사용료!$1:$4</definedName>
    <definedName name="_xlnm.Print_Titles" localSheetId="23">중기시간금액집계표!$1:$3</definedName>
    <definedName name="_xlnm.Print_Titles" localSheetId="3">총괄내역서!$1:$3</definedName>
  </definedNames>
  <calcPr calcId="152511" fullCalcOnLoad="1"/>
</workbook>
</file>

<file path=xl/calcChain.xml><?xml version="1.0" encoding="utf-8"?>
<calcChain xmlns="http://schemas.openxmlformats.org/spreadsheetml/2006/main">
  <c r="C8" i="6" l="1"/>
  <c r="C7" i="6"/>
  <c r="D4" i="25"/>
  <c r="D6" i="25"/>
  <c r="C6" i="25" s="1"/>
  <c r="D7" i="25"/>
  <c r="C7" i="25" s="1"/>
  <c r="D8" i="25"/>
  <c r="C8" i="25" s="1"/>
  <c r="D9" i="25"/>
  <c r="C9" i="25" s="1"/>
  <c r="D10" i="25"/>
  <c r="C10" i="25" s="1"/>
  <c r="D11" i="25"/>
  <c r="C11" i="25" s="1"/>
  <c r="D13" i="25"/>
  <c r="C13" i="25" s="1"/>
  <c r="D14" i="25"/>
  <c r="C14" i="25" s="1"/>
  <c r="D15" i="25"/>
  <c r="C15" i="25" s="1"/>
  <c r="D16" i="25"/>
  <c r="C16" i="25" s="1"/>
  <c r="D17" i="25"/>
  <c r="C17" i="25" s="1"/>
  <c r="D18" i="25"/>
  <c r="C18" i="25" s="1"/>
  <c r="D19" i="25"/>
  <c r="C19" i="25" s="1"/>
  <c r="D20" i="25"/>
  <c r="C20" i="25" s="1"/>
  <c r="D24" i="25"/>
  <c r="D33" i="25"/>
  <c r="C35" i="25"/>
  <c r="D35" i="25"/>
  <c r="E35" i="25"/>
  <c r="F35" i="25"/>
  <c r="G35" i="25"/>
  <c r="H35" i="25"/>
  <c r="I35" i="25"/>
  <c r="J35" i="25"/>
  <c r="D52" i="25"/>
  <c r="D75" i="25"/>
  <c r="D4" i="1"/>
  <c r="A2" i="2"/>
  <c r="G2" i="19"/>
  <c r="D21" i="1" s="1"/>
  <c r="H3" i="19"/>
  <c r="I2" i="3"/>
  <c r="D5" i="1" s="1"/>
  <c r="J4" i="3"/>
  <c r="F6" i="3"/>
  <c r="F7" i="3"/>
  <c r="D15" i="3"/>
  <c r="E15" i="3"/>
  <c r="F15" i="3" s="1"/>
  <c r="D16" i="3"/>
  <c r="E16" i="3"/>
  <c r="D17" i="3"/>
  <c r="E17" i="3"/>
  <c r="F17" i="3"/>
  <c r="D18" i="3"/>
  <c r="H18" i="3"/>
  <c r="H23" i="3"/>
  <c r="H24" i="3"/>
  <c r="H26" i="3"/>
  <c r="G2" i="18"/>
  <c r="J4" i="23" s="1"/>
  <c r="H3" i="18"/>
  <c r="I2" i="23"/>
  <c r="D25" i="1" s="1"/>
  <c r="J3" i="23"/>
  <c r="F4" i="23"/>
  <c r="G4" i="23" s="1"/>
  <c r="F5" i="23"/>
  <c r="G5" i="23"/>
  <c r="F6" i="23"/>
  <c r="G6" i="23"/>
  <c r="F7" i="23"/>
  <c r="G7" i="23" s="1"/>
  <c r="F8" i="23"/>
  <c r="G8" i="23" s="1"/>
  <c r="F9" i="23"/>
  <c r="G9" i="23"/>
  <c r="F10" i="23"/>
  <c r="G10" i="23"/>
  <c r="F11" i="23"/>
  <c r="G11" i="23" s="1"/>
  <c r="G2" i="12"/>
  <c r="D14" i="1" s="1"/>
  <c r="Y4" i="12"/>
  <c r="G5" i="12"/>
  <c r="AB30" i="12"/>
  <c r="AB34" i="12" s="1"/>
  <c r="AH30" i="12"/>
  <c r="B30" i="12" s="1"/>
  <c r="AL30" i="12"/>
  <c r="AD34" i="12" s="1"/>
  <c r="B32" i="12"/>
  <c r="AB32" i="12"/>
  <c r="AJ34" i="12" s="1"/>
  <c r="AF32" i="12"/>
  <c r="AF34" i="12"/>
  <c r="AH34" i="12"/>
  <c r="X36" i="12"/>
  <c r="X38" i="12"/>
  <c r="X40" i="12"/>
  <c r="AB47" i="12"/>
  <c r="AH47" i="12"/>
  <c r="B47" i="12" s="1"/>
  <c r="AL47" i="12"/>
  <c r="AD51" i="12" s="1"/>
  <c r="B49" i="12"/>
  <c r="AB49" i="12"/>
  <c r="AJ51" i="12" s="1"/>
  <c r="AF49" i="12"/>
  <c r="AH51" i="12" s="1"/>
  <c r="AB51" i="12"/>
  <c r="AF51" i="12"/>
  <c r="AL51" i="12"/>
  <c r="AC53" i="12" s="1"/>
  <c r="H53" i="12" s="1"/>
  <c r="X53" i="12"/>
  <c r="X55" i="12"/>
  <c r="AC55" i="12"/>
  <c r="H55" i="12" s="1"/>
  <c r="X57" i="12"/>
  <c r="G75" i="12"/>
  <c r="AB100" i="12"/>
  <c r="AB104" i="12" s="1"/>
  <c r="AH100" i="12"/>
  <c r="B100" i="12" s="1"/>
  <c r="AL100" i="12"/>
  <c r="B102" i="12"/>
  <c r="AB102" i="12"/>
  <c r="AF102" i="12"/>
  <c r="AH104" i="12" s="1"/>
  <c r="AD104" i="12"/>
  <c r="AF104" i="12"/>
  <c r="AJ104" i="12"/>
  <c r="X106" i="12"/>
  <c r="X108" i="12"/>
  <c r="X110" i="12"/>
  <c r="B117" i="12"/>
  <c r="AB117" i="12"/>
  <c r="AH117" i="12"/>
  <c r="AL117" i="12"/>
  <c r="AD121" i="12" s="1"/>
  <c r="B119" i="12"/>
  <c r="AB119" i="12"/>
  <c r="AF119" i="12"/>
  <c r="AH121" i="12" s="1"/>
  <c r="AB121" i="12"/>
  <c r="AF121" i="12"/>
  <c r="AJ121" i="12"/>
  <c r="X123" i="12"/>
  <c r="X125" i="12"/>
  <c r="X127" i="12"/>
  <c r="G144" i="12"/>
  <c r="H154" i="12"/>
  <c r="J154" i="12"/>
  <c r="I154" i="12" s="1"/>
  <c r="X154" i="12"/>
  <c r="AE154" i="12"/>
  <c r="I156" i="12"/>
  <c r="J156" i="12"/>
  <c r="X156" i="12"/>
  <c r="AE156" i="12"/>
  <c r="H156" i="12" s="1"/>
  <c r="D156" i="12" s="1"/>
  <c r="B163" i="12"/>
  <c r="AB163" i="12"/>
  <c r="AC167" i="12" s="1"/>
  <c r="H165" i="12"/>
  <c r="X165" i="12"/>
  <c r="AE165" i="12"/>
  <c r="H167" i="12"/>
  <c r="X167" i="12"/>
  <c r="AE167" i="12"/>
  <c r="H169" i="12"/>
  <c r="X169" i="12"/>
  <c r="AE169" i="12"/>
  <c r="G178" i="12"/>
  <c r="B232" i="12"/>
  <c r="AD232" i="12"/>
  <c r="AH232" i="12"/>
  <c r="AF238" i="12" s="1"/>
  <c r="B234" i="12"/>
  <c r="AB234" i="12"/>
  <c r="B236" i="12"/>
  <c r="AB236" i="12"/>
  <c r="AJ238" i="12" s="1"/>
  <c r="AF236" i="12"/>
  <c r="AB238" i="12"/>
  <c r="AD238" i="12"/>
  <c r="AH238" i="12"/>
  <c r="X240" i="12"/>
  <c r="X242" i="12"/>
  <c r="X244" i="12"/>
  <c r="B251" i="12"/>
  <c r="AD251" i="12"/>
  <c r="AH251" i="12"/>
  <c r="B253" i="12"/>
  <c r="AB253" i="12"/>
  <c r="B255" i="12"/>
  <c r="AB255" i="12"/>
  <c r="AF255" i="12"/>
  <c r="AH257" i="12" s="1"/>
  <c r="AB257" i="12"/>
  <c r="AD257" i="12"/>
  <c r="AF257" i="12"/>
  <c r="AJ257" i="12"/>
  <c r="X259" i="12"/>
  <c r="X261" i="12"/>
  <c r="X263" i="12"/>
  <c r="B270" i="12"/>
  <c r="AB270" i="12"/>
  <c r="AI272" i="12"/>
  <c r="AB292" i="12" s="1"/>
  <c r="B274" i="12"/>
  <c r="AB274" i="12"/>
  <c r="AF292" i="12" s="1"/>
  <c r="AF274" i="12"/>
  <c r="AD292" i="12" s="1"/>
  <c r="B276" i="12"/>
  <c r="AB276" i="12"/>
  <c r="AD278" i="12"/>
  <c r="B278" i="12" s="1"/>
  <c r="AB280" i="12"/>
  <c r="AD280" i="12"/>
  <c r="AG280" i="12"/>
  <c r="AB282" i="12" s="1"/>
  <c r="Z282" i="12"/>
  <c r="AF282" i="12"/>
  <c r="B284" i="12"/>
  <c r="AA284" i="12"/>
  <c r="AE284" i="12"/>
  <c r="AK284" i="12"/>
  <c r="AB288" i="12" s="1"/>
  <c r="B286" i="12"/>
  <c r="AB286" i="12"/>
  <c r="AF286" i="12"/>
  <c r="AF288" i="12" s="1"/>
  <c r="AD288" i="12"/>
  <c r="X295" i="12"/>
  <c r="X297" i="12"/>
  <c r="X299" i="12"/>
  <c r="G317" i="12"/>
  <c r="B370" i="12"/>
  <c r="AD370" i="12"/>
  <c r="AH370" i="12"/>
  <c r="B372" i="12"/>
  <c r="AB372" i="12"/>
  <c r="AD376" i="12" s="1"/>
  <c r="B374" i="12"/>
  <c r="AB374" i="12"/>
  <c r="AJ376" i="12" s="1"/>
  <c r="AF374" i="12"/>
  <c r="AB376" i="12"/>
  <c r="AF376" i="12"/>
  <c r="AH376" i="12"/>
  <c r="AL376" i="12"/>
  <c r="B376" i="12" s="1"/>
  <c r="X378" i="12"/>
  <c r="X380" i="12"/>
  <c r="AC380" i="12"/>
  <c r="H380" i="12" s="1"/>
  <c r="X382" i="12"/>
  <c r="AD389" i="12"/>
  <c r="B389" i="12" s="1"/>
  <c r="AH389" i="12"/>
  <c r="AF395" i="12" s="1"/>
  <c r="B391" i="12"/>
  <c r="AB391" i="12"/>
  <c r="B393" i="12"/>
  <c r="AB393" i="12"/>
  <c r="Z420" i="12" s="1"/>
  <c r="AF393" i="12"/>
  <c r="AF420" i="12" s="1"/>
  <c r="AB395" i="12"/>
  <c r="AD395" i="12"/>
  <c r="AJ395" i="12"/>
  <c r="X397" i="12"/>
  <c r="X399" i="12"/>
  <c r="X401" i="12"/>
  <c r="B408" i="12"/>
  <c r="AB408" i="12"/>
  <c r="B410" i="12"/>
  <c r="AD410" i="12"/>
  <c r="Z418" i="12" s="1"/>
  <c r="B412" i="12"/>
  <c r="AB412" i="12"/>
  <c r="AF412" i="12"/>
  <c r="AD428" i="12" s="1"/>
  <c r="B414" i="12"/>
  <c r="AB414" i="12"/>
  <c r="AD418" i="12" s="1"/>
  <c r="AD416" i="12"/>
  <c r="B416" i="12" s="1"/>
  <c r="AA422" i="12"/>
  <c r="AE422" i="12"/>
  <c r="AK422" i="12"/>
  <c r="B422" i="12" s="1"/>
  <c r="B424" i="12"/>
  <c r="AB424" i="12"/>
  <c r="AD426" i="12" s="1"/>
  <c r="AF424" i="12"/>
  <c r="AF426" i="12"/>
  <c r="AB428" i="12"/>
  <c r="AF428" i="12"/>
  <c r="X431" i="12"/>
  <c r="X433" i="12"/>
  <c r="X435" i="12"/>
  <c r="E456" i="12"/>
  <c r="G456" i="12"/>
  <c r="B477" i="12"/>
  <c r="AB477" i="12"/>
  <c r="B479" i="12"/>
  <c r="AB479" i="12"/>
  <c r="B481" i="12"/>
  <c r="AB481" i="12"/>
  <c r="AC499" i="12" s="1"/>
  <c r="B483" i="12"/>
  <c r="AB483" i="12"/>
  <c r="AG499" i="12" s="1"/>
  <c r="B485" i="12"/>
  <c r="AB485" i="12"/>
  <c r="AK499" i="12" s="1"/>
  <c r="B487" i="12"/>
  <c r="AB487" i="12"/>
  <c r="B489" i="12"/>
  <c r="AD489" i="12"/>
  <c r="AD507" i="12" s="1"/>
  <c r="AH489" i="12"/>
  <c r="AL489" i="12"/>
  <c r="AD493" i="12" s="1"/>
  <c r="AG491" i="12"/>
  <c r="AH495" i="12"/>
  <c r="Z497" i="12" s="1"/>
  <c r="AE499" i="12"/>
  <c r="AI499" i="12"/>
  <c r="AM499" i="12"/>
  <c r="AO499" i="12"/>
  <c r="B501" i="12"/>
  <c r="AB501" i="12"/>
  <c r="AD505" i="12" s="1"/>
  <c r="AF501" i="12"/>
  <c r="B503" i="12"/>
  <c r="AB503" i="12"/>
  <c r="AH505" i="12" s="1"/>
  <c r="AF505" i="12"/>
  <c r="AF507" i="12"/>
  <c r="X509" i="12"/>
  <c r="X511" i="12"/>
  <c r="X513" i="12"/>
  <c r="X515" i="12"/>
  <c r="B521" i="12"/>
  <c r="AD521" i="12"/>
  <c r="AD547" i="12" s="1"/>
  <c r="AH521" i="12"/>
  <c r="AL521" i="12"/>
  <c r="AD533" i="12" s="1"/>
  <c r="B523" i="12"/>
  <c r="AB523" i="12"/>
  <c r="B525" i="12"/>
  <c r="AB525" i="12"/>
  <c r="B527" i="12"/>
  <c r="AB527" i="12"/>
  <c r="B529" i="12"/>
  <c r="AB529" i="12"/>
  <c r="AO539" i="12" s="1"/>
  <c r="AG531" i="12"/>
  <c r="AG533" i="12" s="1"/>
  <c r="AH535" i="12"/>
  <c r="Z537" i="12" s="1"/>
  <c r="AA539" i="12"/>
  <c r="AC539" i="12"/>
  <c r="AE539" i="12"/>
  <c r="AG539" i="12"/>
  <c r="AI539" i="12"/>
  <c r="AK539" i="12"/>
  <c r="AM539" i="12"/>
  <c r="AS539" i="12"/>
  <c r="B539" i="12" s="1"/>
  <c r="B541" i="12"/>
  <c r="AB541" i="12"/>
  <c r="AD545" i="12" s="1"/>
  <c r="AF541" i="12"/>
  <c r="B543" i="12"/>
  <c r="AB543" i="12"/>
  <c r="AH545" i="12" s="1"/>
  <c r="AB545" i="12"/>
  <c r="AF545" i="12"/>
  <c r="AF547" i="12"/>
  <c r="X549" i="12"/>
  <c r="X551" i="12"/>
  <c r="X553" i="12"/>
  <c r="X555" i="12"/>
  <c r="D594" i="12"/>
  <c r="D456" i="12" s="1"/>
  <c r="E594" i="12"/>
  <c r="G595" i="12"/>
  <c r="B603" i="12"/>
  <c r="AB603" i="12"/>
  <c r="AF603" i="12"/>
  <c r="AJ603" i="12"/>
  <c r="B605" i="12"/>
  <c r="AB605" i="12"/>
  <c r="AJ607" i="12" s="1"/>
  <c r="AF605" i="12"/>
  <c r="AH607" i="12" s="1"/>
  <c r="AB607" i="12"/>
  <c r="AF607" i="12"/>
  <c r="X609" i="12"/>
  <c r="X611" i="12"/>
  <c r="X613" i="12"/>
  <c r="G629" i="12"/>
  <c r="B639" i="12"/>
  <c r="AB639" i="12"/>
  <c r="AF639" i="12"/>
  <c r="AD643" i="12" s="1"/>
  <c r="AJ639" i="12"/>
  <c r="B641" i="12"/>
  <c r="AB641" i="12"/>
  <c r="AF643" i="12" s="1"/>
  <c r="AF641" i="12"/>
  <c r="AB643" i="12"/>
  <c r="AH643" i="12"/>
  <c r="AJ643" i="12"/>
  <c r="X645" i="12"/>
  <c r="X647" i="12"/>
  <c r="X649" i="12"/>
  <c r="B655" i="12"/>
  <c r="AB655" i="12"/>
  <c r="AB665" i="12" s="1"/>
  <c r="B657" i="12"/>
  <c r="AB657" i="12"/>
  <c r="B659" i="12"/>
  <c r="AB659" i="12"/>
  <c r="AJ665" i="12" s="1"/>
  <c r="B661" i="12"/>
  <c r="AB661" i="12"/>
  <c r="AF665" i="12" s="1"/>
  <c r="B663" i="12"/>
  <c r="AB663" i="12"/>
  <c r="AD665" i="12"/>
  <c r="AH665" i="12"/>
  <c r="X667" i="12"/>
  <c r="X669" i="12"/>
  <c r="X671" i="12"/>
  <c r="G698" i="12"/>
  <c r="AD704" i="12"/>
  <c r="AC716" i="12" s="1"/>
  <c r="AB706" i="12"/>
  <c r="B706" i="12" s="1"/>
  <c r="B708" i="12"/>
  <c r="AB708" i="12"/>
  <c r="AF708" i="12"/>
  <c r="AL712" i="12" s="1"/>
  <c r="AJ708" i="12"/>
  <c r="B710" i="12"/>
  <c r="AB710" i="12"/>
  <c r="AJ712" i="12" s="1"/>
  <c r="AF710" i="12"/>
  <c r="AH712" i="12" s="1"/>
  <c r="AB712" i="12"/>
  <c r="AD712" i="12"/>
  <c r="AF712" i="12"/>
  <c r="X714" i="12"/>
  <c r="AE714" i="12"/>
  <c r="X716" i="12"/>
  <c r="AE716" i="12"/>
  <c r="X718" i="12"/>
  <c r="AC718" i="12"/>
  <c r="AE718" i="12"/>
  <c r="G732" i="12"/>
  <c r="B740" i="12"/>
  <c r="AB740" i="12"/>
  <c r="AL746" i="12" s="1"/>
  <c r="AD742" i="12"/>
  <c r="B742" i="12" s="1"/>
  <c r="AH742" i="12"/>
  <c r="AL742" i="12"/>
  <c r="AD746" i="12" s="1"/>
  <c r="B744" i="12"/>
  <c r="AB744" i="12"/>
  <c r="Z765" i="12" s="1"/>
  <c r="AB746" i="12"/>
  <c r="AF746" i="12"/>
  <c r="AH746" i="12"/>
  <c r="X748" i="12"/>
  <c r="X750" i="12"/>
  <c r="X752" i="12"/>
  <c r="B759" i="12"/>
  <c r="AB759" i="12"/>
  <c r="AF759" i="12"/>
  <c r="AF773" i="12" s="1"/>
  <c r="AL759" i="12"/>
  <c r="AG761" i="12"/>
  <c r="Z763" i="12" s="1"/>
  <c r="AD763" i="12"/>
  <c r="AA767" i="12"/>
  <c r="AE767" i="12"/>
  <c r="AK767" i="12"/>
  <c r="AB771" i="12" s="1"/>
  <c r="B769" i="12"/>
  <c r="AB769" i="12"/>
  <c r="AF769" i="12"/>
  <c r="AF771" i="12" s="1"/>
  <c r="AD771" i="12"/>
  <c r="AD773" i="12"/>
  <c r="X775" i="12"/>
  <c r="X777" i="12"/>
  <c r="X779" i="12"/>
  <c r="D800" i="12"/>
  <c r="D732" i="12" s="1"/>
  <c r="E800" i="12"/>
  <c r="G801" i="12"/>
  <c r="B809" i="12"/>
  <c r="AB809" i="12"/>
  <c r="B811" i="12"/>
  <c r="AD811" i="12"/>
  <c r="AH811" i="12"/>
  <c r="AL811" i="12"/>
  <c r="AD831" i="12" s="1"/>
  <c r="B813" i="12"/>
  <c r="AB813" i="12"/>
  <c r="AB815" i="12"/>
  <c r="AD815" i="12"/>
  <c r="AF815" i="12"/>
  <c r="AH815" i="12"/>
  <c r="AJ815" i="12"/>
  <c r="X817" i="12"/>
  <c r="X819" i="12"/>
  <c r="X821" i="12"/>
  <c r="AB827" i="12"/>
  <c r="AE835" i="12" s="1"/>
  <c r="AF827" i="12"/>
  <c r="AL827" i="12"/>
  <c r="B827" i="12" s="1"/>
  <c r="AG829" i="12"/>
  <c r="Z833" i="12"/>
  <c r="AA835" i="12"/>
  <c r="AK835" i="12"/>
  <c r="B835" i="12" s="1"/>
  <c r="B837" i="12"/>
  <c r="AB837" i="12"/>
  <c r="AD839" i="12" s="1"/>
  <c r="AF837" i="12"/>
  <c r="AF839" i="12"/>
  <c r="AF841" i="12"/>
  <c r="X843" i="12"/>
  <c r="X845" i="12"/>
  <c r="X847" i="12"/>
  <c r="D869" i="12"/>
  <c r="D801" i="12" s="1"/>
  <c r="E869" i="12"/>
  <c r="E801" i="12" s="1"/>
  <c r="G870" i="12"/>
  <c r="B878" i="12"/>
  <c r="AB878" i="12"/>
  <c r="AD880" i="12"/>
  <c r="B880" i="12" s="1"/>
  <c r="AH880" i="12"/>
  <c r="AL880" i="12"/>
  <c r="AD884" i="12" s="1"/>
  <c r="B882" i="12"/>
  <c r="AB882" i="12"/>
  <c r="AJ884" i="12" s="1"/>
  <c r="AB884" i="12"/>
  <c r="AF884" i="12"/>
  <c r="AH884" i="12"/>
  <c r="X886" i="12"/>
  <c r="X888" i="12"/>
  <c r="X890" i="12"/>
  <c r="B896" i="12"/>
  <c r="AB896" i="12"/>
  <c r="AF896" i="12"/>
  <c r="AL896" i="12"/>
  <c r="B898" i="12"/>
  <c r="AG898" i="12"/>
  <c r="AG900" i="12" s="1"/>
  <c r="Z900" i="12"/>
  <c r="AD900" i="12"/>
  <c r="Z902" i="12"/>
  <c r="AB902" i="12"/>
  <c r="B904" i="12"/>
  <c r="AA904" i="12"/>
  <c r="AE904" i="12"/>
  <c r="AK904" i="12"/>
  <c r="B906" i="12"/>
  <c r="AB906" i="12"/>
  <c r="AF906" i="12"/>
  <c r="AF908" i="12" s="1"/>
  <c r="AB908" i="12"/>
  <c r="AD908" i="12"/>
  <c r="AB910" i="12"/>
  <c r="AD910" i="12"/>
  <c r="AF910" i="12"/>
  <c r="X912" i="12"/>
  <c r="X914" i="12"/>
  <c r="X916" i="12"/>
  <c r="D938" i="12"/>
  <c r="D870" i="12" s="1"/>
  <c r="E938" i="12"/>
  <c r="E870" i="12" s="1"/>
  <c r="D939" i="12"/>
  <c r="G939" i="12"/>
  <c r="B945" i="12"/>
  <c r="AB945" i="12"/>
  <c r="B947" i="12"/>
  <c r="AB947" i="12"/>
  <c r="B951" i="12"/>
  <c r="AB951" i="12"/>
  <c r="B953" i="12"/>
  <c r="AB953" i="12"/>
  <c r="AL957" i="12" s="1"/>
  <c r="AC963" i="12" s="1"/>
  <c r="H963" i="12" s="1"/>
  <c r="AF953" i="12"/>
  <c r="AJ953" i="12"/>
  <c r="B955" i="12"/>
  <c r="AB955" i="12"/>
  <c r="AJ957" i="12" s="1"/>
  <c r="AB957" i="12"/>
  <c r="AD957" i="12"/>
  <c r="AF957" i="12"/>
  <c r="AH957" i="12"/>
  <c r="X959" i="12"/>
  <c r="X961" i="12"/>
  <c r="X963" i="12"/>
  <c r="B969" i="12"/>
  <c r="AB969" i="12"/>
  <c r="AF969" i="12"/>
  <c r="AJ969" i="12"/>
  <c r="B971" i="12"/>
  <c r="AB971" i="12"/>
  <c r="AC979" i="12" s="1"/>
  <c r="AF971" i="12"/>
  <c r="AJ971" i="12"/>
  <c r="AK979" i="12" s="1"/>
  <c r="AN971" i="12"/>
  <c r="B973" i="12"/>
  <c r="AB973" i="12"/>
  <c r="Z975" i="12"/>
  <c r="AB975" i="12"/>
  <c r="Z977" i="12"/>
  <c r="AA979" i="12"/>
  <c r="AE979" i="12"/>
  <c r="AG979" i="12"/>
  <c r="AI979" i="12"/>
  <c r="AM979" i="12"/>
  <c r="AO979" i="12"/>
  <c r="AS979" i="12"/>
  <c r="AB983" i="12" s="1"/>
  <c r="B981" i="12"/>
  <c r="AB981" i="12"/>
  <c r="AF981" i="12"/>
  <c r="AD983" i="12"/>
  <c r="AF983" i="12"/>
  <c r="AB985" i="12"/>
  <c r="AD985" i="12"/>
  <c r="AF985" i="12"/>
  <c r="X987" i="12"/>
  <c r="X989" i="12"/>
  <c r="X991" i="12"/>
  <c r="D1007" i="12"/>
  <c r="E1007" i="12"/>
  <c r="E939" i="12" s="1"/>
  <c r="G1008" i="12"/>
  <c r="B1019" i="12"/>
  <c r="AB1019" i="12"/>
  <c r="AM1022" i="12" s="1"/>
  <c r="AF1019" i="12"/>
  <c r="AJ1019" i="12"/>
  <c r="AJ1022" i="12" s="1"/>
  <c r="AP1019" i="12"/>
  <c r="AB1022" i="12" s="1"/>
  <c r="Z1022" i="12"/>
  <c r="AF1022" i="12"/>
  <c r="AH1022" i="12"/>
  <c r="I1028" i="12"/>
  <c r="J1028" i="12"/>
  <c r="X1028" i="12"/>
  <c r="G1043" i="12"/>
  <c r="B1051" i="12"/>
  <c r="AB1051" i="12"/>
  <c r="AL1057" i="12" s="1"/>
  <c r="B1053" i="12"/>
  <c r="AD1053" i="12"/>
  <c r="AH1053" i="12"/>
  <c r="AL1053" i="12"/>
  <c r="AD1057" i="12" s="1"/>
  <c r="B1055" i="12"/>
  <c r="AB1055" i="12"/>
  <c r="AB1057" i="12"/>
  <c r="AF1057" i="12"/>
  <c r="AH1057" i="12"/>
  <c r="AJ1057" i="12"/>
  <c r="X1059" i="12"/>
  <c r="X1061" i="12"/>
  <c r="X1063" i="12"/>
  <c r="AB1069" i="12"/>
  <c r="AA1077" i="12" s="1"/>
  <c r="AF1069" i="12"/>
  <c r="AL1069" i="12"/>
  <c r="B1069" i="12" s="1"/>
  <c r="AG1071" i="12"/>
  <c r="Z1073" i="12" s="1"/>
  <c r="AD1073" i="12"/>
  <c r="Z1075" i="12"/>
  <c r="AE1077" i="12"/>
  <c r="AK1077" i="12"/>
  <c r="AB1081" i="12" s="1"/>
  <c r="B1079" i="12"/>
  <c r="AB1079" i="12"/>
  <c r="AD1081" i="12" s="1"/>
  <c r="AF1079" i="12"/>
  <c r="AF1081" i="12"/>
  <c r="AD1083" i="12"/>
  <c r="AF1083" i="12"/>
  <c r="X1085" i="12"/>
  <c r="X1087" i="12"/>
  <c r="X1089" i="12"/>
  <c r="D1111" i="12"/>
  <c r="D1043" i="12" s="1"/>
  <c r="E1111" i="12"/>
  <c r="J2" i="11"/>
  <c r="D13" i="1" s="1"/>
  <c r="K3" i="11"/>
  <c r="J4" i="11"/>
  <c r="K4" i="11"/>
  <c r="J5" i="11"/>
  <c r="K5" i="11"/>
  <c r="J6" i="11"/>
  <c r="K6" i="11"/>
  <c r="J7" i="11"/>
  <c r="K7" i="11"/>
  <c r="J8" i="11"/>
  <c r="K8" i="11"/>
  <c r="F9" i="11"/>
  <c r="G9" i="11"/>
  <c r="H14" i="13" s="1"/>
  <c r="J9" i="11"/>
  <c r="K9" i="11"/>
  <c r="J10" i="11"/>
  <c r="K10" i="11"/>
  <c r="J11" i="11"/>
  <c r="K11" i="11"/>
  <c r="J12" i="11"/>
  <c r="K12" i="11"/>
  <c r="F13" i="11"/>
  <c r="G13" i="11"/>
  <c r="H23" i="13" s="1"/>
  <c r="J13" i="11"/>
  <c r="K13" i="11"/>
  <c r="F14" i="11"/>
  <c r="G25" i="13" s="1"/>
  <c r="G14" i="11"/>
  <c r="H25" i="13" s="1"/>
  <c r="J14" i="11"/>
  <c r="K14" i="11"/>
  <c r="F15" i="11"/>
  <c r="G15" i="11"/>
  <c r="J15" i="11"/>
  <c r="K15" i="11"/>
  <c r="F16" i="11"/>
  <c r="G16" i="11"/>
  <c r="J16" i="11"/>
  <c r="K16" i="11"/>
  <c r="J17" i="11"/>
  <c r="K17" i="11"/>
  <c r="F18" i="11"/>
  <c r="G32" i="13" s="1"/>
  <c r="G18" i="11"/>
  <c r="H32" i="13" s="1"/>
  <c r="J18" i="11"/>
  <c r="K18" i="11"/>
  <c r="K2" i="13"/>
  <c r="D15" i="1" s="1"/>
  <c r="L3" i="13"/>
  <c r="L8" i="13"/>
  <c r="G14" i="13"/>
  <c r="G15" i="13"/>
  <c r="H15" i="13"/>
  <c r="L20" i="13"/>
  <c r="G22" i="13"/>
  <c r="G23" i="13"/>
  <c r="L24" i="13"/>
  <c r="G26" i="13"/>
  <c r="H26" i="13"/>
  <c r="G27" i="13"/>
  <c r="H27" i="13"/>
  <c r="G28" i="13"/>
  <c r="H28" i="13"/>
  <c r="G29" i="13"/>
  <c r="H29" i="13"/>
  <c r="L30" i="13"/>
  <c r="L32" i="13"/>
  <c r="G33" i="13"/>
  <c r="H2" i="6"/>
  <c r="D8" i="1" s="1"/>
  <c r="H10" i="6"/>
  <c r="D34" i="6"/>
  <c r="F34" i="6" s="1"/>
  <c r="E34" i="6"/>
  <c r="D35" i="6"/>
  <c r="E35" i="6"/>
  <c r="F35" i="6" s="1"/>
  <c r="D36" i="6"/>
  <c r="E36" i="6"/>
  <c r="F36" i="6"/>
  <c r="D37" i="6"/>
  <c r="O2" i="5"/>
  <c r="D7" i="1" s="1"/>
  <c r="AC4" i="5"/>
  <c r="O5" i="5"/>
  <c r="O6" i="5"/>
  <c r="K9" i="5"/>
  <c r="O9" i="5"/>
  <c r="I10" i="5"/>
  <c r="O10" i="5"/>
  <c r="F11" i="5"/>
  <c r="I11" i="5"/>
  <c r="I9" i="5" s="1"/>
  <c r="K11" i="5"/>
  <c r="G11" i="5" s="1"/>
  <c r="M11" i="5"/>
  <c r="M9" i="5" s="1"/>
  <c r="F12" i="5"/>
  <c r="I12" i="5"/>
  <c r="K12" i="5"/>
  <c r="K10" i="5" s="1"/>
  <c r="M12" i="5"/>
  <c r="F13" i="5"/>
  <c r="I13" i="5"/>
  <c r="K13" i="5"/>
  <c r="G13" i="5" s="1"/>
  <c r="M13" i="5"/>
  <c r="F14" i="5"/>
  <c r="I14" i="5"/>
  <c r="K14" i="5"/>
  <c r="G14" i="5" s="1"/>
  <c r="M14" i="5"/>
  <c r="M10" i="5" s="1"/>
  <c r="F15" i="5"/>
  <c r="I15" i="5"/>
  <c r="K15" i="5"/>
  <c r="M15" i="5"/>
  <c r="G15" i="5" s="1"/>
  <c r="F16" i="5"/>
  <c r="I16" i="5"/>
  <c r="K16" i="5"/>
  <c r="G16" i="5" s="1"/>
  <c r="M16" i="5"/>
  <c r="F17" i="5"/>
  <c r="I17" i="5"/>
  <c r="G17" i="5" s="1"/>
  <c r="K17" i="5"/>
  <c r="M17" i="5"/>
  <c r="F18" i="5"/>
  <c r="G18" i="5"/>
  <c r="I18" i="5"/>
  <c r="K18" i="5"/>
  <c r="M18" i="5"/>
  <c r="F19" i="5"/>
  <c r="I19" i="5"/>
  <c r="K19" i="5"/>
  <c r="G19" i="5" s="1"/>
  <c r="M19" i="5"/>
  <c r="F20" i="5"/>
  <c r="I20" i="5"/>
  <c r="K20" i="5"/>
  <c r="G20" i="5" s="1"/>
  <c r="M20" i="5"/>
  <c r="F21" i="5"/>
  <c r="I21" i="5"/>
  <c r="K21" i="5"/>
  <c r="G21" i="5" s="1"/>
  <c r="M21" i="5"/>
  <c r="F22" i="5"/>
  <c r="I22" i="5"/>
  <c r="K22" i="5"/>
  <c r="G22" i="5" s="1"/>
  <c r="M22" i="5"/>
  <c r="F23" i="5"/>
  <c r="I23" i="5"/>
  <c r="K23" i="5"/>
  <c r="M23" i="5"/>
  <c r="G23" i="5" s="1"/>
  <c r="F24" i="5"/>
  <c r="I24" i="5"/>
  <c r="K24" i="5"/>
  <c r="G24" i="5" s="1"/>
  <c r="M24" i="5"/>
  <c r="F25" i="5"/>
  <c r="I25" i="5"/>
  <c r="G25" i="5" s="1"/>
  <c r="K25" i="5"/>
  <c r="M25" i="5"/>
  <c r="F26" i="5"/>
  <c r="G26" i="5"/>
  <c r="I26" i="5"/>
  <c r="K26" i="5"/>
  <c r="M26" i="5"/>
  <c r="O29" i="5"/>
  <c r="O30" i="5"/>
  <c r="O31" i="5"/>
  <c r="O32" i="5"/>
  <c r="F33" i="5"/>
  <c r="I33" i="5"/>
  <c r="K33" i="5"/>
  <c r="M33" i="5"/>
  <c r="F34" i="5"/>
  <c r="G34" i="5"/>
  <c r="I34" i="5"/>
  <c r="K34" i="5"/>
  <c r="M34" i="5"/>
  <c r="F35" i="5"/>
  <c r="I35" i="5"/>
  <c r="K35" i="5"/>
  <c r="M35" i="5"/>
  <c r="F36" i="5"/>
  <c r="G36" i="5"/>
  <c r="I36" i="5"/>
  <c r="K36" i="5"/>
  <c r="M36" i="5"/>
  <c r="F37" i="5"/>
  <c r="I37" i="5"/>
  <c r="K37" i="5"/>
  <c r="M37" i="5"/>
  <c r="F38" i="5"/>
  <c r="I38" i="5"/>
  <c r="K38" i="5"/>
  <c r="G38" i="5" s="1"/>
  <c r="M38" i="5"/>
  <c r="F39" i="5"/>
  <c r="I39" i="5"/>
  <c r="K39" i="5"/>
  <c r="M39" i="5"/>
  <c r="F40" i="5"/>
  <c r="I40" i="5"/>
  <c r="K40" i="5"/>
  <c r="G40" i="5" s="1"/>
  <c r="M40" i="5"/>
  <c r="F41" i="5"/>
  <c r="H41" i="5"/>
  <c r="I41" i="5"/>
  <c r="J41" i="5"/>
  <c r="K41" i="5" s="1"/>
  <c r="L41" i="5"/>
  <c r="M41" i="5" s="1"/>
  <c r="AC41" i="5"/>
  <c r="F43" i="5"/>
  <c r="I43" i="5"/>
  <c r="K43" i="5"/>
  <c r="G43" i="5" s="1"/>
  <c r="M43" i="5"/>
  <c r="F44" i="5"/>
  <c r="I44" i="5"/>
  <c r="K44" i="5"/>
  <c r="M44" i="5"/>
  <c r="H45" i="5"/>
  <c r="I45" i="5"/>
  <c r="J45" i="5"/>
  <c r="K45" i="5"/>
  <c r="G45" i="5" s="1"/>
  <c r="L45" i="5"/>
  <c r="M45" i="5" s="1"/>
  <c r="AC47" i="5"/>
  <c r="F49" i="5"/>
  <c r="G49" i="5"/>
  <c r="I49" i="5"/>
  <c r="K49" i="5"/>
  <c r="M49" i="5"/>
  <c r="F50" i="5"/>
  <c r="I50" i="5"/>
  <c r="K50" i="5"/>
  <c r="M50" i="5"/>
  <c r="AC51" i="5"/>
  <c r="O53" i="5"/>
  <c r="O54" i="5"/>
  <c r="F55" i="5"/>
  <c r="I55" i="5"/>
  <c r="K55" i="5"/>
  <c r="M55" i="5"/>
  <c r="F56" i="5"/>
  <c r="G56" i="5"/>
  <c r="I56" i="5"/>
  <c r="K56" i="5"/>
  <c r="M56" i="5"/>
  <c r="F57" i="5"/>
  <c r="I57" i="5"/>
  <c r="K57" i="5"/>
  <c r="M57" i="5"/>
  <c r="F58" i="5"/>
  <c r="I58" i="5"/>
  <c r="K58" i="5"/>
  <c r="M58" i="5"/>
  <c r="F59" i="5"/>
  <c r="I59" i="5"/>
  <c r="K59" i="5"/>
  <c r="M59" i="5"/>
  <c r="F60" i="5"/>
  <c r="I60" i="5"/>
  <c r="K60" i="5"/>
  <c r="G60" i="5" s="1"/>
  <c r="M60" i="5"/>
  <c r="F61" i="5"/>
  <c r="I61" i="5"/>
  <c r="K61" i="5"/>
  <c r="M61" i="5"/>
  <c r="G61" i="5" s="1"/>
  <c r="F62" i="5"/>
  <c r="G62" i="5"/>
  <c r="I62" i="5"/>
  <c r="K62" i="5"/>
  <c r="M62" i="5"/>
  <c r="H63" i="5"/>
  <c r="I63" i="5" s="1"/>
  <c r="J63" i="5"/>
  <c r="L63" i="5"/>
  <c r="M63" i="5" s="1"/>
  <c r="AC63" i="5"/>
  <c r="F65" i="5"/>
  <c r="I65" i="5"/>
  <c r="K65" i="5"/>
  <c r="M65" i="5"/>
  <c r="G65" i="5" s="1"/>
  <c r="F66" i="5"/>
  <c r="I66" i="5"/>
  <c r="K66" i="5"/>
  <c r="M66" i="5"/>
  <c r="G66" i="5" s="1"/>
  <c r="H67" i="5"/>
  <c r="I67" i="5"/>
  <c r="J67" i="5"/>
  <c r="L67" i="5"/>
  <c r="M67" i="5"/>
  <c r="AC69" i="5"/>
  <c r="F71" i="5"/>
  <c r="I71" i="5"/>
  <c r="K71" i="5"/>
  <c r="G71" i="5" s="1"/>
  <c r="M71" i="5"/>
  <c r="F72" i="5"/>
  <c r="I72" i="5"/>
  <c r="K72" i="5"/>
  <c r="G72" i="5" s="1"/>
  <c r="M72" i="5"/>
  <c r="AC73" i="5"/>
  <c r="O77" i="5"/>
  <c r="O78" i="5"/>
  <c r="O79" i="5"/>
  <c r="O80" i="5"/>
  <c r="F81" i="5"/>
  <c r="I81" i="5"/>
  <c r="K81" i="5"/>
  <c r="G81" i="5" s="1"/>
  <c r="M81" i="5"/>
  <c r="F82" i="5"/>
  <c r="I82" i="5"/>
  <c r="K82" i="5"/>
  <c r="G82" i="5" s="1"/>
  <c r="M82" i="5"/>
  <c r="F83" i="5"/>
  <c r="I83" i="5"/>
  <c r="K83" i="5"/>
  <c r="G83" i="5" s="1"/>
  <c r="M83" i="5"/>
  <c r="F84" i="5"/>
  <c r="G84" i="5"/>
  <c r="I84" i="5"/>
  <c r="K84" i="5"/>
  <c r="M84" i="5"/>
  <c r="F85" i="5"/>
  <c r="I85" i="5"/>
  <c r="K85" i="5"/>
  <c r="M85" i="5"/>
  <c r="G85" i="5" s="1"/>
  <c r="F86" i="5"/>
  <c r="I86" i="5"/>
  <c r="K86" i="5"/>
  <c r="G86" i="5" s="1"/>
  <c r="M86" i="5"/>
  <c r="F87" i="5"/>
  <c r="I87" i="5"/>
  <c r="K87" i="5"/>
  <c r="G87" i="5" s="1"/>
  <c r="M87" i="5"/>
  <c r="F88" i="5"/>
  <c r="I88" i="5"/>
  <c r="K88" i="5"/>
  <c r="G88" i="5" s="1"/>
  <c r="M88" i="5"/>
  <c r="F89" i="5"/>
  <c r="I89" i="5"/>
  <c r="K89" i="5"/>
  <c r="G89" i="5" s="1"/>
  <c r="M89" i="5"/>
  <c r="F90" i="5"/>
  <c r="I90" i="5"/>
  <c r="K90" i="5"/>
  <c r="G90" i="5" s="1"/>
  <c r="M90" i="5"/>
  <c r="F91" i="5"/>
  <c r="I91" i="5"/>
  <c r="K91" i="5"/>
  <c r="G91" i="5" s="1"/>
  <c r="M91" i="5"/>
  <c r="F92" i="5"/>
  <c r="G92" i="5"/>
  <c r="I92" i="5"/>
  <c r="K92" i="5"/>
  <c r="M92" i="5"/>
  <c r="H93" i="5"/>
  <c r="I93" i="5" s="1"/>
  <c r="J93" i="5"/>
  <c r="K93" i="5" s="1"/>
  <c r="L93" i="5"/>
  <c r="M93" i="5"/>
  <c r="AC95" i="5"/>
  <c r="F97" i="5"/>
  <c r="I97" i="5"/>
  <c r="K97" i="5"/>
  <c r="G97" i="5" s="1"/>
  <c r="M97" i="5"/>
  <c r="F98" i="5"/>
  <c r="I98" i="5"/>
  <c r="K98" i="5"/>
  <c r="G98" i="5" s="1"/>
  <c r="M98" i="5"/>
  <c r="AC99" i="5"/>
  <c r="O103" i="5"/>
  <c r="O104" i="5"/>
  <c r="H105" i="5"/>
  <c r="I105" i="5" s="1"/>
  <c r="J105" i="5"/>
  <c r="K105" i="5"/>
  <c r="L105" i="5"/>
  <c r="M105" i="5" s="1"/>
  <c r="H107" i="5"/>
  <c r="I107" i="5" s="1"/>
  <c r="J107" i="5"/>
  <c r="K107" i="5" s="1"/>
  <c r="L107" i="5"/>
  <c r="M107" i="5"/>
  <c r="F109" i="5"/>
  <c r="H109" i="5"/>
  <c r="I109" i="5"/>
  <c r="J109" i="5"/>
  <c r="K109" i="5" s="1"/>
  <c r="L109" i="5"/>
  <c r="M109" i="5" s="1"/>
  <c r="AC109" i="5"/>
  <c r="H111" i="5"/>
  <c r="F111" i="5" s="1"/>
  <c r="J111" i="5"/>
  <c r="K111" i="5"/>
  <c r="L111" i="5"/>
  <c r="M111" i="5"/>
  <c r="AC111" i="5"/>
  <c r="H113" i="5"/>
  <c r="I113" i="5" s="1"/>
  <c r="J113" i="5"/>
  <c r="F113" i="5" s="1"/>
  <c r="L113" i="5"/>
  <c r="M113" i="5" s="1"/>
  <c r="AC113" i="5"/>
  <c r="F115" i="5"/>
  <c r="H115" i="5"/>
  <c r="I115" i="5"/>
  <c r="J115" i="5"/>
  <c r="K115" i="5"/>
  <c r="G115" i="5" s="1"/>
  <c r="L115" i="5"/>
  <c r="M115" i="5" s="1"/>
  <c r="AC115" i="5"/>
  <c r="O119" i="5"/>
  <c r="O120" i="5"/>
  <c r="O121" i="5"/>
  <c r="O122" i="5"/>
  <c r="F123" i="5"/>
  <c r="I123" i="5"/>
  <c r="K123" i="5"/>
  <c r="G123" i="5" s="1"/>
  <c r="M123" i="5"/>
  <c r="F124" i="5"/>
  <c r="I124" i="5"/>
  <c r="K124" i="5"/>
  <c r="M124" i="5"/>
  <c r="F125" i="5"/>
  <c r="G125" i="5"/>
  <c r="I125" i="5"/>
  <c r="K125" i="5"/>
  <c r="M125" i="5"/>
  <c r="F126" i="5"/>
  <c r="I126" i="5"/>
  <c r="K126" i="5"/>
  <c r="M126" i="5"/>
  <c r="F127" i="5"/>
  <c r="I127" i="5"/>
  <c r="K127" i="5"/>
  <c r="G127" i="5" s="1"/>
  <c r="M127" i="5"/>
  <c r="F128" i="5"/>
  <c r="I128" i="5"/>
  <c r="K128" i="5"/>
  <c r="G128" i="5" s="1"/>
  <c r="M128" i="5"/>
  <c r="F129" i="5"/>
  <c r="I129" i="5"/>
  <c r="K129" i="5"/>
  <c r="G129" i="5" s="1"/>
  <c r="M129" i="5"/>
  <c r="F130" i="5"/>
  <c r="I130" i="5"/>
  <c r="K130" i="5"/>
  <c r="G130" i="5" s="1"/>
  <c r="M130" i="5"/>
  <c r="F131" i="5"/>
  <c r="I131" i="5"/>
  <c r="K131" i="5"/>
  <c r="G131" i="5" s="1"/>
  <c r="M131" i="5"/>
  <c r="F132" i="5"/>
  <c r="I132" i="5"/>
  <c r="K132" i="5"/>
  <c r="G132" i="5" s="1"/>
  <c r="M132" i="5"/>
  <c r="H133" i="5"/>
  <c r="I133" i="5" s="1"/>
  <c r="J133" i="5"/>
  <c r="F133" i="5" s="1"/>
  <c r="L133" i="5"/>
  <c r="M133" i="5" s="1"/>
  <c r="AC135" i="5"/>
  <c r="F137" i="5"/>
  <c r="I137" i="5"/>
  <c r="K137" i="5"/>
  <c r="G137" i="5" s="1"/>
  <c r="M137" i="5"/>
  <c r="F138" i="5"/>
  <c r="I138" i="5"/>
  <c r="K138" i="5"/>
  <c r="G138" i="5" s="1"/>
  <c r="M138" i="5"/>
  <c r="AC139" i="5"/>
  <c r="O143" i="5"/>
  <c r="O144" i="5"/>
  <c r="O145" i="5"/>
  <c r="O146" i="5"/>
  <c r="F147" i="5"/>
  <c r="I147" i="5"/>
  <c r="K147" i="5"/>
  <c r="G147" i="5" s="1"/>
  <c r="M147" i="5"/>
  <c r="F148" i="5"/>
  <c r="I148" i="5"/>
  <c r="K148" i="5"/>
  <c r="G148" i="5" s="1"/>
  <c r="M148" i="5"/>
  <c r="M146" i="5" s="1"/>
  <c r="M144" i="5" s="1"/>
  <c r="F149" i="5"/>
  <c r="I149" i="5"/>
  <c r="K149" i="5"/>
  <c r="G149" i="5" s="1"/>
  <c r="M149" i="5"/>
  <c r="F150" i="5"/>
  <c r="G150" i="5"/>
  <c r="I150" i="5"/>
  <c r="K150" i="5"/>
  <c r="M150" i="5"/>
  <c r="F151" i="5"/>
  <c r="I151" i="5"/>
  <c r="K151" i="5"/>
  <c r="M151" i="5"/>
  <c r="G151" i="5" s="1"/>
  <c r="F152" i="5"/>
  <c r="I152" i="5"/>
  <c r="K152" i="5"/>
  <c r="G152" i="5" s="1"/>
  <c r="M152" i="5"/>
  <c r="F153" i="5"/>
  <c r="I153" i="5"/>
  <c r="K153" i="5"/>
  <c r="G153" i="5" s="1"/>
  <c r="M153" i="5"/>
  <c r="F154" i="5"/>
  <c r="I154" i="5"/>
  <c r="K154" i="5"/>
  <c r="G154" i="5" s="1"/>
  <c r="M154" i="5"/>
  <c r="AC155" i="5"/>
  <c r="H156" i="5"/>
  <c r="I156" i="5" s="1"/>
  <c r="J156" i="5"/>
  <c r="K156" i="5" s="1"/>
  <c r="G156" i="5" s="1"/>
  <c r="L156" i="5"/>
  <c r="M156" i="5"/>
  <c r="F157" i="5"/>
  <c r="I157" i="5"/>
  <c r="K157" i="5"/>
  <c r="G157" i="5" s="1"/>
  <c r="M157" i="5"/>
  <c r="F158" i="5"/>
  <c r="I158" i="5"/>
  <c r="K158" i="5"/>
  <c r="G158" i="5" s="1"/>
  <c r="M158" i="5"/>
  <c r="AC159" i="5"/>
  <c r="H160" i="5"/>
  <c r="I160" i="5" s="1"/>
  <c r="J160" i="5"/>
  <c r="K160" i="5" s="1"/>
  <c r="L160" i="5"/>
  <c r="M160" i="5"/>
  <c r="O163" i="5"/>
  <c r="O164" i="5"/>
  <c r="O165" i="5"/>
  <c r="O166" i="5"/>
  <c r="F167" i="5"/>
  <c r="H167" i="5"/>
  <c r="I167" i="5"/>
  <c r="I165" i="5" s="1"/>
  <c r="J167" i="5"/>
  <c r="K167" i="5"/>
  <c r="L167" i="5"/>
  <c r="M167" i="5" s="1"/>
  <c r="M165" i="5" s="1"/>
  <c r="H169" i="5"/>
  <c r="I169" i="5" s="1"/>
  <c r="J169" i="5"/>
  <c r="K169" i="5" s="1"/>
  <c r="L169" i="5"/>
  <c r="M169" i="5"/>
  <c r="AC169" i="5"/>
  <c r="O171" i="5"/>
  <c r="O172" i="5"/>
  <c r="F173" i="5"/>
  <c r="I173" i="5"/>
  <c r="K173" i="5"/>
  <c r="M173" i="5"/>
  <c r="F174" i="5"/>
  <c r="I174" i="5"/>
  <c r="K174" i="5"/>
  <c r="M174" i="5"/>
  <c r="F175" i="5"/>
  <c r="I175" i="5"/>
  <c r="K175" i="5"/>
  <c r="G175" i="5" s="1"/>
  <c r="M175" i="5"/>
  <c r="F176" i="5"/>
  <c r="I176" i="5"/>
  <c r="G176" i="5" s="1"/>
  <c r="K176" i="5"/>
  <c r="M176" i="5"/>
  <c r="F177" i="5"/>
  <c r="I177" i="5"/>
  <c r="K177" i="5"/>
  <c r="G177" i="5" s="1"/>
  <c r="M177" i="5"/>
  <c r="F178" i="5"/>
  <c r="I178" i="5"/>
  <c r="K178" i="5"/>
  <c r="G178" i="5" s="1"/>
  <c r="M178" i="5"/>
  <c r="AC179" i="5"/>
  <c r="H180" i="5"/>
  <c r="I180" i="5" s="1"/>
  <c r="J180" i="5"/>
  <c r="K180" i="5"/>
  <c r="L180" i="5"/>
  <c r="M180" i="5" s="1"/>
  <c r="F181" i="5"/>
  <c r="I181" i="5"/>
  <c r="K181" i="5"/>
  <c r="G181" i="5" s="1"/>
  <c r="M181" i="5"/>
  <c r="F182" i="5"/>
  <c r="I182" i="5"/>
  <c r="K182" i="5"/>
  <c r="G182" i="5" s="1"/>
  <c r="M182" i="5"/>
  <c r="F183" i="5"/>
  <c r="H183" i="5"/>
  <c r="I183" i="5"/>
  <c r="J183" i="5"/>
  <c r="K183" i="5" s="1"/>
  <c r="L183" i="5"/>
  <c r="M183" i="5" s="1"/>
  <c r="AC185" i="5"/>
  <c r="H187" i="5"/>
  <c r="I187" i="5" s="1"/>
  <c r="J187" i="5"/>
  <c r="F187" i="5" s="1"/>
  <c r="L187" i="5"/>
  <c r="M187" i="5" s="1"/>
  <c r="AC187" i="5"/>
  <c r="F188" i="5"/>
  <c r="H188" i="5"/>
  <c r="I188" i="5"/>
  <c r="J188" i="5"/>
  <c r="K188" i="5"/>
  <c r="G188" i="5" s="1"/>
  <c r="L188" i="5"/>
  <c r="M188" i="5" s="1"/>
  <c r="O189" i="5"/>
  <c r="O190" i="5"/>
  <c r="H191" i="5"/>
  <c r="I191" i="5"/>
  <c r="J191" i="5"/>
  <c r="K191" i="5" s="1"/>
  <c r="L191" i="5"/>
  <c r="M191" i="5" s="1"/>
  <c r="AC191" i="5"/>
  <c r="H193" i="5"/>
  <c r="I193" i="5" s="1"/>
  <c r="J193" i="5"/>
  <c r="K193" i="5"/>
  <c r="L193" i="5"/>
  <c r="M193" i="5" s="1"/>
  <c r="H195" i="5"/>
  <c r="I195" i="5" s="1"/>
  <c r="J195" i="5"/>
  <c r="L195" i="5"/>
  <c r="M195" i="5"/>
  <c r="F197" i="5"/>
  <c r="H197" i="5"/>
  <c r="I197" i="5"/>
  <c r="J197" i="5"/>
  <c r="K197" i="5" s="1"/>
  <c r="L197" i="5"/>
  <c r="M197" i="5" s="1"/>
  <c r="AC197" i="5"/>
  <c r="H199" i="5"/>
  <c r="J199" i="5"/>
  <c r="K199" i="5"/>
  <c r="L199" i="5"/>
  <c r="M199" i="5"/>
  <c r="AC199" i="5"/>
  <c r="O203" i="5"/>
  <c r="I204" i="5"/>
  <c r="O204" i="5"/>
  <c r="F205" i="5"/>
  <c r="I205" i="5"/>
  <c r="K205" i="5"/>
  <c r="G205" i="5" s="1"/>
  <c r="M205" i="5"/>
  <c r="M203" i="5" s="1"/>
  <c r="F206" i="5"/>
  <c r="I206" i="5"/>
  <c r="K206" i="5"/>
  <c r="M206" i="5"/>
  <c r="F207" i="5"/>
  <c r="I207" i="5"/>
  <c r="I203" i="5" s="1"/>
  <c r="K207" i="5"/>
  <c r="M207" i="5"/>
  <c r="F208" i="5"/>
  <c r="I208" i="5"/>
  <c r="K208" i="5"/>
  <c r="G208" i="5" s="1"/>
  <c r="M208" i="5"/>
  <c r="M204" i="5" s="1"/>
  <c r="F209" i="5"/>
  <c r="I209" i="5"/>
  <c r="K209" i="5"/>
  <c r="G209" i="5" s="1"/>
  <c r="M209" i="5"/>
  <c r="F210" i="5"/>
  <c r="I210" i="5"/>
  <c r="K210" i="5"/>
  <c r="G210" i="5" s="1"/>
  <c r="I107" i="7" s="1"/>
  <c r="M210" i="5"/>
  <c r="O213" i="5"/>
  <c r="O214" i="5"/>
  <c r="F215" i="5"/>
  <c r="I215" i="5"/>
  <c r="K215" i="5"/>
  <c r="G215" i="5" s="1"/>
  <c r="M215" i="5"/>
  <c r="F216" i="5"/>
  <c r="I216" i="5"/>
  <c r="K216" i="5"/>
  <c r="M216" i="5"/>
  <c r="F217" i="5"/>
  <c r="I217" i="5"/>
  <c r="K217" i="5"/>
  <c r="M217" i="5"/>
  <c r="F218" i="5"/>
  <c r="G218" i="5"/>
  <c r="I218" i="5"/>
  <c r="K218" i="5"/>
  <c r="M218" i="5"/>
  <c r="F219" i="5"/>
  <c r="I219" i="5"/>
  <c r="K219" i="5"/>
  <c r="M219" i="5"/>
  <c r="G219" i="5" s="1"/>
  <c r="F220" i="5"/>
  <c r="I220" i="5"/>
  <c r="K220" i="5"/>
  <c r="G220" i="5" s="1"/>
  <c r="I112" i="7" s="1"/>
  <c r="M220" i="5"/>
  <c r="F221" i="5"/>
  <c r="I221" i="5"/>
  <c r="I213" i="5" s="1"/>
  <c r="K221" i="5"/>
  <c r="M221" i="5"/>
  <c r="F222" i="5"/>
  <c r="I222" i="5"/>
  <c r="G222" i="5" s="1"/>
  <c r="I113" i="7" s="1"/>
  <c r="K222" i="5"/>
  <c r="M222" i="5"/>
  <c r="F223" i="5"/>
  <c r="I223" i="5"/>
  <c r="K223" i="5"/>
  <c r="G223" i="5" s="1"/>
  <c r="M223" i="5"/>
  <c r="F224" i="5"/>
  <c r="I224" i="5"/>
  <c r="K224" i="5"/>
  <c r="M224" i="5"/>
  <c r="F225" i="5"/>
  <c r="H225" i="5"/>
  <c r="I225" i="5"/>
  <c r="J225" i="5"/>
  <c r="K225" i="5"/>
  <c r="L225" i="5"/>
  <c r="M225" i="5" s="1"/>
  <c r="AC225" i="5"/>
  <c r="H226" i="5"/>
  <c r="I226" i="5" s="1"/>
  <c r="J226" i="5"/>
  <c r="K226" i="5" s="1"/>
  <c r="F227" i="5"/>
  <c r="I227" i="5"/>
  <c r="K227" i="5"/>
  <c r="G227" i="5" s="1"/>
  <c r="M227" i="5"/>
  <c r="F228" i="5"/>
  <c r="I228" i="5"/>
  <c r="K228" i="5"/>
  <c r="M228" i="5"/>
  <c r="F229" i="5"/>
  <c r="I229" i="5"/>
  <c r="G229" i="5" s="1"/>
  <c r="H117" i="7" s="1"/>
  <c r="K229" i="5"/>
  <c r="M229" i="5"/>
  <c r="F230" i="5"/>
  <c r="I230" i="5"/>
  <c r="G230" i="5" s="1"/>
  <c r="I117" i="7" s="1"/>
  <c r="K230" i="5"/>
  <c r="M230" i="5"/>
  <c r="F231" i="5"/>
  <c r="H231" i="5"/>
  <c r="I231" i="5"/>
  <c r="J231" i="5"/>
  <c r="K231" i="5"/>
  <c r="G231" i="5" s="1"/>
  <c r="H118" i="7" s="1"/>
  <c r="L231" i="5"/>
  <c r="M231" i="5"/>
  <c r="AC231" i="5"/>
  <c r="H232" i="5"/>
  <c r="I232" i="5" s="1"/>
  <c r="J232" i="5"/>
  <c r="K232" i="5"/>
  <c r="F233" i="5"/>
  <c r="H233" i="5"/>
  <c r="I233" i="5"/>
  <c r="J233" i="5"/>
  <c r="K233" i="5"/>
  <c r="L233" i="5"/>
  <c r="M233" i="5" s="1"/>
  <c r="AC233" i="5"/>
  <c r="H234" i="5"/>
  <c r="I234" i="5"/>
  <c r="J234" i="5"/>
  <c r="K234" i="5"/>
  <c r="H235" i="5"/>
  <c r="I235" i="5" s="1"/>
  <c r="J235" i="5"/>
  <c r="K235" i="5" s="1"/>
  <c r="G235" i="5" s="1"/>
  <c r="L235" i="5"/>
  <c r="M235" i="5"/>
  <c r="AC235" i="5"/>
  <c r="H236" i="5"/>
  <c r="I236" i="5"/>
  <c r="J236" i="5"/>
  <c r="K236" i="5"/>
  <c r="H237" i="5"/>
  <c r="I237" i="5" s="1"/>
  <c r="J237" i="5"/>
  <c r="F237" i="5" s="1"/>
  <c r="L237" i="5"/>
  <c r="M237" i="5" s="1"/>
  <c r="AC237" i="5"/>
  <c r="H238" i="5"/>
  <c r="I238" i="5" s="1"/>
  <c r="J238" i="5"/>
  <c r="F239" i="5"/>
  <c r="H239" i="5"/>
  <c r="I239" i="5"/>
  <c r="J239" i="5"/>
  <c r="K239" i="5"/>
  <c r="G239" i="5" s="1"/>
  <c r="H122" i="7" s="1"/>
  <c r="L239" i="5"/>
  <c r="M239" i="5"/>
  <c r="AC239" i="5"/>
  <c r="H240" i="5"/>
  <c r="I240" i="5" s="1"/>
  <c r="J240" i="5"/>
  <c r="K240" i="5" s="1"/>
  <c r="M243" i="5"/>
  <c r="O243" i="5"/>
  <c r="O244" i="5"/>
  <c r="F245" i="5"/>
  <c r="I245" i="5"/>
  <c r="I243" i="5" s="1"/>
  <c r="K245" i="5"/>
  <c r="M245" i="5"/>
  <c r="F246" i="5"/>
  <c r="I246" i="5"/>
  <c r="I244" i="5" s="1"/>
  <c r="K246" i="5"/>
  <c r="M246" i="5"/>
  <c r="M244" i="5" s="1"/>
  <c r="F247" i="5"/>
  <c r="I247" i="5"/>
  <c r="K247" i="5"/>
  <c r="G247" i="5" s="1"/>
  <c r="H126" i="7" s="1"/>
  <c r="M247" i="5"/>
  <c r="F248" i="5"/>
  <c r="I248" i="5"/>
  <c r="K248" i="5"/>
  <c r="G248" i="5" s="1"/>
  <c r="I126" i="7" s="1"/>
  <c r="M248" i="5"/>
  <c r="F249" i="5"/>
  <c r="I249" i="5"/>
  <c r="K249" i="5"/>
  <c r="K243" i="5" s="1"/>
  <c r="M249" i="5"/>
  <c r="F250" i="5"/>
  <c r="G250" i="5"/>
  <c r="I250" i="5"/>
  <c r="K250" i="5"/>
  <c r="M250" i="5"/>
  <c r="I251" i="5"/>
  <c r="J251" i="5"/>
  <c r="F251" i="5" s="1"/>
  <c r="K251" i="5"/>
  <c r="G251" i="5" s="1"/>
  <c r="H128" i="7" s="1"/>
  <c r="M251" i="5"/>
  <c r="I252" i="5"/>
  <c r="M252" i="5"/>
  <c r="F253" i="5"/>
  <c r="I253" i="5"/>
  <c r="K253" i="5"/>
  <c r="G253" i="5" s="1"/>
  <c r="M253" i="5"/>
  <c r="F254" i="5"/>
  <c r="I254" i="5"/>
  <c r="G254" i="5" s="1"/>
  <c r="I129" i="7" s="1"/>
  <c r="K254" i="5"/>
  <c r="M254" i="5"/>
  <c r="F255" i="5"/>
  <c r="I255" i="5"/>
  <c r="G255" i="5" s="1"/>
  <c r="H130" i="7" s="1"/>
  <c r="K255" i="5"/>
  <c r="M255" i="5"/>
  <c r="F256" i="5"/>
  <c r="I256" i="5"/>
  <c r="K256" i="5"/>
  <c r="G256" i="5" s="1"/>
  <c r="I130" i="7" s="1"/>
  <c r="M256" i="5"/>
  <c r="F257" i="5"/>
  <c r="I257" i="5"/>
  <c r="K257" i="5"/>
  <c r="G257" i="5" s="1"/>
  <c r="H131" i="7" s="1"/>
  <c r="M257" i="5"/>
  <c r="F258" i="5"/>
  <c r="I258" i="5"/>
  <c r="K258" i="5"/>
  <c r="G258" i="5" s="1"/>
  <c r="I131" i="7" s="1"/>
  <c r="M258" i="5"/>
  <c r="L2" i="7"/>
  <c r="D9" i="1" s="1"/>
  <c r="L4" i="7"/>
  <c r="H6" i="7"/>
  <c r="I6" i="7"/>
  <c r="J6" i="7" s="1"/>
  <c r="D8" i="7"/>
  <c r="E8" i="7"/>
  <c r="F8" i="7"/>
  <c r="H8" i="7"/>
  <c r="D9" i="7"/>
  <c r="F9" i="7" s="1"/>
  <c r="E9" i="7"/>
  <c r="H9" i="7"/>
  <c r="I9" i="7"/>
  <c r="J9" i="7"/>
  <c r="D10" i="7"/>
  <c r="E10" i="7"/>
  <c r="F10" i="7" s="1"/>
  <c r="H10" i="7"/>
  <c r="I10" i="7"/>
  <c r="J10" i="7" s="1"/>
  <c r="D11" i="7"/>
  <c r="E11" i="7"/>
  <c r="F11" i="7" s="1"/>
  <c r="H11" i="7"/>
  <c r="I11" i="7"/>
  <c r="J11" i="7" s="1"/>
  <c r="D12" i="7"/>
  <c r="E12" i="7"/>
  <c r="F12" i="7"/>
  <c r="H12" i="7"/>
  <c r="I12" i="7"/>
  <c r="J12" i="7"/>
  <c r="D13" i="7"/>
  <c r="F13" i="7" s="1"/>
  <c r="E13" i="7"/>
  <c r="H13" i="7"/>
  <c r="I13" i="7"/>
  <c r="J13" i="7"/>
  <c r="D14" i="7"/>
  <c r="E14" i="7"/>
  <c r="F14" i="7" s="1"/>
  <c r="H14" i="7"/>
  <c r="I14" i="7"/>
  <c r="J14" i="7" s="1"/>
  <c r="D15" i="7"/>
  <c r="E15" i="7"/>
  <c r="F15" i="7" s="1"/>
  <c r="H15" i="7"/>
  <c r="I15" i="7"/>
  <c r="J15" i="7" s="1"/>
  <c r="H16" i="7"/>
  <c r="I16" i="7"/>
  <c r="J16" i="7"/>
  <c r="D19" i="7"/>
  <c r="E19" i="7"/>
  <c r="F19" i="7"/>
  <c r="I19" i="7"/>
  <c r="D20" i="7"/>
  <c r="E20" i="7"/>
  <c r="F20" i="7" s="1"/>
  <c r="I20" i="7"/>
  <c r="D21" i="7"/>
  <c r="E21" i="7"/>
  <c r="F21" i="7" s="1"/>
  <c r="I21" i="7"/>
  <c r="D22" i="7"/>
  <c r="E22" i="7"/>
  <c r="F22" i="7"/>
  <c r="I22" i="7"/>
  <c r="D23" i="7"/>
  <c r="E23" i="7"/>
  <c r="F23" i="7"/>
  <c r="D24" i="7"/>
  <c r="E24" i="7"/>
  <c r="F24" i="7" s="1"/>
  <c r="H24" i="7"/>
  <c r="D25" i="7"/>
  <c r="E25" i="7"/>
  <c r="F25" i="7" s="1"/>
  <c r="H25" i="7"/>
  <c r="D26" i="7"/>
  <c r="E26" i="7"/>
  <c r="F26" i="7"/>
  <c r="D27" i="7"/>
  <c r="E27" i="7"/>
  <c r="F27" i="7"/>
  <c r="H27" i="7"/>
  <c r="D28" i="7"/>
  <c r="E28" i="7"/>
  <c r="F28" i="7" s="1"/>
  <c r="D30" i="7"/>
  <c r="E30" i="7"/>
  <c r="F30" i="7"/>
  <c r="I30" i="7"/>
  <c r="D31" i="7"/>
  <c r="F31" i="7" s="1"/>
  <c r="E31" i="7"/>
  <c r="D32" i="7"/>
  <c r="E32" i="7"/>
  <c r="F32" i="7" s="1"/>
  <c r="I32" i="7"/>
  <c r="D33" i="7"/>
  <c r="E33" i="7"/>
  <c r="F33" i="7" s="1"/>
  <c r="H33" i="7"/>
  <c r="I33" i="7"/>
  <c r="J33" i="7" s="1"/>
  <c r="D34" i="7"/>
  <c r="E34" i="7"/>
  <c r="F34" i="7"/>
  <c r="D35" i="7"/>
  <c r="F35" i="7" s="1"/>
  <c r="E35" i="7"/>
  <c r="H35" i="7"/>
  <c r="I35" i="7"/>
  <c r="J35" i="7"/>
  <c r="D36" i="7"/>
  <c r="E36" i="7"/>
  <c r="F36" i="7" s="1"/>
  <c r="D37" i="7"/>
  <c r="E37" i="7"/>
  <c r="F37" i="7" s="1"/>
  <c r="D38" i="7"/>
  <c r="E38" i="7"/>
  <c r="F38" i="7"/>
  <c r="H38" i="7"/>
  <c r="I38" i="7"/>
  <c r="J38" i="7"/>
  <c r="D39" i="7"/>
  <c r="F39" i="7" s="1"/>
  <c r="E39" i="7"/>
  <c r="H40" i="7"/>
  <c r="I40" i="7"/>
  <c r="J40" i="7" s="1"/>
  <c r="D43" i="7"/>
  <c r="E43" i="7"/>
  <c r="F43" i="7" s="1"/>
  <c r="H43" i="7"/>
  <c r="I43" i="7"/>
  <c r="J43" i="7"/>
  <c r="D44" i="7"/>
  <c r="E44" i="7"/>
  <c r="F44" i="7"/>
  <c r="H44" i="7"/>
  <c r="J44" i="7" s="1"/>
  <c r="I44" i="7"/>
  <c r="D45" i="7"/>
  <c r="E45" i="7"/>
  <c r="F45" i="7"/>
  <c r="H45" i="7"/>
  <c r="I45" i="7"/>
  <c r="J45" i="7" s="1"/>
  <c r="D46" i="7"/>
  <c r="E46" i="7"/>
  <c r="F46" i="7" s="1"/>
  <c r="H46" i="7"/>
  <c r="I46" i="7"/>
  <c r="J46" i="7" s="1"/>
  <c r="D47" i="7"/>
  <c r="E47" i="7"/>
  <c r="F47" i="7" s="1"/>
  <c r="H47" i="7"/>
  <c r="I47" i="7"/>
  <c r="J47" i="7"/>
  <c r="D48" i="7"/>
  <c r="E48" i="7"/>
  <c r="F48" i="7"/>
  <c r="H48" i="7"/>
  <c r="J48" i="7" s="1"/>
  <c r="I48" i="7"/>
  <c r="D49" i="7"/>
  <c r="E49" i="7"/>
  <c r="F49" i="7"/>
  <c r="D50" i="7"/>
  <c r="E50" i="7"/>
  <c r="F50" i="7" s="1"/>
  <c r="D51" i="7"/>
  <c r="E51" i="7"/>
  <c r="F51" i="7" s="1"/>
  <c r="H51" i="7"/>
  <c r="I51" i="7"/>
  <c r="J51" i="7"/>
  <c r="D52" i="7"/>
  <c r="E52" i="7"/>
  <c r="F52" i="7"/>
  <c r="H53" i="7"/>
  <c r="I53" i="7"/>
  <c r="J53" i="7"/>
  <c r="D55" i="7"/>
  <c r="E55" i="7"/>
  <c r="F55" i="7" s="1"/>
  <c r="D56" i="7"/>
  <c r="E56" i="7"/>
  <c r="F56" i="7" s="1"/>
  <c r="D57" i="7"/>
  <c r="E57" i="7"/>
  <c r="F57" i="7"/>
  <c r="D58" i="7"/>
  <c r="E58" i="7"/>
  <c r="F58" i="7"/>
  <c r="D59" i="7"/>
  <c r="E59" i="7"/>
  <c r="F59" i="7" s="1"/>
  <c r="D60" i="7"/>
  <c r="E60" i="7"/>
  <c r="H60" i="7"/>
  <c r="H61" i="7"/>
  <c r="I61" i="7"/>
  <c r="J61" i="7"/>
  <c r="D64" i="7"/>
  <c r="E64" i="7"/>
  <c r="F64" i="7" s="1"/>
  <c r="H64" i="7"/>
  <c r="D65" i="7"/>
  <c r="E65" i="7"/>
  <c r="F65" i="7" s="1"/>
  <c r="H65" i="7"/>
  <c r="D66" i="7"/>
  <c r="E66" i="7"/>
  <c r="F66" i="7"/>
  <c r="H66" i="7"/>
  <c r="I66" i="7"/>
  <c r="J66" i="7"/>
  <c r="D67" i="7"/>
  <c r="F67" i="7" s="1"/>
  <c r="E67" i="7"/>
  <c r="H67" i="7"/>
  <c r="I67" i="7"/>
  <c r="J67" i="7"/>
  <c r="D68" i="7"/>
  <c r="E68" i="7"/>
  <c r="F68" i="7" s="1"/>
  <c r="H68" i="7"/>
  <c r="I68" i="7"/>
  <c r="J68" i="7" s="1"/>
  <c r="D69" i="7"/>
  <c r="E69" i="7"/>
  <c r="F69" i="7" s="1"/>
  <c r="D70" i="7"/>
  <c r="E70" i="7"/>
  <c r="F70" i="7"/>
  <c r="D71" i="7"/>
  <c r="F71" i="7" s="1"/>
  <c r="E71" i="7"/>
  <c r="H71" i="7"/>
  <c r="I71" i="7"/>
  <c r="J71" i="7"/>
  <c r="D72" i="7"/>
  <c r="E72" i="7"/>
  <c r="F72" i="7" s="1"/>
  <c r="H73" i="7"/>
  <c r="I73" i="7"/>
  <c r="J73" i="7" s="1"/>
  <c r="D76" i="7"/>
  <c r="E76" i="7"/>
  <c r="F76" i="7"/>
  <c r="H76" i="7"/>
  <c r="J76" i="7" s="1"/>
  <c r="I76" i="7"/>
  <c r="D77" i="7"/>
  <c r="E77" i="7"/>
  <c r="F77" i="7"/>
  <c r="H77" i="7"/>
  <c r="I77" i="7"/>
  <c r="J77" i="7" s="1"/>
  <c r="D78" i="7"/>
  <c r="E78" i="7"/>
  <c r="F78" i="7" s="1"/>
  <c r="H78" i="7"/>
  <c r="I78" i="7"/>
  <c r="J78" i="7" s="1"/>
  <c r="D79" i="7"/>
  <c r="E79" i="7"/>
  <c r="H79" i="7"/>
  <c r="I79" i="7"/>
  <c r="J79" i="7"/>
  <c r="D80" i="7"/>
  <c r="E80" i="7"/>
  <c r="F80" i="7"/>
  <c r="I80" i="7"/>
  <c r="D81" i="7"/>
  <c r="E81" i="7"/>
  <c r="F81" i="7"/>
  <c r="H81" i="7"/>
  <c r="I81" i="7"/>
  <c r="J81" i="7" s="1"/>
  <c r="D82" i="7"/>
  <c r="E82" i="7"/>
  <c r="F82" i="7" s="1"/>
  <c r="H83" i="7"/>
  <c r="I83" i="7"/>
  <c r="D86" i="7"/>
  <c r="F86" i="7" s="1"/>
  <c r="E86" i="7"/>
  <c r="D87" i="7"/>
  <c r="E87" i="7"/>
  <c r="F87" i="7" s="1"/>
  <c r="D89" i="7"/>
  <c r="E89" i="7"/>
  <c r="D90" i="7"/>
  <c r="E90" i="7"/>
  <c r="F90" i="7"/>
  <c r="H90" i="7"/>
  <c r="J90" i="7" s="1"/>
  <c r="I90" i="7"/>
  <c r="D91" i="7"/>
  <c r="E91" i="7"/>
  <c r="F91" i="7"/>
  <c r="H91" i="7"/>
  <c r="I91" i="7"/>
  <c r="J91" i="7"/>
  <c r="D92" i="7"/>
  <c r="E92" i="7"/>
  <c r="F92" i="7" s="1"/>
  <c r="D93" i="7"/>
  <c r="E93" i="7"/>
  <c r="F93" i="7" s="1"/>
  <c r="H93" i="7"/>
  <c r="I93" i="7"/>
  <c r="J93" i="7"/>
  <c r="D94" i="7"/>
  <c r="E94" i="7"/>
  <c r="F94" i="7"/>
  <c r="D95" i="7"/>
  <c r="E95" i="7"/>
  <c r="F95" i="7"/>
  <c r="D96" i="7"/>
  <c r="E96" i="7"/>
  <c r="F96" i="7" s="1"/>
  <c r="I96" i="7"/>
  <c r="D98" i="7"/>
  <c r="E98" i="7"/>
  <c r="F98" i="7"/>
  <c r="D99" i="7"/>
  <c r="F99" i="7" s="1"/>
  <c r="E99" i="7"/>
  <c r="D100" i="7"/>
  <c r="E100" i="7"/>
  <c r="F100" i="7" s="1"/>
  <c r="D101" i="7"/>
  <c r="E101" i="7"/>
  <c r="F101" i="7" s="1"/>
  <c r="D102" i="7"/>
  <c r="E102" i="7"/>
  <c r="F102" i="7"/>
  <c r="H103" i="7"/>
  <c r="J103" i="7" s="1"/>
  <c r="I103" i="7"/>
  <c r="D105" i="7"/>
  <c r="E105" i="7"/>
  <c r="F105" i="7" s="1"/>
  <c r="H105" i="7"/>
  <c r="D106" i="7"/>
  <c r="E106" i="7"/>
  <c r="F106" i="7" s="1"/>
  <c r="I106" i="7"/>
  <c r="D107" i="7"/>
  <c r="E107" i="7"/>
  <c r="F107" i="7"/>
  <c r="H107" i="7"/>
  <c r="J107" i="7" s="1"/>
  <c r="H108" i="7"/>
  <c r="J108" i="7" s="1"/>
  <c r="I108" i="7"/>
  <c r="D110" i="7"/>
  <c r="E110" i="7"/>
  <c r="F110" i="7" s="1"/>
  <c r="H110" i="7"/>
  <c r="D111" i="7"/>
  <c r="E111" i="7"/>
  <c r="F111" i="7" s="1"/>
  <c r="I111" i="7"/>
  <c r="D112" i="7"/>
  <c r="E112" i="7"/>
  <c r="F112" i="7"/>
  <c r="H112" i="7"/>
  <c r="J112" i="7" s="1"/>
  <c r="D113" i="7"/>
  <c r="F113" i="7" s="1"/>
  <c r="E113" i="7"/>
  <c r="D114" i="7"/>
  <c r="E114" i="7"/>
  <c r="F114" i="7" s="1"/>
  <c r="H114" i="7"/>
  <c r="D115" i="7"/>
  <c r="E115" i="7"/>
  <c r="F115" i="7" s="1"/>
  <c r="D116" i="7"/>
  <c r="E116" i="7"/>
  <c r="F116" i="7"/>
  <c r="H116" i="7"/>
  <c r="D117" i="7"/>
  <c r="F117" i="7" s="1"/>
  <c r="E117" i="7"/>
  <c r="J117" i="7"/>
  <c r="D118" i="7"/>
  <c r="E118" i="7"/>
  <c r="F118" i="7" s="1"/>
  <c r="D119" i="7"/>
  <c r="E119" i="7"/>
  <c r="F119" i="7" s="1"/>
  <c r="D120" i="7"/>
  <c r="E120" i="7"/>
  <c r="F120" i="7"/>
  <c r="H120" i="7"/>
  <c r="D121" i="7"/>
  <c r="F121" i="7" s="1"/>
  <c r="E121" i="7"/>
  <c r="D122" i="7"/>
  <c r="E122" i="7"/>
  <c r="F122" i="7"/>
  <c r="H123" i="7"/>
  <c r="I123" i="7"/>
  <c r="J123" i="7" s="1"/>
  <c r="D125" i="7"/>
  <c r="E125" i="7"/>
  <c r="F125" i="7"/>
  <c r="D126" i="7"/>
  <c r="F126" i="7" s="1"/>
  <c r="E126" i="7"/>
  <c r="J126" i="7"/>
  <c r="D127" i="7"/>
  <c r="E127" i="7"/>
  <c r="F127" i="7" s="1"/>
  <c r="I127" i="7"/>
  <c r="D128" i="7"/>
  <c r="E128" i="7"/>
  <c r="F128" i="7" s="1"/>
  <c r="D129" i="7"/>
  <c r="E129" i="7"/>
  <c r="F129" i="7"/>
  <c r="H129" i="7"/>
  <c r="J129" i="7" s="1"/>
  <c r="D130" i="7"/>
  <c r="F130" i="7" s="1"/>
  <c r="E130" i="7"/>
  <c r="J130" i="7"/>
  <c r="D131" i="7"/>
  <c r="E131" i="7"/>
  <c r="F131" i="7" s="1"/>
  <c r="H132" i="7"/>
  <c r="I132" i="7"/>
  <c r="J132" i="7" s="1"/>
  <c r="H133" i="7"/>
  <c r="I133" i="7"/>
  <c r="J2" i="20"/>
  <c r="D22" i="1" s="1"/>
  <c r="K3" i="20"/>
  <c r="E4" i="20"/>
  <c r="J2" i="8"/>
  <c r="L18" i="10" s="1"/>
  <c r="K3" i="8"/>
  <c r="J4" i="8"/>
  <c r="J5" i="8"/>
  <c r="J6" i="8"/>
  <c r="J7" i="8"/>
  <c r="J8" i="8"/>
  <c r="J9" i="8"/>
  <c r="J10" i="8"/>
  <c r="J11" i="8"/>
  <c r="J12" i="8"/>
  <c r="K2" i="10"/>
  <c r="D12" i="1" s="1"/>
  <c r="L3" i="10"/>
  <c r="L6" i="10"/>
  <c r="L14" i="10"/>
  <c r="N2" i="9"/>
  <c r="K5" i="8" s="1"/>
  <c r="Z4" i="9"/>
  <c r="N5" i="9"/>
  <c r="E8" i="9"/>
  <c r="G8" i="9"/>
  <c r="H8" i="9" s="1"/>
  <c r="J8" i="9"/>
  <c r="F8" i="9" s="1"/>
  <c r="L8" i="9"/>
  <c r="Z8" i="9"/>
  <c r="G9" i="9"/>
  <c r="E9" i="9" s="1"/>
  <c r="J9" i="9"/>
  <c r="L9" i="9"/>
  <c r="Z9" i="9"/>
  <c r="N13" i="9"/>
  <c r="E16" i="9"/>
  <c r="F16" i="9"/>
  <c r="G16" i="9"/>
  <c r="H16" i="9"/>
  <c r="J16" i="9"/>
  <c r="L16" i="9"/>
  <c r="Z16" i="9"/>
  <c r="G17" i="9"/>
  <c r="E17" i="9" s="1"/>
  <c r="J17" i="9"/>
  <c r="L17" i="9"/>
  <c r="Z17" i="9"/>
  <c r="E20" i="9"/>
  <c r="H20" i="9"/>
  <c r="J20" i="9"/>
  <c r="J21" i="9" s="1"/>
  <c r="L20" i="9"/>
  <c r="L21" i="9" s="1"/>
  <c r="L22" i="9" s="1"/>
  <c r="H5" i="8" s="1"/>
  <c r="Z20" i="9"/>
  <c r="H21" i="9"/>
  <c r="H22" i="9"/>
  <c r="F5" i="8" s="1"/>
  <c r="N23" i="9"/>
  <c r="E26" i="9"/>
  <c r="G26" i="9"/>
  <c r="H26" i="9" s="1"/>
  <c r="J26" i="9"/>
  <c r="F26" i="9" s="1"/>
  <c r="L26" i="9"/>
  <c r="Z26" i="9"/>
  <c r="E27" i="9"/>
  <c r="G27" i="9"/>
  <c r="H27" i="9" s="1"/>
  <c r="F27" i="9" s="1"/>
  <c r="J27" i="9"/>
  <c r="L27" i="9"/>
  <c r="Z27" i="9"/>
  <c r="N31" i="9"/>
  <c r="E34" i="9"/>
  <c r="G34" i="9"/>
  <c r="H34" i="9" s="1"/>
  <c r="J34" i="9"/>
  <c r="L34" i="9"/>
  <c r="Z34" i="9"/>
  <c r="E35" i="9"/>
  <c r="G35" i="9"/>
  <c r="H35" i="9" s="1"/>
  <c r="F35" i="9" s="1"/>
  <c r="J35" i="9"/>
  <c r="L35" i="9"/>
  <c r="Z35" i="9"/>
  <c r="N39" i="9"/>
  <c r="Z43" i="9"/>
  <c r="N46" i="9"/>
  <c r="G49" i="9"/>
  <c r="E49" i="9" s="1"/>
  <c r="J49" i="9"/>
  <c r="L49" i="9"/>
  <c r="Z49" i="9"/>
  <c r="G50" i="9"/>
  <c r="H50" i="9" s="1"/>
  <c r="J50" i="9"/>
  <c r="L50" i="9"/>
  <c r="Z50" i="9"/>
  <c r="E53" i="9"/>
  <c r="H53" i="9"/>
  <c r="J53" i="9"/>
  <c r="J54" i="9" s="1"/>
  <c r="L53" i="9"/>
  <c r="H54" i="9"/>
  <c r="F9" i="8" s="1"/>
  <c r="G15" i="10" s="1"/>
  <c r="L54" i="9"/>
  <c r="H9" i="8" s="1"/>
  <c r="N55" i="9"/>
  <c r="Z58" i="9"/>
  <c r="Z59" i="9"/>
  <c r="J60" i="9"/>
  <c r="L60" i="9"/>
  <c r="N63" i="9"/>
  <c r="G65" i="9"/>
  <c r="E65" i="9" s="1"/>
  <c r="J65" i="9"/>
  <c r="L65" i="9"/>
  <c r="Z65" i="9"/>
  <c r="G66" i="9"/>
  <c r="H66" i="9" s="1"/>
  <c r="J66" i="9"/>
  <c r="L66" i="9"/>
  <c r="Z66" i="9"/>
  <c r="H67" i="9"/>
  <c r="L67" i="9"/>
  <c r="H68" i="9"/>
  <c r="L68" i="9"/>
  <c r="H69" i="9"/>
  <c r="L69" i="9"/>
  <c r="H70" i="9"/>
  <c r="L70" i="9"/>
  <c r="L71" i="9"/>
  <c r="H11" i="8" s="1"/>
  <c r="N72" i="9"/>
  <c r="G74" i="9"/>
  <c r="H74" i="9" s="1"/>
  <c r="H76" i="9" s="1"/>
  <c r="F12" i="8" s="1"/>
  <c r="J74" i="9"/>
  <c r="F74" i="9" s="1"/>
  <c r="L74" i="9"/>
  <c r="L76" i="9" s="1"/>
  <c r="H12" i="8" s="1"/>
  <c r="Z74" i="9"/>
  <c r="E75" i="9"/>
  <c r="G75" i="9"/>
  <c r="H75" i="9"/>
  <c r="J75" i="9"/>
  <c r="F75" i="9" s="1"/>
  <c r="L75" i="9"/>
  <c r="Z75" i="9"/>
  <c r="R2" i="21"/>
  <c r="D23" i="1" s="1"/>
  <c r="S4" i="21"/>
  <c r="V5" i="21"/>
  <c r="U5" i="21" s="1"/>
  <c r="W5" i="21" s="1"/>
  <c r="V6" i="21"/>
  <c r="U6" i="21" s="1"/>
  <c r="W6" i="21" s="1"/>
  <c r="V7" i="21"/>
  <c r="U7" i="21" s="1"/>
  <c r="W7" i="21" s="1"/>
  <c r="V8" i="21"/>
  <c r="U8" i="21" s="1"/>
  <c r="W8" i="21" s="1"/>
  <c r="V9" i="21"/>
  <c r="U9" i="21" s="1"/>
  <c r="W9" i="21" s="1"/>
  <c r="V10" i="21"/>
  <c r="U10" i="21" s="1"/>
  <c r="W10" i="21" s="1"/>
  <c r="V11" i="21"/>
  <c r="U11" i="21" s="1"/>
  <c r="W11" i="21" s="1"/>
  <c r="G2" i="17"/>
  <c r="J12" i="22" s="1"/>
  <c r="H3" i="17"/>
  <c r="E4" i="17"/>
  <c r="I81" i="16" s="1"/>
  <c r="G4" i="17"/>
  <c r="E5" i="17"/>
  <c r="G5" i="17"/>
  <c r="E6" i="17"/>
  <c r="I68" i="9" s="1"/>
  <c r="G6" i="17"/>
  <c r="H6" i="17"/>
  <c r="E7" i="17"/>
  <c r="F7" i="22" s="1"/>
  <c r="G7" i="22" s="1"/>
  <c r="G7" i="17"/>
  <c r="E8" i="17"/>
  <c r="F8" i="22" s="1"/>
  <c r="G8" i="22" s="1"/>
  <c r="G8" i="17"/>
  <c r="E9" i="17"/>
  <c r="I70" i="9" s="1"/>
  <c r="G9" i="17"/>
  <c r="E10" i="17"/>
  <c r="J252" i="5" s="1"/>
  <c r="G10" i="17"/>
  <c r="I2" i="22"/>
  <c r="D24" i="1" s="1"/>
  <c r="J3" i="22"/>
  <c r="F6" i="22"/>
  <c r="G6" i="22" s="1"/>
  <c r="F9" i="22"/>
  <c r="G9" i="22" s="1"/>
  <c r="F10" i="22"/>
  <c r="G10" i="22" s="1"/>
  <c r="J10" i="22"/>
  <c r="F11" i="22"/>
  <c r="G11" i="22" s="1"/>
  <c r="F12" i="22"/>
  <c r="G12" i="22"/>
  <c r="F13" i="22"/>
  <c r="G13" i="22" s="1"/>
  <c r="J2" i="15"/>
  <c r="Z28" i="9" s="1"/>
  <c r="K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N2" i="16"/>
  <c r="D18" i="1" s="1"/>
  <c r="Z4" i="16"/>
  <c r="N5" i="16"/>
  <c r="H7" i="16"/>
  <c r="J7" i="16"/>
  <c r="K7" i="16"/>
  <c r="E7" i="16" s="1"/>
  <c r="L7" i="16"/>
  <c r="L11" i="16" s="1"/>
  <c r="H4" i="15" s="1"/>
  <c r="L169" i="12" s="1"/>
  <c r="I169" i="12" s="1"/>
  <c r="Z7" i="16"/>
  <c r="J8" i="16"/>
  <c r="L8" i="16"/>
  <c r="H9" i="16"/>
  <c r="I9" i="16"/>
  <c r="L9" i="16"/>
  <c r="H10" i="16"/>
  <c r="L10" i="16"/>
  <c r="N12" i="16"/>
  <c r="F14" i="16"/>
  <c r="H14" i="16"/>
  <c r="J14" i="16"/>
  <c r="K14" i="16"/>
  <c r="E14" i="16" s="1"/>
  <c r="L14" i="16"/>
  <c r="L18" i="16" s="1"/>
  <c r="H5" i="15" s="1"/>
  <c r="Z14" i="16"/>
  <c r="J15" i="16"/>
  <c r="L15" i="16"/>
  <c r="H16" i="16"/>
  <c r="I16" i="16"/>
  <c r="L16" i="16"/>
  <c r="H17" i="16"/>
  <c r="L17" i="16"/>
  <c r="N19" i="16"/>
  <c r="H21" i="16"/>
  <c r="J21" i="16"/>
  <c r="K21" i="16"/>
  <c r="E21" i="16" s="1"/>
  <c r="L21" i="16"/>
  <c r="L25" i="16" s="1"/>
  <c r="H6" i="15" s="1"/>
  <c r="I8" i="24" s="1"/>
  <c r="Z21" i="16"/>
  <c r="J22" i="16"/>
  <c r="L22" i="16"/>
  <c r="H23" i="16"/>
  <c r="I23" i="16"/>
  <c r="L23" i="16"/>
  <c r="H24" i="16"/>
  <c r="L24" i="16"/>
  <c r="N26" i="16"/>
  <c r="F28" i="16"/>
  <c r="H28" i="16"/>
  <c r="J28" i="16"/>
  <c r="K28" i="16"/>
  <c r="E28" i="16" s="1"/>
  <c r="L28" i="16"/>
  <c r="Z28" i="16"/>
  <c r="J29" i="16"/>
  <c r="L29" i="16"/>
  <c r="H30" i="16"/>
  <c r="I30" i="16"/>
  <c r="J30" i="16" s="1"/>
  <c r="L30" i="16"/>
  <c r="Z30" i="16"/>
  <c r="H31" i="16"/>
  <c r="L31" i="16"/>
  <c r="L32" i="16"/>
  <c r="H7" i="15" s="1"/>
  <c r="N33" i="16"/>
  <c r="F35" i="16"/>
  <c r="H35" i="16"/>
  <c r="J35" i="16"/>
  <c r="K35" i="16"/>
  <c r="E35" i="16" s="1"/>
  <c r="L35" i="16"/>
  <c r="Z35" i="16"/>
  <c r="J36" i="16"/>
  <c r="L36" i="16"/>
  <c r="E37" i="16"/>
  <c r="H37" i="16"/>
  <c r="I37" i="16"/>
  <c r="J37" i="16" s="1"/>
  <c r="L37" i="16"/>
  <c r="H38" i="16"/>
  <c r="L38" i="16"/>
  <c r="L39" i="16"/>
  <c r="H8" i="15" s="1"/>
  <c r="N40" i="16"/>
  <c r="F42" i="16"/>
  <c r="H42" i="16"/>
  <c r="J42" i="16"/>
  <c r="K42" i="16"/>
  <c r="E42" i="16" s="1"/>
  <c r="L42" i="16"/>
  <c r="Z42" i="16"/>
  <c r="J43" i="16"/>
  <c r="L43" i="16"/>
  <c r="H44" i="16"/>
  <c r="I44" i="16"/>
  <c r="J44" i="16" s="1"/>
  <c r="I45" i="16" s="1"/>
  <c r="J45" i="16" s="1"/>
  <c r="F45" i="16" s="1"/>
  <c r="L44" i="16"/>
  <c r="H45" i="16"/>
  <c r="L45" i="16"/>
  <c r="L46" i="16"/>
  <c r="H9" i="15" s="1"/>
  <c r="L513" i="12" s="1"/>
  <c r="I513" i="12" s="1"/>
  <c r="N47" i="16"/>
  <c r="H49" i="16"/>
  <c r="J49" i="16"/>
  <c r="K49" i="16"/>
  <c r="E49" i="16" s="1"/>
  <c r="L49" i="16"/>
  <c r="F49" i="16" s="1"/>
  <c r="Z49" i="16"/>
  <c r="J50" i="16"/>
  <c r="L50" i="16"/>
  <c r="F51" i="16"/>
  <c r="H51" i="16"/>
  <c r="I51" i="16"/>
  <c r="J51" i="16" s="1"/>
  <c r="I52" i="16" s="1"/>
  <c r="E52" i="16" s="1"/>
  <c r="L51" i="16"/>
  <c r="H52" i="16"/>
  <c r="J52" i="16"/>
  <c r="F52" i="16" s="1"/>
  <c r="L52" i="16"/>
  <c r="L53" i="16"/>
  <c r="H10" i="15" s="1"/>
  <c r="L299" i="12" s="1"/>
  <c r="I299" i="12" s="1"/>
  <c r="N54" i="16"/>
  <c r="H56" i="16"/>
  <c r="H57" i="16" s="1"/>
  <c r="F11" i="15" s="1"/>
  <c r="J56" i="16"/>
  <c r="K56" i="16"/>
  <c r="E56" i="16" s="1"/>
  <c r="L56" i="16"/>
  <c r="L57" i="16" s="1"/>
  <c r="H11" i="15" s="1"/>
  <c r="L515" i="12" s="1"/>
  <c r="I515" i="12" s="1"/>
  <c r="Z56" i="16"/>
  <c r="J57" i="16"/>
  <c r="G11" i="15" s="1"/>
  <c r="N58" i="16"/>
  <c r="E60" i="16"/>
  <c r="H60" i="16"/>
  <c r="H61" i="16" s="1"/>
  <c r="F12" i="15" s="1"/>
  <c r="J60" i="16"/>
  <c r="J61" i="16" s="1"/>
  <c r="K60" i="16"/>
  <c r="L60" i="16"/>
  <c r="Z60" i="16"/>
  <c r="L61" i="16"/>
  <c r="H12" i="15" s="1"/>
  <c r="L555" i="12" s="1"/>
  <c r="I555" i="12" s="1"/>
  <c r="N62" i="16"/>
  <c r="H64" i="16"/>
  <c r="J64" i="16"/>
  <c r="K64" i="16"/>
  <c r="E64" i="16" s="1"/>
  <c r="Z64" i="16"/>
  <c r="J65" i="16"/>
  <c r="L65" i="16"/>
  <c r="H66" i="16"/>
  <c r="I66" i="16"/>
  <c r="J66" i="16" s="1"/>
  <c r="I67" i="16" s="1"/>
  <c r="J67" i="16" s="1"/>
  <c r="F67" i="16" s="1"/>
  <c r="L66" i="16"/>
  <c r="Z66" i="16"/>
  <c r="H67" i="16"/>
  <c r="L67" i="16"/>
  <c r="N69" i="16"/>
  <c r="H71" i="16"/>
  <c r="J71" i="16"/>
  <c r="K71" i="16"/>
  <c r="E71" i="16" s="1"/>
  <c r="L71" i="16"/>
  <c r="F71" i="16" s="1"/>
  <c r="Z71" i="16"/>
  <c r="J72" i="16"/>
  <c r="L72" i="16"/>
  <c r="H73" i="16"/>
  <c r="I73" i="16"/>
  <c r="J73" i="16" s="1"/>
  <c r="I74" i="16" s="1"/>
  <c r="E74" i="16" s="1"/>
  <c r="L73" i="16"/>
  <c r="H74" i="16"/>
  <c r="L74" i="16"/>
  <c r="H75" i="16"/>
  <c r="J75" i="16"/>
  <c r="K75" i="16"/>
  <c r="Z75" i="16"/>
  <c r="N77" i="16"/>
  <c r="E79" i="16"/>
  <c r="H79" i="16"/>
  <c r="J79" i="16"/>
  <c r="F79" i="16" s="1"/>
  <c r="K79" i="16"/>
  <c r="L79" i="16"/>
  <c r="Z79" i="16"/>
  <c r="J80" i="16"/>
  <c r="L80" i="16"/>
  <c r="E81" i="16"/>
  <c r="H81" i="16"/>
  <c r="J81" i="16"/>
  <c r="F81" i="16" s="1"/>
  <c r="L81" i="16"/>
  <c r="H82" i="16"/>
  <c r="L82" i="16"/>
  <c r="L83" i="16" s="1"/>
  <c r="H15" i="15" s="1"/>
  <c r="N84" i="16"/>
  <c r="H86" i="16"/>
  <c r="J86" i="16"/>
  <c r="K86" i="16"/>
  <c r="E86" i="16" s="1"/>
  <c r="L86" i="16"/>
  <c r="F86" i="16" s="1"/>
  <c r="Z86" i="16"/>
  <c r="J87" i="16"/>
  <c r="L87" i="16"/>
  <c r="F88" i="16"/>
  <c r="H88" i="16"/>
  <c r="I88" i="16"/>
  <c r="J88" i="16" s="1"/>
  <c r="I89" i="16" s="1"/>
  <c r="E89" i="16" s="1"/>
  <c r="L88" i="16"/>
  <c r="H89" i="16"/>
  <c r="J89" i="16"/>
  <c r="F89" i="16" s="1"/>
  <c r="L89" i="16"/>
  <c r="L90" i="16"/>
  <c r="H16" i="15" s="1"/>
  <c r="L435" i="12" s="1"/>
  <c r="I435" i="12" s="1"/>
  <c r="N91" i="16"/>
  <c r="E93" i="16"/>
  <c r="H93" i="16"/>
  <c r="J93" i="16"/>
  <c r="K93" i="16"/>
  <c r="L93" i="16" s="1"/>
  <c r="L97" i="16" s="1"/>
  <c r="H17" i="15" s="1"/>
  <c r="Z93" i="16"/>
  <c r="J94" i="16"/>
  <c r="L94" i="16"/>
  <c r="E95" i="16"/>
  <c r="H95" i="16"/>
  <c r="I95" i="16"/>
  <c r="J95" i="16"/>
  <c r="F95" i="16" s="1"/>
  <c r="L95" i="16"/>
  <c r="H96" i="16"/>
  <c r="L96" i="16"/>
  <c r="N98" i="16"/>
  <c r="H100" i="16"/>
  <c r="J100" i="16"/>
  <c r="K100" i="16"/>
  <c r="E100" i="16" s="1"/>
  <c r="Z100" i="16"/>
  <c r="J101" i="16"/>
  <c r="L101" i="16"/>
  <c r="E102" i="16"/>
  <c r="H102" i="16"/>
  <c r="I102" i="16"/>
  <c r="J102" i="16"/>
  <c r="L102" i="16"/>
  <c r="H103" i="16"/>
  <c r="I103" i="16"/>
  <c r="J103" i="16" s="1"/>
  <c r="F103" i="16" s="1"/>
  <c r="L103" i="16"/>
  <c r="K2" i="24"/>
  <c r="D26" i="1" s="1"/>
  <c r="L3" i="24"/>
  <c r="I4" i="24"/>
  <c r="I5" i="24"/>
  <c r="I6" i="24"/>
  <c r="I7" i="24"/>
  <c r="L8" i="24"/>
  <c r="I9" i="24"/>
  <c r="I10" i="24"/>
  <c r="I11" i="24"/>
  <c r="I12" i="24"/>
  <c r="I13" i="24"/>
  <c r="I14" i="24"/>
  <c r="L14" i="24"/>
  <c r="I16" i="24"/>
  <c r="I17" i="24"/>
  <c r="L24" i="24"/>
  <c r="L26" i="24"/>
  <c r="H2" i="4"/>
  <c r="Q3" i="4"/>
  <c r="Q4" i="4"/>
  <c r="E6" i="4"/>
  <c r="F6" i="4"/>
  <c r="G6" i="4"/>
  <c r="Q6" i="4"/>
  <c r="E7" i="4"/>
  <c r="F7" i="4"/>
  <c r="G7" i="4"/>
  <c r="Q8" i="4"/>
  <c r="Q10" i="4"/>
  <c r="Q12" i="4"/>
  <c r="Q14" i="4"/>
  <c r="Q16" i="4"/>
  <c r="Q18" i="4"/>
  <c r="Q20" i="4"/>
  <c r="Q22" i="4"/>
  <c r="Q24" i="4"/>
  <c r="G25" i="4"/>
  <c r="Q26" i="4"/>
  <c r="G27" i="4"/>
  <c r="Q28" i="4"/>
  <c r="E30" i="4"/>
  <c r="G30" i="4"/>
  <c r="Q30" i="4"/>
  <c r="Q32" i="4"/>
  <c r="Q34" i="4"/>
  <c r="E36" i="4"/>
  <c r="G36" i="4"/>
  <c r="Q36" i="4"/>
  <c r="E37" i="4"/>
  <c r="G37" i="4"/>
  <c r="E38" i="4"/>
  <c r="Q38" i="4"/>
  <c r="E40" i="4"/>
  <c r="F40" i="4"/>
  <c r="G40" i="4"/>
  <c r="Q40" i="4"/>
  <c r="E41" i="4"/>
  <c r="G41" i="4"/>
  <c r="Q42" i="4"/>
  <c r="E44" i="4"/>
  <c r="E45" i="4"/>
  <c r="H10" i="3" s="1"/>
  <c r="E46" i="4"/>
  <c r="E47" i="4"/>
  <c r="H13" i="3" s="1"/>
  <c r="E48" i="4"/>
  <c r="E49" i="4"/>
  <c r="H14" i="3" s="1"/>
  <c r="J52" i="4"/>
  <c r="J53" i="4"/>
  <c r="E58" i="4"/>
  <c r="E59" i="4"/>
  <c r="H19" i="3" s="1"/>
  <c r="E60" i="4"/>
  <c r="E61" i="4"/>
  <c r="H20" i="3" s="1"/>
  <c r="E62" i="4"/>
  <c r="E63" i="4"/>
  <c r="H21" i="3" s="1"/>
  <c r="E66" i="4"/>
  <c r="E67" i="4"/>
  <c r="E74" i="4"/>
  <c r="E75" i="4"/>
  <c r="I2" i="14"/>
  <c r="D6" i="14"/>
  <c r="G6" i="14" s="1"/>
  <c r="J6" i="14"/>
  <c r="D7" i="14"/>
  <c r="G7" i="14" s="1"/>
  <c r="J7" i="14"/>
  <c r="F12" i="14"/>
  <c r="J12" i="14"/>
  <c r="F13" i="14"/>
  <c r="J13" i="14"/>
  <c r="F15" i="14"/>
  <c r="J15" i="14"/>
  <c r="H18" i="25" l="1"/>
  <c r="K18" i="25"/>
  <c r="L18" i="25"/>
  <c r="S18" i="25"/>
  <c r="X18" i="25"/>
  <c r="H16" i="25"/>
  <c r="K16" i="25"/>
  <c r="S16" i="25"/>
  <c r="J7" i="25"/>
  <c r="X7" i="25"/>
  <c r="J14" i="25"/>
  <c r="N14" i="25"/>
  <c r="E20" i="25"/>
  <c r="K20" i="25"/>
  <c r="L20" i="25"/>
  <c r="P20" i="25"/>
  <c r="J11" i="25"/>
  <c r="N11" i="25"/>
  <c r="Z102" i="16"/>
  <c r="Z16" i="16"/>
  <c r="L10" i="24"/>
  <c r="Z42" i="9"/>
  <c r="L12" i="10"/>
  <c r="Y1028" i="12"/>
  <c r="J8" i="23"/>
  <c r="L16" i="24"/>
  <c r="L4" i="24"/>
  <c r="L28" i="24"/>
  <c r="Z88" i="16"/>
  <c r="Z81" i="16"/>
  <c r="Z51" i="16"/>
  <c r="Z44" i="16"/>
  <c r="Z37" i="16"/>
  <c r="Z23" i="16"/>
  <c r="H10" i="17"/>
  <c r="Z53" i="9"/>
  <c r="L8" i="10"/>
  <c r="Y154" i="12"/>
  <c r="L16" i="13"/>
  <c r="Y156" i="12"/>
  <c r="L22" i="24"/>
  <c r="L20" i="24"/>
  <c r="L12" i="24"/>
  <c r="L6" i="24"/>
  <c r="Z89" i="16"/>
  <c r="Z73" i="16"/>
  <c r="J6" i="22"/>
  <c r="Z57" i="9"/>
  <c r="L18" i="24"/>
  <c r="Z95" i="16"/>
  <c r="Z82" i="16"/>
  <c r="Z9" i="16"/>
  <c r="G80" i="16"/>
  <c r="G101" i="16"/>
  <c r="G8" i="16"/>
  <c r="G22" i="16"/>
  <c r="G43" i="16"/>
  <c r="G65" i="16"/>
  <c r="G15" i="16"/>
  <c r="G29" i="16"/>
  <c r="G50" i="16"/>
  <c r="G72" i="16"/>
  <c r="L382" i="12"/>
  <c r="I382" i="12" s="1"/>
  <c r="L401" i="12"/>
  <c r="I401" i="12" s="1"/>
  <c r="I22" i="24"/>
  <c r="I23" i="24"/>
  <c r="L991" i="12"/>
  <c r="I991" i="12" s="1"/>
  <c r="I27" i="24"/>
  <c r="I26" i="24"/>
  <c r="G94" i="16"/>
  <c r="G87" i="16"/>
  <c r="G36" i="16"/>
  <c r="F61" i="16"/>
  <c r="E12" i="15" s="1"/>
  <c r="G12" i="15"/>
  <c r="G17" i="24"/>
  <c r="G16" i="24"/>
  <c r="I25" i="24"/>
  <c r="F102" i="16"/>
  <c r="E67" i="16"/>
  <c r="J53" i="16"/>
  <c r="E45" i="16"/>
  <c r="J23" i="16"/>
  <c r="E23" i="16"/>
  <c r="J9" i="16"/>
  <c r="E9" i="16"/>
  <c r="E70" i="9"/>
  <c r="J70" i="9"/>
  <c r="F70" i="9" s="1"/>
  <c r="G57" i="9"/>
  <c r="H57" i="9" s="1"/>
  <c r="G20" i="10"/>
  <c r="G21" i="10"/>
  <c r="B17" i="2"/>
  <c r="D16" i="1"/>
  <c r="B16" i="2"/>
  <c r="L100" i="16"/>
  <c r="L104" i="16" s="1"/>
  <c r="H18" i="15" s="1"/>
  <c r="E88" i="16"/>
  <c r="J68" i="16"/>
  <c r="J46" i="16"/>
  <c r="L263" i="12"/>
  <c r="I263" i="12" s="1"/>
  <c r="L244" i="12"/>
  <c r="I244" i="12" s="1"/>
  <c r="L963" i="12"/>
  <c r="I963" i="12" s="1"/>
  <c r="Z22" i="16"/>
  <c r="Z8" i="16"/>
  <c r="I15" i="10"/>
  <c r="K42" i="9"/>
  <c r="L42" i="9" s="1"/>
  <c r="I14" i="10"/>
  <c r="Z87" i="16"/>
  <c r="J74" i="16"/>
  <c r="F74" i="16" s="1"/>
  <c r="F73" i="16"/>
  <c r="F60" i="16"/>
  <c r="L847" i="12"/>
  <c r="I847" i="12" s="1"/>
  <c r="L779" i="12"/>
  <c r="I779" i="12" s="1"/>
  <c r="L916" i="12"/>
  <c r="I916" i="12" s="1"/>
  <c r="L1089" i="12"/>
  <c r="I1089" i="12" s="1"/>
  <c r="I31" i="16"/>
  <c r="F30" i="16"/>
  <c r="F21" i="16"/>
  <c r="L613" i="12"/>
  <c r="I613" i="12" s="1"/>
  <c r="L649" i="12"/>
  <c r="I649" i="12" s="1"/>
  <c r="L752" i="12"/>
  <c r="I752" i="12" s="1"/>
  <c r="L718" i="12"/>
  <c r="I718" i="12" s="1"/>
  <c r="L890" i="12"/>
  <c r="I890" i="12" s="1"/>
  <c r="L821" i="12"/>
  <c r="I821" i="12" s="1"/>
  <c r="L1063" i="12"/>
  <c r="I1063" i="12" s="1"/>
  <c r="F7" i="16"/>
  <c r="F50" i="9"/>
  <c r="Z101" i="16"/>
  <c r="F100" i="16"/>
  <c r="J90" i="16"/>
  <c r="I82" i="16"/>
  <c r="J76" i="16"/>
  <c r="E73" i="16"/>
  <c r="E51" i="16"/>
  <c r="I38" i="16"/>
  <c r="F37" i="16"/>
  <c r="J16" i="16"/>
  <c r="E16" i="16"/>
  <c r="D6" i="1"/>
  <c r="J20" i="3"/>
  <c r="J23" i="3"/>
  <c r="B18" i="2"/>
  <c r="J13" i="3"/>
  <c r="J16" i="3"/>
  <c r="J26" i="3"/>
  <c r="B19" i="2"/>
  <c r="J10" i="3"/>
  <c r="J19" i="3"/>
  <c r="B20" i="2"/>
  <c r="J12" i="3"/>
  <c r="J25" i="3"/>
  <c r="B21" i="2"/>
  <c r="J9" i="3"/>
  <c r="J15" i="3"/>
  <c r="J18" i="3"/>
  <c r="J17" i="3"/>
  <c r="J21" i="3"/>
  <c r="J24" i="3"/>
  <c r="J27" i="3"/>
  <c r="J5" i="3"/>
  <c r="J14" i="3"/>
  <c r="I24" i="24"/>
  <c r="I15" i="24"/>
  <c r="E103" i="16"/>
  <c r="I96" i="16"/>
  <c r="Z72" i="16"/>
  <c r="F66" i="16"/>
  <c r="L64" i="16"/>
  <c r="F56" i="16"/>
  <c r="Z50" i="16"/>
  <c r="F44" i="16"/>
  <c r="E30" i="16"/>
  <c r="F66" i="9"/>
  <c r="F34" i="9"/>
  <c r="J104" i="16"/>
  <c r="Z80" i="16"/>
  <c r="L75" i="16"/>
  <c r="E75" i="16"/>
  <c r="E66" i="16"/>
  <c r="E44" i="16"/>
  <c r="Z29" i="16"/>
  <c r="Z15" i="16"/>
  <c r="I21" i="10"/>
  <c r="I20" i="10"/>
  <c r="K57" i="9"/>
  <c r="L57" i="9" s="1"/>
  <c r="F54" i="9"/>
  <c r="E9" i="8" s="1"/>
  <c r="G9" i="8"/>
  <c r="L46" i="5"/>
  <c r="M46" i="5" s="1"/>
  <c r="L134" i="5"/>
  <c r="M134" i="5" s="1"/>
  <c r="L68" i="5"/>
  <c r="M68" i="5" s="1"/>
  <c r="L108" i="5"/>
  <c r="M108" i="5" s="1"/>
  <c r="I6" i="10"/>
  <c r="I7" i="10"/>
  <c r="Z94" i="16"/>
  <c r="F93" i="16"/>
  <c r="Z65" i="16"/>
  <c r="F57" i="16"/>
  <c r="E11" i="15" s="1"/>
  <c r="Z43" i="16"/>
  <c r="Z36" i="16"/>
  <c r="L57" i="12"/>
  <c r="I57" i="12" s="1"/>
  <c r="L127" i="12"/>
  <c r="I127" i="12" s="1"/>
  <c r="L40" i="12"/>
  <c r="I40" i="12" s="1"/>
  <c r="L110" i="12"/>
  <c r="I110" i="12" s="1"/>
  <c r="J68" i="9"/>
  <c r="F68" i="9" s="1"/>
  <c r="E68" i="9"/>
  <c r="J22" i="9"/>
  <c r="F21" i="9"/>
  <c r="H8" i="17"/>
  <c r="D19" i="1"/>
  <c r="AC251" i="5"/>
  <c r="S10" i="21"/>
  <c r="S8" i="21"/>
  <c r="S6" i="21"/>
  <c r="J76" i="9"/>
  <c r="E74" i="9"/>
  <c r="I69" i="9"/>
  <c r="E66" i="9"/>
  <c r="E50" i="9"/>
  <c r="G42" i="9"/>
  <c r="H42" i="9" s="1"/>
  <c r="F20" i="9"/>
  <c r="K17" i="15"/>
  <c r="K13" i="15"/>
  <c r="K9" i="15"/>
  <c r="K5" i="15"/>
  <c r="H5" i="17"/>
  <c r="Z51" i="9"/>
  <c r="G14" i="10"/>
  <c r="K6" i="8"/>
  <c r="J131" i="7"/>
  <c r="I19" i="10"/>
  <c r="I18" i="10"/>
  <c r="K58" i="9"/>
  <c r="L58" i="9" s="1"/>
  <c r="H17" i="9"/>
  <c r="H9" i="9"/>
  <c r="F9" i="9" s="1"/>
  <c r="L20" i="10"/>
  <c r="J133" i="7"/>
  <c r="K18" i="15"/>
  <c r="K14" i="15"/>
  <c r="K10" i="15"/>
  <c r="K6" i="15"/>
  <c r="J8" i="22"/>
  <c r="H7" i="17"/>
  <c r="Z67" i="9"/>
  <c r="F53" i="9"/>
  <c r="K10" i="8"/>
  <c r="F5" i="22"/>
  <c r="G5" i="22" s="1"/>
  <c r="K252" i="5"/>
  <c r="G252" i="5" s="1"/>
  <c r="I128" i="7" s="1"/>
  <c r="J128" i="7" s="1"/>
  <c r="F252" i="5"/>
  <c r="H4" i="17"/>
  <c r="S11" i="21"/>
  <c r="S9" i="21"/>
  <c r="S7" i="21"/>
  <c r="S5" i="21"/>
  <c r="Z68" i="9"/>
  <c r="H65" i="9"/>
  <c r="H71" i="9" s="1"/>
  <c r="F11" i="8" s="1"/>
  <c r="H49" i="9"/>
  <c r="Z36" i="9"/>
  <c r="K12" i="8"/>
  <c r="F89" i="7"/>
  <c r="J83" i="7"/>
  <c r="F79" i="7"/>
  <c r="K15" i="15"/>
  <c r="K11" i="15"/>
  <c r="K7" i="15"/>
  <c r="J4" i="22"/>
  <c r="H9" i="17"/>
  <c r="Z69" i="9"/>
  <c r="I214" i="5"/>
  <c r="E39" i="4" s="1"/>
  <c r="Y36" i="12"/>
  <c r="Y40" i="12"/>
  <c r="Y106" i="12"/>
  <c r="Y110" i="12"/>
  <c r="Y55" i="12"/>
  <c r="D17" i="1"/>
  <c r="Y125" i="12"/>
  <c r="Y38" i="12"/>
  <c r="Y108" i="12"/>
  <c r="Y53" i="12"/>
  <c r="Y57" i="12"/>
  <c r="Y123" i="12"/>
  <c r="Y127" i="12"/>
  <c r="Y165" i="12"/>
  <c r="Y261" i="12"/>
  <c r="Y295" i="12"/>
  <c r="Y397" i="12"/>
  <c r="Y401" i="12"/>
  <c r="Y431" i="12"/>
  <c r="Y435" i="12"/>
  <c r="Y169" i="12"/>
  <c r="Y240" i="12"/>
  <c r="Y299" i="12"/>
  <c r="Y378" i="12"/>
  <c r="Y382" i="12"/>
  <c r="Y242" i="12"/>
  <c r="Y263" i="12"/>
  <c r="Y167" i="12"/>
  <c r="Y244" i="12"/>
  <c r="Y297" i="12"/>
  <c r="Y399" i="12"/>
  <c r="Y433" i="12"/>
  <c r="Y259" i="12"/>
  <c r="Y380" i="12"/>
  <c r="Y513" i="12"/>
  <c r="Y553" i="12"/>
  <c r="Y555" i="12"/>
  <c r="Y647" i="12"/>
  <c r="Y667" i="12"/>
  <c r="Y714" i="12"/>
  <c r="Y886" i="12"/>
  <c r="Y890" i="12"/>
  <c r="Y511" i="12"/>
  <c r="Y817" i="12"/>
  <c r="Y821" i="12"/>
  <c r="Y912" i="12"/>
  <c r="Y916" i="12"/>
  <c r="Y649" i="12"/>
  <c r="Y669" i="12"/>
  <c r="Y748" i="12"/>
  <c r="Y752" i="12"/>
  <c r="Y843" i="12"/>
  <c r="Y847" i="12"/>
  <c r="Y775" i="12"/>
  <c r="Y779" i="12"/>
  <c r="Y509" i="12"/>
  <c r="Y718" i="12"/>
  <c r="Y888" i="12"/>
  <c r="Y989" i="12"/>
  <c r="Y613" i="12"/>
  <c r="Y671" i="12"/>
  <c r="Y819" i="12"/>
  <c r="Y914" i="12"/>
  <c r="Y515" i="12"/>
  <c r="Y609" i="12"/>
  <c r="Y611" i="12"/>
  <c r="Y716" i="12"/>
  <c r="Y750" i="12"/>
  <c r="Y845" i="12"/>
  <c r="Y549" i="12"/>
  <c r="Y551" i="12"/>
  <c r="Y645" i="12"/>
  <c r="Y777" i="12"/>
  <c r="Y961" i="12"/>
  <c r="Y963" i="12"/>
  <c r="Y991" i="12"/>
  <c r="Y1059" i="12"/>
  <c r="Y1063" i="12"/>
  <c r="Y1085" i="12"/>
  <c r="Y1089" i="12"/>
  <c r="Y1061" i="12"/>
  <c r="Y959" i="12"/>
  <c r="Y987" i="12"/>
  <c r="Y1087" i="12"/>
  <c r="Z70" i="9"/>
  <c r="I67" i="9"/>
  <c r="H68" i="5"/>
  <c r="I68" i="5" s="1"/>
  <c r="H108" i="5"/>
  <c r="I108" i="5" s="1"/>
  <c r="H134" i="5"/>
  <c r="I134" i="5" s="1"/>
  <c r="H46" i="5"/>
  <c r="I46" i="5" s="1"/>
  <c r="G7" i="10"/>
  <c r="G6" i="10"/>
  <c r="Z18" i="9"/>
  <c r="Z10" i="9"/>
  <c r="D11" i="1"/>
  <c r="B22" i="2"/>
  <c r="B23" i="2"/>
  <c r="K7" i="8"/>
  <c r="K11" i="8"/>
  <c r="K4" i="8"/>
  <c r="K8" i="8"/>
  <c r="K9" i="8"/>
  <c r="D10" i="1"/>
  <c r="AC45" i="5"/>
  <c r="AC67" i="5"/>
  <c r="AC133" i="5"/>
  <c r="AC167" i="5"/>
  <c r="AC105" i="5"/>
  <c r="AC193" i="5"/>
  <c r="AC93" i="5"/>
  <c r="AC107" i="5"/>
  <c r="AC195" i="5"/>
  <c r="AC183" i="5"/>
  <c r="L10" i="10"/>
  <c r="L16" i="10"/>
  <c r="L4" i="10"/>
  <c r="F60" i="7"/>
  <c r="K16" i="15"/>
  <c r="K12" i="15"/>
  <c r="K8" i="15"/>
  <c r="K4" i="15"/>
  <c r="F4" i="22"/>
  <c r="G4" i="22" s="1"/>
  <c r="G246" i="5"/>
  <c r="G233" i="5"/>
  <c r="H119" i="7" s="1"/>
  <c r="G228" i="5"/>
  <c r="I116" i="7" s="1"/>
  <c r="J116" i="7" s="1"/>
  <c r="G225" i="5"/>
  <c r="H115" i="7" s="1"/>
  <c r="K204" i="5"/>
  <c r="F37" i="4" s="1"/>
  <c r="G167" i="5"/>
  <c r="G249" i="5"/>
  <c r="H127" i="7" s="1"/>
  <c r="J127" i="7" s="1"/>
  <c r="K244" i="5"/>
  <c r="F41" i="4" s="1"/>
  <c r="K238" i="5"/>
  <c r="K237" i="5"/>
  <c r="G237" i="5" s="1"/>
  <c r="H121" i="7" s="1"/>
  <c r="G193" i="5"/>
  <c r="H99" i="7" s="1"/>
  <c r="F235" i="5"/>
  <c r="F199" i="5"/>
  <c r="I199" i="5"/>
  <c r="G199" i="5" s="1"/>
  <c r="H102" i="7" s="1"/>
  <c r="K214" i="5"/>
  <c r="F39" i="4" s="1"/>
  <c r="G216" i="5"/>
  <c r="G180" i="5"/>
  <c r="I92" i="7" s="1"/>
  <c r="G160" i="5"/>
  <c r="I82" i="7" s="1"/>
  <c r="G107" i="5"/>
  <c r="H56" i="7" s="1"/>
  <c r="K203" i="5"/>
  <c r="F36" i="4" s="1"/>
  <c r="G245" i="5"/>
  <c r="G221" i="5"/>
  <c r="H113" i="7" s="1"/>
  <c r="J113" i="7" s="1"/>
  <c r="K195" i="5"/>
  <c r="G195" i="5" s="1"/>
  <c r="H100" i="7" s="1"/>
  <c r="F195" i="5"/>
  <c r="K165" i="5"/>
  <c r="G169" i="5"/>
  <c r="H87" i="7" s="1"/>
  <c r="I146" i="5"/>
  <c r="G146" i="5"/>
  <c r="G109" i="5"/>
  <c r="H57" i="7" s="1"/>
  <c r="M103" i="5"/>
  <c r="G18" i="4" s="1"/>
  <c r="G224" i="5"/>
  <c r="I114" i="7" s="1"/>
  <c r="J114" i="7" s="1"/>
  <c r="M213" i="5"/>
  <c r="G38" i="4" s="1"/>
  <c r="G197" i="5"/>
  <c r="H101" i="7" s="1"/>
  <c r="M189" i="5"/>
  <c r="G34" i="4" s="1"/>
  <c r="G183" i="5"/>
  <c r="H94" i="7" s="1"/>
  <c r="K213" i="5"/>
  <c r="F38" i="4" s="1"/>
  <c r="G217" i="5"/>
  <c r="H111" i="7" s="1"/>
  <c r="J111" i="7" s="1"/>
  <c r="G213" i="5"/>
  <c r="K189" i="5"/>
  <c r="F34" i="4" s="1"/>
  <c r="G191" i="5"/>
  <c r="G93" i="5"/>
  <c r="H49" i="7" s="1"/>
  <c r="G173" i="5"/>
  <c r="K146" i="5"/>
  <c r="G126" i="5"/>
  <c r="I65" i="7" s="1"/>
  <c r="J65" i="7" s="1"/>
  <c r="F63" i="5"/>
  <c r="K63" i="5"/>
  <c r="G63" i="5" s="1"/>
  <c r="H34" i="7" s="1"/>
  <c r="AC1061" i="12"/>
  <c r="H1061" i="12" s="1"/>
  <c r="B1057" i="12"/>
  <c r="AA1059" i="12"/>
  <c r="AA1063" i="12"/>
  <c r="AC1059" i="12"/>
  <c r="H1059" i="12" s="1"/>
  <c r="AC1063" i="12"/>
  <c r="H1063" i="12" s="1"/>
  <c r="AA1061" i="12"/>
  <c r="G207" i="5"/>
  <c r="H106" i="7" s="1"/>
  <c r="J106" i="7" s="1"/>
  <c r="K187" i="5"/>
  <c r="G187" i="5" s="1"/>
  <c r="H96" i="7" s="1"/>
  <c r="J96" i="7" s="1"/>
  <c r="F160" i="5"/>
  <c r="K133" i="5"/>
  <c r="G133" i="5" s="1"/>
  <c r="H69" i="7" s="1"/>
  <c r="K113" i="5"/>
  <c r="G113" i="5" s="1"/>
  <c r="H59" i="7" s="1"/>
  <c r="F107" i="5"/>
  <c r="G105" i="5"/>
  <c r="F93" i="5"/>
  <c r="G59" i="5"/>
  <c r="H32" i="7" s="1"/>
  <c r="J32" i="7" s="1"/>
  <c r="G57" i="5"/>
  <c r="H31" i="7" s="1"/>
  <c r="G39" i="5"/>
  <c r="H22" i="7" s="1"/>
  <c r="J22" i="7" s="1"/>
  <c r="G37" i="5"/>
  <c r="H21" i="7" s="1"/>
  <c r="J21" i="7" s="1"/>
  <c r="G9" i="5"/>
  <c r="F193" i="5"/>
  <c r="F180" i="5"/>
  <c r="G124" i="5"/>
  <c r="F105" i="5"/>
  <c r="G33" i="5"/>
  <c r="F191" i="5"/>
  <c r="G174" i="5"/>
  <c r="G55" i="5"/>
  <c r="G50" i="5"/>
  <c r="I27" i="7" s="1"/>
  <c r="J27" i="7" s="1"/>
  <c r="G44" i="5"/>
  <c r="I24" i="7" s="1"/>
  <c r="J24" i="7" s="1"/>
  <c r="G35" i="5"/>
  <c r="H20" i="7" s="1"/>
  <c r="J20" i="7" s="1"/>
  <c r="F169" i="5"/>
  <c r="F156" i="5"/>
  <c r="I111" i="5"/>
  <c r="G111" i="5" s="1"/>
  <c r="H58" i="7" s="1"/>
  <c r="K67" i="5"/>
  <c r="G67" i="5" s="1"/>
  <c r="H36" i="7" s="1"/>
  <c r="F67" i="5"/>
  <c r="G58" i="5"/>
  <c r="I31" i="7" s="1"/>
  <c r="B1022" i="12"/>
  <c r="Z1025" i="12"/>
  <c r="AD1025" i="12"/>
  <c r="D963" i="12"/>
  <c r="E963" i="12"/>
  <c r="C963" i="12" s="1"/>
  <c r="F963" i="12"/>
  <c r="G206" i="5"/>
  <c r="G41" i="5"/>
  <c r="H23" i="7" s="1"/>
  <c r="H33" i="13"/>
  <c r="L22" i="13"/>
  <c r="L6" i="13"/>
  <c r="B1077" i="12"/>
  <c r="E1043" i="12"/>
  <c r="AD975" i="12"/>
  <c r="AG975" i="12"/>
  <c r="AC750" i="12"/>
  <c r="H750" i="12" s="1"/>
  <c r="B746" i="12"/>
  <c r="AA748" i="12"/>
  <c r="AA752" i="12"/>
  <c r="AC748" i="12"/>
  <c r="H748" i="12" s="1"/>
  <c r="AC752" i="12"/>
  <c r="H752" i="12" s="1"/>
  <c r="AA750" i="12"/>
  <c r="B533" i="12"/>
  <c r="AB537" i="12"/>
  <c r="H24" i="13"/>
  <c r="L4" i="13"/>
  <c r="B957" i="12"/>
  <c r="B712" i="12"/>
  <c r="AG718" i="12"/>
  <c r="H718" i="12" s="1"/>
  <c r="AA714" i="12"/>
  <c r="AG716" i="12"/>
  <c r="H716" i="12" s="1"/>
  <c r="AG714" i="12"/>
  <c r="H714" i="12" s="1"/>
  <c r="AA718" i="12"/>
  <c r="AA716" i="12"/>
  <c r="G24" i="13"/>
  <c r="H22" i="13"/>
  <c r="L18" i="13"/>
  <c r="AB1083" i="12"/>
  <c r="B1071" i="12"/>
  <c r="B979" i="12"/>
  <c r="F45" i="5"/>
  <c r="L14" i="13"/>
  <c r="AI902" i="12"/>
  <c r="B900" i="12"/>
  <c r="G12" i="5"/>
  <c r="L28" i="13"/>
  <c r="L12" i="13"/>
  <c r="AG1073" i="12"/>
  <c r="L26" i="13"/>
  <c r="L10" i="13"/>
  <c r="AA961" i="12"/>
  <c r="AC961" i="12"/>
  <c r="H961" i="12" s="1"/>
  <c r="AA959" i="12"/>
  <c r="AA963" i="12"/>
  <c r="AC959" i="12"/>
  <c r="H959" i="12" s="1"/>
  <c r="AB839" i="12"/>
  <c r="Z831" i="12"/>
  <c r="AL815" i="12"/>
  <c r="B767" i="12"/>
  <c r="AJ746" i="12"/>
  <c r="E732" i="12"/>
  <c r="AL665" i="12"/>
  <c r="AL643" i="12"/>
  <c r="AL884" i="12"/>
  <c r="B531" i="12"/>
  <c r="Z533" i="12"/>
  <c r="AB547" i="12"/>
  <c r="AD841" i="12"/>
  <c r="AB773" i="12"/>
  <c r="B761" i="12"/>
  <c r="B704" i="12"/>
  <c r="AB841" i="12"/>
  <c r="B829" i="12"/>
  <c r="F380" i="12"/>
  <c r="D380" i="12"/>
  <c r="AG763" i="12"/>
  <c r="AC714" i="12"/>
  <c r="AG831" i="12"/>
  <c r="AI537" i="12"/>
  <c r="B495" i="12"/>
  <c r="AA499" i="12"/>
  <c r="AS499" i="12"/>
  <c r="AD607" i="12"/>
  <c r="AL607" i="12"/>
  <c r="B535" i="12"/>
  <c r="B491" i="12"/>
  <c r="Z493" i="12"/>
  <c r="AB507" i="12"/>
  <c r="AG493" i="12"/>
  <c r="AI497" i="12" s="1"/>
  <c r="AG418" i="12"/>
  <c r="AL395" i="12"/>
  <c r="AA380" i="12"/>
  <c r="AI282" i="12"/>
  <c r="Z280" i="12"/>
  <c r="D154" i="12"/>
  <c r="D158" i="12" s="1"/>
  <c r="E154" i="12"/>
  <c r="F154" i="12"/>
  <c r="N15" i="25"/>
  <c r="V15" i="25"/>
  <c r="F15" i="25"/>
  <c r="O15" i="25"/>
  <c r="W15" i="25"/>
  <c r="G15" i="25"/>
  <c r="P15" i="25"/>
  <c r="X15" i="25"/>
  <c r="I15" i="25"/>
  <c r="Q15" i="25"/>
  <c r="J15" i="25"/>
  <c r="R15" i="25"/>
  <c r="K15" i="25"/>
  <c r="S15" i="25"/>
  <c r="L15" i="25"/>
  <c r="T15" i="25"/>
  <c r="M15" i="25"/>
  <c r="U15" i="25"/>
  <c r="K10" i="25"/>
  <c r="L10" i="25"/>
  <c r="X10" i="25"/>
  <c r="E10" i="25"/>
  <c r="F10" i="25"/>
  <c r="G10" i="25"/>
  <c r="I10" i="25"/>
  <c r="J10" i="25"/>
  <c r="AB426" i="12"/>
  <c r="B280" i="12"/>
  <c r="E165" i="12"/>
  <c r="F165" i="12"/>
  <c r="G9" i="25"/>
  <c r="X9" i="25"/>
  <c r="I9" i="25"/>
  <c r="J9" i="25"/>
  <c r="K9" i="25"/>
  <c r="L9" i="25"/>
  <c r="N9" i="25"/>
  <c r="P9" i="25"/>
  <c r="F9" i="25"/>
  <c r="R9" i="25"/>
  <c r="AB418" i="12"/>
  <c r="AH395" i="12"/>
  <c r="B272" i="12"/>
  <c r="I8" i="25"/>
  <c r="J8" i="25"/>
  <c r="K8" i="25"/>
  <c r="L8" i="25"/>
  <c r="X8" i="25"/>
  <c r="F8" i="25"/>
  <c r="G8" i="25"/>
  <c r="AC382" i="12"/>
  <c r="H382" i="12" s="1"/>
  <c r="AC378" i="12"/>
  <c r="H378" i="12" s="1"/>
  <c r="F17" i="25"/>
  <c r="O17" i="25"/>
  <c r="G17" i="25"/>
  <c r="P17" i="25"/>
  <c r="I17" i="25"/>
  <c r="Q17" i="25"/>
  <c r="J17" i="25"/>
  <c r="X17" i="25"/>
  <c r="K17" i="25"/>
  <c r="L17" i="25"/>
  <c r="M17" i="25"/>
  <c r="E17" i="25"/>
  <c r="N17" i="25"/>
  <c r="AA382" i="12"/>
  <c r="AA378" i="12"/>
  <c r="AL257" i="12"/>
  <c r="D167" i="12"/>
  <c r="F167" i="12"/>
  <c r="D55" i="12"/>
  <c r="F55" i="12"/>
  <c r="G19" i="25"/>
  <c r="O19" i="25"/>
  <c r="H19" i="25"/>
  <c r="P19" i="25"/>
  <c r="I19" i="25"/>
  <c r="Q19" i="25"/>
  <c r="J19" i="25"/>
  <c r="R19" i="25"/>
  <c r="K19" i="25"/>
  <c r="S19" i="25"/>
  <c r="L19" i="25"/>
  <c r="X19" i="25"/>
  <c r="M19" i="25"/>
  <c r="F19" i="25"/>
  <c r="N19" i="25"/>
  <c r="P13" i="25"/>
  <c r="F13" i="25"/>
  <c r="R13" i="25"/>
  <c r="G13" i="25"/>
  <c r="X13" i="25"/>
  <c r="I13" i="25"/>
  <c r="J13" i="25"/>
  <c r="K13" i="25"/>
  <c r="L13" i="25"/>
  <c r="N13" i="25"/>
  <c r="AL238" i="12"/>
  <c r="E156" i="12"/>
  <c r="F156" i="12"/>
  <c r="K6" i="25"/>
  <c r="L6" i="25"/>
  <c r="X6" i="25"/>
  <c r="F6" i="25"/>
  <c r="G6" i="25"/>
  <c r="I6" i="25"/>
  <c r="J6" i="25"/>
  <c r="D169" i="12"/>
  <c r="E169" i="12"/>
  <c r="C169" i="12" s="1"/>
  <c r="B169" i="12" s="1"/>
  <c r="F169" i="12"/>
  <c r="E53" i="12"/>
  <c r="F53" i="12"/>
  <c r="AL104" i="12"/>
  <c r="AA57" i="12"/>
  <c r="AA53" i="12"/>
  <c r="J10" i="23"/>
  <c r="F16" i="3"/>
  <c r="R20" i="25"/>
  <c r="O18" i="25"/>
  <c r="G18" i="25"/>
  <c r="O16" i="25"/>
  <c r="G16" i="25"/>
  <c r="I14" i="25"/>
  <c r="I11" i="25"/>
  <c r="I7" i="25"/>
  <c r="B51" i="12"/>
  <c r="AL34" i="12"/>
  <c r="B12" i="2"/>
  <c r="D20" i="1"/>
  <c r="N18" i="25"/>
  <c r="F18" i="25"/>
  <c r="N16" i="25"/>
  <c r="F16" i="25"/>
  <c r="X14" i="25"/>
  <c r="G14" i="25"/>
  <c r="X11" i="25"/>
  <c r="G11" i="25"/>
  <c r="G7" i="25"/>
  <c r="AC169" i="12"/>
  <c r="AC165" i="12"/>
  <c r="AL121" i="12"/>
  <c r="J6" i="23"/>
  <c r="N20" i="25"/>
  <c r="M18" i="25"/>
  <c r="M16" i="25"/>
  <c r="E16" i="25"/>
  <c r="R14" i="25"/>
  <c r="F14" i="25"/>
  <c r="R11" i="25"/>
  <c r="F11" i="25"/>
  <c r="F7" i="25"/>
  <c r="X16" i="25"/>
  <c r="L16" i="25"/>
  <c r="P14" i="25"/>
  <c r="P11" i="25"/>
  <c r="AA55" i="12"/>
  <c r="J20" i="25"/>
  <c r="R18" i="25"/>
  <c r="J18" i="25"/>
  <c r="R16" i="25"/>
  <c r="J16" i="25"/>
  <c r="L14" i="25"/>
  <c r="L11" i="25"/>
  <c r="L7" i="25"/>
  <c r="F20" i="25"/>
  <c r="Q18" i="25"/>
  <c r="I18" i="25"/>
  <c r="Q16" i="25"/>
  <c r="I16" i="25"/>
  <c r="K14" i="25"/>
  <c r="K11" i="25"/>
  <c r="K7" i="25"/>
  <c r="AC57" i="12"/>
  <c r="H57" i="12" s="1"/>
  <c r="X20" i="25"/>
  <c r="P18" i="25"/>
  <c r="P16" i="25"/>
  <c r="C4" i="25" l="1"/>
  <c r="D1" i="1" s="1"/>
  <c r="B497" i="12"/>
  <c r="Z505" i="12"/>
  <c r="AJ505" i="12"/>
  <c r="Z288" i="12"/>
  <c r="B282" i="12"/>
  <c r="AH288" i="12"/>
  <c r="AC290" i="12"/>
  <c r="D961" i="12"/>
  <c r="F961" i="12"/>
  <c r="H19" i="7"/>
  <c r="J19" i="7" s="1"/>
  <c r="E1059" i="12"/>
  <c r="F1059" i="12"/>
  <c r="D28" i="6"/>
  <c r="H109" i="7"/>
  <c r="D38" i="4"/>
  <c r="I144" i="5"/>
  <c r="E25" i="4" s="1"/>
  <c r="E27" i="4"/>
  <c r="J38" i="16"/>
  <c r="E38" i="16"/>
  <c r="G13" i="15"/>
  <c r="I24" i="16"/>
  <c r="F23" i="16"/>
  <c r="H29" i="16"/>
  <c r="E29" i="16"/>
  <c r="AA242" i="12"/>
  <c r="AA240" i="12"/>
  <c r="AC240" i="12"/>
  <c r="H240" i="12" s="1"/>
  <c r="AC242" i="12"/>
  <c r="H242" i="12" s="1"/>
  <c r="B238" i="12"/>
  <c r="AA244" i="12"/>
  <c r="AC244" i="12"/>
  <c r="H244" i="12" s="1"/>
  <c r="B104" i="12"/>
  <c r="AA106" i="12"/>
  <c r="AA110" i="12"/>
  <c r="AC106" i="12"/>
  <c r="H106" i="12" s="1"/>
  <c r="AC110" i="12"/>
  <c r="H110" i="12" s="1"/>
  <c r="AA108" i="12"/>
  <c r="AC108" i="12"/>
  <c r="H108" i="12" s="1"/>
  <c r="B815" i="12"/>
  <c r="AA817" i="12"/>
  <c r="AA821" i="12"/>
  <c r="AC817" i="12"/>
  <c r="H817" i="12" s="1"/>
  <c r="AC821" i="12"/>
  <c r="H821" i="12" s="1"/>
  <c r="AA819" i="12"/>
  <c r="AC819" i="12"/>
  <c r="H819" i="12" s="1"/>
  <c r="E714" i="12"/>
  <c r="F714" i="12"/>
  <c r="F750" i="12"/>
  <c r="D750" i="12"/>
  <c r="G204" i="5"/>
  <c r="I105" i="7"/>
  <c r="J105" i="7" s="1"/>
  <c r="H30" i="7"/>
  <c r="J30" i="7" s="1"/>
  <c r="G165" i="5"/>
  <c r="H86" i="7"/>
  <c r="G244" i="5"/>
  <c r="I125" i="7"/>
  <c r="G58" i="9"/>
  <c r="H58" i="9" s="1"/>
  <c r="G18" i="10"/>
  <c r="G19" i="10"/>
  <c r="L76" i="16"/>
  <c r="H14" i="15" s="1"/>
  <c r="F75" i="16"/>
  <c r="H15" i="16"/>
  <c r="E15" i="16"/>
  <c r="B537" i="12"/>
  <c r="Z545" i="12"/>
  <c r="AJ545" i="12"/>
  <c r="G10" i="5"/>
  <c r="I8" i="7"/>
  <c r="J8" i="7" s="1"/>
  <c r="F716" i="12"/>
  <c r="D716" i="12"/>
  <c r="AB977" i="12"/>
  <c r="AI977" i="12"/>
  <c r="B975" i="12"/>
  <c r="F30" i="4"/>
  <c r="I110" i="7"/>
  <c r="J110" i="7" s="1"/>
  <c r="F17" i="9"/>
  <c r="L671" i="12"/>
  <c r="I671" i="12" s="1"/>
  <c r="I29" i="24"/>
  <c r="I28" i="24"/>
  <c r="H17" i="24"/>
  <c r="F17" i="24" s="1"/>
  <c r="H16" i="24"/>
  <c r="F16" i="24" s="1"/>
  <c r="H65" i="16"/>
  <c r="E65" i="16"/>
  <c r="B34" i="12"/>
  <c r="AA36" i="12"/>
  <c r="AA40" i="12"/>
  <c r="AC36" i="12"/>
  <c r="H36" i="12" s="1"/>
  <c r="AC40" i="12"/>
  <c r="H40" i="12" s="1"/>
  <c r="AA38" i="12"/>
  <c r="AC38" i="12"/>
  <c r="H38" i="12" s="1"/>
  <c r="C156" i="12"/>
  <c r="B156" i="12" s="1"/>
  <c r="B395" i="12"/>
  <c r="AA397" i="12"/>
  <c r="AA401" i="12"/>
  <c r="AC397" i="12"/>
  <c r="H397" i="12" s="1"/>
  <c r="AC401" i="12"/>
  <c r="H401" i="12" s="1"/>
  <c r="AA399" i="12"/>
  <c r="AC399" i="12"/>
  <c r="H399" i="12" s="1"/>
  <c r="B884" i="12"/>
  <c r="AA886" i="12"/>
  <c r="AA890" i="12"/>
  <c r="AC886" i="12"/>
  <c r="H886" i="12" s="1"/>
  <c r="AC890" i="12"/>
  <c r="H890" i="12" s="1"/>
  <c r="AA888" i="12"/>
  <c r="AC888" i="12"/>
  <c r="H888" i="12" s="1"/>
  <c r="I89" i="7"/>
  <c r="G203" i="5"/>
  <c r="I189" i="5"/>
  <c r="E34" i="4" s="1"/>
  <c r="J67" i="9"/>
  <c r="E67" i="9"/>
  <c r="J69" i="9"/>
  <c r="F69" i="9" s="1"/>
  <c r="E69" i="9"/>
  <c r="G18" i="15"/>
  <c r="F64" i="16"/>
  <c r="L68" i="16"/>
  <c r="H13" i="15" s="1"/>
  <c r="G14" i="15"/>
  <c r="J31" i="16"/>
  <c r="E31" i="16"/>
  <c r="G10" i="15"/>
  <c r="H43" i="16"/>
  <c r="E43" i="16"/>
  <c r="F158" i="12"/>
  <c r="AB420" i="12"/>
  <c r="B418" i="12"/>
  <c r="AG609" i="12"/>
  <c r="H609" i="12" s="1"/>
  <c r="AG613" i="12"/>
  <c r="H613" i="12" s="1"/>
  <c r="AA611" i="12"/>
  <c r="AG611" i="12"/>
  <c r="H611" i="12" s="1"/>
  <c r="B607" i="12"/>
  <c r="AA613" i="12"/>
  <c r="AA609" i="12"/>
  <c r="AB833" i="12"/>
  <c r="AI833" i="12"/>
  <c r="B831" i="12"/>
  <c r="AC645" i="12"/>
  <c r="H645" i="12" s="1"/>
  <c r="AC649" i="12"/>
  <c r="H649" i="12" s="1"/>
  <c r="AA645" i="12"/>
  <c r="AA647" i="12"/>
  <c r="B643" i="12"/>
  <c r="AC647" i="12"/>
  <c r="H647" i="12" s="1"/>
  <c r="AA649" i="12"/>
  <c r="B902" i="12"/>
  <c r="AH908" i="12"/>
  <c r="Z908" i="12"/>
  <c r="D718" i="12"/>
  <c r="E718" i="12"/>
  <c r="C718" i="12" s="1"/>
  <c r="F718" i="12"/>
  <c r="D752" i="12"/>
  <c r="E752" i="12"/>
  <c r="C752" i="12" s="1"/>
  <c r="F752" i="12"/>
  <c r="J31" i="7"/>
  <c r="I64" i="7"/>
  <c r="J64" i="7" s="1"/>
  <c r="F1061" i="12"/>
  <c r="D1061" i="12"/>
  <c r="K103" i="5"/>
  <c r="F18" i="4" s="1"/>
  <c r="J82" i="16"/>
  <c r="E82" i="16"/>
  <c r="B963" i="12"/>
  <c r="H36" i="16"/>
  <c r="E36" i="16"/>
  <c r="H22" i="16"/>
  <c r="E22" i="16"/>
  <c r="E57" i="12"/>
  <c r="F57" i="12"/>
  <c r="F59" i="12" s="1"/>
  <c r="D57" i="12"/>
  <c r="AC259" i="12"/>
  <c r="H259" i="12" s="1"/>
  <c r="AA261" i="12"/>
  <c r="B257" i="12"/>
  <c r="AC261" i="12"/>
  <c r="H261" i="12" s="1"/>
  <c r="AA263" i="12"/>
  <c r="AC263" i="12"/>
  <c r="H263" i="12" s="1"/>
  <c r="AA259" i="12"/>
  <c r="E378" i="12"/>
  <c r="F378" i="12"/>
  <c r="F384" i="12" s="1"/>
  <c r="F171" i="12"/>
  <c r="E158" i="12"/>
  <c r="C154" i="12"/>
  <c r="B154" i="12" s="1"/>
  <c r="AA667" i="12"/>
  <c r="AE667" i="12"/>
  <c r="H667" i="12" s="1"/>
  <c r="B665" i="12"/>
  <c r="AA669" i="12"/>
  <c r="AE669" i="12"/>
  <c r="H669" i="12" s="1"/>
  <c r="AA671" i="12"/>
  <c r="AE671" i="12"/>
  <c r="H671" i="12" s="1"/>
  <c r="E959" i="12"/>
  <c r="F959" i="12"/>
  <c r="F965" i="12" s="1"/>
  <c r="E748" i="12"/>
  <c r="F748" i="12"/>
  <c r="F754" i="12" s="1"/>
  <c r="AC1028" i="12"/>
  <c r="H1028" i="12" s="1"/>
  <c r="B1025" i="12"/>
  <c r="AA1028" i="12"/>
  <c r="G12" i="8"/>
  <c r="F76" i="9"/>
  <c r="E12" i="8" s="1"/>
  <c r="I17" i="16"/>
  <c r="F16" i="16"/>
  <c r="G16" i="15"/>
  <c r="B718" i="12"/>
  <c r="I10" i="16"/>
  <c r="F9" i="16"/>
  <c r="H87" i="16"/>
  <c r="E87" i="16"/>
  <c r="B382" i="12"/>
  <c r="H8" i="16"/>
  <c r="E8" i="16"/>
  <c r="AC123" i="12"/>
  <c r="H123" i="12" s="1"/>
  <c r="AC127" i="12"/>
  <c r="H127" i="12" s="1"/>
  <c r="AC125" i="12"/>
  <c r="H125" i="12" s="1"/>
  <c r="B121" i="12"/>
  <c r="AA125" i="12"/>
  <c r="AA123" i="12"/>
  <c r="AA127" i="12"/>
  <c r="D382" i="12"/>
  <c r="E382" i="12"/>
  <c r="C382" i="12" s="1"/>
  <c r="F382" i="12"/>
  <c r="B493" i="12"/>
  <c r="AB497" i="12"/>
  <c r="B499" i="12"/>
  <c r="AB505" i="12"/>
  <c r="AB765" i="12"/>
  <c r="AI765" i="12"/>
  <c r="B763" i="12"/>
  <c r="G103" i="5"/>
  <c r="H55" i="7"/>
  <c r="K144" i="5"/>
  <c r="F25" i="4" s="1"/>
  <c r="F27" i="4"/>
  <c r="H98" i="7"/>
  <c r="G189" i="5"/>
  <c r="I103" i="5"/>
  <c r="E18" i="4" s="1"/>
  <c r="G5" i="8"/>
  <c r="F22" i="9"/>
  <c r="E5" i="8" s="1"/>
  <c r="B752" i="12"/>
  <c r="E94" i="16"/>
  <c r="H94" i="16"/>
  <c r="H72" i="16"/>
  <c r="E72" i="16"/>
  <c r="E101" i="16"/>
  <c r="H101" i="16"/>
  <c r="AI420" i="12"/>
  <c r="AB1075" i="12"/>
  <c r="AI1075" i="12"/>
  <c r="B1073" i="12"/>
  <c r="D12" i="6"/>
  <c r="H7" i="7"/>
  <c r="D6" i="4"/>
  <c r="D1063" i="12"/>
  <c r="E1063" i="12"/>
  <c r="F1063" i="12"/>
  <c r="H89" i="7"/>
  <c r="E22" i="6"/>
  <c r="G144" i="5"/>
  <c r="I75" i="7"/>
  <c r="D27" i="4"/>
  <c r="G243" i="5"/>
  <c r="H125" i="7"/>
  <c r="F49" i="9"/>
  <c r="H14" i="10"/>
  <c r="F14" i="10" s="1"/>
  <c r="I42" i="9"/>
  <c r="H15" i="10"/>
  <c r="F15" i="10" s="1"/>
  <c r="J96" i="16"/>
  <c r="E96" i="16"/>
  <c r="G9" i="15"/>
  <c r="K511" i="12" s="1"/>
  <c r="I511" i="12" s="1"/>
  <c r="F65" i="9"/>
  <c r="H50" i="16"/>
  <c r="E50" i="16"/>
  <c r="E80" i="16"/>
  <c r="H80" i="16"/>
  <c r="B1075" i="12" l="1"/>
  <c r="AH1081" i="12"/>
  <c r="Z1081" i="12"/>
  <c r="F96" i="16"/>
  <c r="J97" i="16"/>
  <c r="H53" i="16"/>
  <c r="F50" i="16"/>
  <c r="H104" i="16"/>
  <c r="F101" i="16"/>
  <c r="J42" i="9"/>
  <c r="E42" i="9"/>
  <c r="E21" i="6"/>
  <c r="I74" i="7"/>
  <c r="D25" i="4"/>
  <c r="H11" i="16"/>
  <c r="F4" i="15" s="1"/>
  <c r="F8" i="16"/>
  <c r="E259" i="12"/>
  <c r="F259" i="12"/>
  <c r="E613" i="12"/>
  <c r="D613" i="12"/>
  <c r="F613" i="12"/>
  <c r="D27" i="6"/>
  <c r="H104" i="7"/>
  <c r="D36" i="4"/>
  <c r="B545" i="12"/>
  <c r="AH547" i="12"/>
  <c r="AJ547" i="12"/>
  <c r="E817" i="12"/>
  <c r="F817" i="12"/>
  <c r="K551" i="12"/>
  <c r="I551" i="12" s="1"/>
  <c r="H19" i="24"/>
  <c r="H18" i="24"/>
  <c r="H21" i="10"/>
  <c r="F21" i="10" s="1"/>
  <c r="I57" i="9"/>
  <c r="H20" i="10"/>
  <c r="F20" i="10" s="1"/>
  <c r="B833" i="12"/>
  <c r="AH839" i="12"/>
  <c r="Z839" i="12"/>
  <c r="E609" i="12"/>
  <c r="F609" i="12"/>
  <c r="K669" i="12"/>
  <c r="I669" i="12" s="1"/>
  <c r="H29" i="24"/>
  <c r="H28" i="24"/>
  <c r="J89" i="7"/>
  <c r="AH983" i="12"/>
  <c r="B977" i="12"/>
  <c r="Z983" i="12"/>
  <c r="K28" i="9"/>
  <c r="L28" i="9" s="1"/>
  <c r="L29" i="9" s="1"/>
  <c r="L30" i="9" s="1"/>
  <c r="H6" i="8" s="1"/>
  <c r="K36" i="9"/>
  <c r="L36" i="9" s="1"/>
  <c r="L37" i="9" s="1"/>
  <c r="L38" i="9" s="1"/>
  <c r="H7" i="8" s="1"/>
  <c r="K51" i="9"/>
  <c r="L51" i="9" s="1"/>
  <c r="L52" i="9" s="1"/>
  <c r="K10" i="9"/>
  <c r="L10" i="9" s="1"/>
  <c r="L11" i="9" s="1"/>
  <c r="L12" i="9" s="1"/>
  <c r="H4" i="8" s="1"/>
  <c r="K18" i="9"/>
  <c r="L18" i="9" s="1"/>
  <c r="L19" i="9" s="1"/>
  <c r="I20" i="24"/>
  <c r="I21" i="24"/>
  <c r="D24" i="6"/>
  <c r="H85" i="7"/>
  <c r="D30" i="4"/>
  <c r="AE290" i="12"/>
  <c r="AG290" i="12"/>
  <c r="AA290" i="12"/>
  <c r="AH292" i="12"/>
  <c r="B288" i="12"/>
  <c r="AJ292" i="12"/>
  <c r="H76" i="16"/>
  <c r="F72" i="16"/>
  <c r="J68" i="5"/>
  <c r="J108" i="5"/>
  <c r="J46" i="5"/>
  <c r="J134" i="5"/>
  <c r="H7" i="10"/>
  <c r="F7" i="10" s="1"/>
  <c r="H6" i="10"/>
  <c r="F6" i="10" s="1"/>
  <c r="E667" i="12"/>
  <c r="F667" i="12"/>
  <c r="H39" i="16"/>
  <c r="F8" i="15" s="1"/>
  <c r="F36" i="16"/>
  <c r="F647" i="12"/>
  <c r="D647" i="12"/>
  <c r="F31" i="16"/>
  <c r="J32" i="16"/>
  <c r="F399" i="12"/>
  <c r="D399" i="12"/>
  <c r="D38" i="12"/>
  <c r="F38" i="12"/>
  <c r="H68" i="16"/>
  <c r="F65" i="16"/>
  <c r="F720" i="12"/>
  <c r="F730" i="12" s="1"/>
  <c r="F731" i="12" s="1"/>
  <c r="D18" i="6"/>
  <c r="H54" i="7"/>
  <c r="D18" i="4"/>
  <c r="F94" i="16"/>
  <c r="H97" i="16"/>
  <c r="F17" i="15" s="1"/>
  <c r="H90" i="16"/>
  <c r="F87" i="16"/>
  <c r="K433" i="12"/>
  <c r="I433" i="12" s="1"/>
  <c r="H24" i="24"/>
  <c r="H25" i="24"/>
  <c r="D263" i="12"/>
  <c r="E263" i="12"/>
  <c r="C263" i="12" s="1"/>
  <c r="B263" i="12" s="1"/>
  <c r="F263" i="12"/>
  <c r="D888" i="12"/>
  <c r="F888" i="12"/>
  <c r="F244" i="12"/>
  <c r="D244" i="12"/>
  <c r="E244" i="12"/>
  <c r="H32" i="16"/>
  <c r="F7" i="15" s="1"/>
  <c r="F29" i="16"/>
  <c r="B765" i="12"/>
  <c r="AH771" i="12"/>
  <c r="Z771" i="12"/>
  <c r="F125" i="12"/>
  <c r="D125" i="12"/>
  <c r="F173" i="12"/>
  <c r="F176" i="12" s="1"/>
  <c r="F177" i="12" s="1"/>
  <c r="I51" i="9"/>
  <c r="I10" i="9"/>
  <c r="I18" i="9"/>
  <c r="I28" i="9"/>
  <c r="I36" i="9"/>
  <c r="H21" i="24"/>
  <c r="H20" i="24"/>
  <c r="D401" i="12"/>
  <c r="E401" i="12"/>
  <c r="F401" i="12"/>
  <c r="D40" i="12"/>
  <c r="E40" i="12"/>
  <c r="C40" i="12" s="1"/>
  <c r="B40" i="12" s="1"/>
  <c r="F40" i="12"/>
  <c r="H18" i="16"/>
  <c r="F5" i="15" s="1"/>
  <c r="F15" i="16"/>
  <c r="D108" i="12"/>
  <c r="F108" i="12"/>
  <c r="J39" i="16"/>
  <c r="F38" i="16"/>
  <c r="D29" i="6"/>
  <c r="H124" i="7"/>
  <c r="D40" i="4"/>
  <c r="C1063" i="12"/>
  <c r="B1063" i="12" s="1"/>
  <c r="D26" i="6"/>
  <c r="H97" i="7"/>
  <c r="D34" i="4"/>
  <c r="E127" i="12"/>
  <c r="F127" i="12"/>
  <c r="D127" i="12"/>
  <c r="E1028" i="12"/>
  <c r="F1028" i="12"/>
  <c r="F1031" i="12" s="1"/>
  <c r="F1034" i="12" s="1"/>
  <c r="F1042" i="12" s="1"/>
  <c r="D1028" i="12"/>
  <c r="D1031" i="12" s="1"/>
  <c r="D1034" i="12" s="1"/>
  <c r="D1042" i="12" s="1"/>
  <c r="D671" i="12"/>
  <c r="F671" i="12"/>
  <c r="E671" i="12"/>
  <c r="C671" i="12" s="1"/>
  <c r="C158" i="12"/>
  <c r="D261" i="12"/>
  <c r="F261" i="12"/>
  <c r="C57" i="12"/>
  <c r="B57" i="12" s="1"/>
  <c r="D890" i="12"/>
  <c r="E890" i="12"/>
  <c r="C890" i="12" s="1"/>
  <c r="B890" i="12" s="1"/>
  <c r="F890" i="12"/>
  <c r="E397" i="12"/>
  <c r="F397" i="12"/>
  <c r="F403" i="12" s="1"/>
  <c r="E36" i="12"/>
  <c r="F36" i="12"/>
  <c r="F42" i="12" s="1"/>
  <c r="F61" i="12" s="1"/>
  <c r="F74" i="12" s="1"/>
  <c r="F819" i="12"/>
  <c r="D819" i="12"/>
  <c r="B505" i="12"/>
  <c r="AH507" i="12"/>
  <c r="AJ507" i="12"/>
  <c r="F80" i="16"/>
  <c r="H83" i="16"/>
  <c r="F15" i="15" s="1"/>
  <c r="B420" i="12"/>
  <c r="AH426" i="12"/>
  <c r="Z426" i="12"/>
  <c r="E123" i="12"/>
  <c r="F123" i="12"/>
  <c r="F129" i="12" s="1"/>
  <c r="E10" i="16"/>
  <c r="J10" i="16"/>
  <c r="J17" i="16"/>
  <c r="E17" i="16"/>
  <c r="E649" i="12"/>
  <c r="D649" i="12"/>
  <c r="F649" i="12"/>
  <c r="D611" i="12"/>
  <c r="F611" i="12"/>
  <c r="H46" i="16"/>
  <c r="F43" i="16"/>
  <c r="L553" i="12"/>
  <c r="I553" i="12" s="1"/>
  <c r="I19" i="24"/>
  <c r="I18" i="24"/>
  <c r="J71" i="9"/>
  <c r="F67" i="9"/>
  <c r="E886" i="12"/>
  <c r="F886" i="12"/>
  <c r="F892" i="12" s="1"/>
  <c r="J125" i="7"/>
  <c r="E27" i="6"/>
  <c r="F27" i="6" s="1"/>
  <c r="I104" i="7"/>
  <c r="J104" i="7" s="1"/>
  <c r="D37" i="4"/>
  <c r="D110" i="12"/>
  <c r="E110" i="12"/>
  <c r="C110" i="12" s="1"/>
  <c r="B110" i="12" s="1"/>
  <c r="F110" i="12"/>
  <c r="D242" i="12"/>
  <c r="F242" i="12"/>
  <c r="E24" i="16"/>
  <c r="J24" i="16"/>
  <c r="F1065" i="12"/>
  <c r="D669" i="12"/>
  <c r="E669" i="12"/>
  <c r="F669" i="12"/>
  <c r="H25" i="16"/>
  <c r="F6" i="15" s="1"/>
  <c r="F22" i="16"/>
  <c r="F82" i="16"/>
  <c r="J83" i="16"/>
  <c r="B908" i="12"/>
  <c r="AH910" i="12"/>
  <c r="AJ910" i="12"/>
  <c r="E645" i="12"/>
  <c r="F645" i="12"/>
  <c r="F651" i="12" s="1"/>
  <c r="K297" i="12"/>
  <c r="I297" i="12" s="1"/>
  <c r="H15" i="24"/>
  <c r="H14" i="24"/>
  <c r="B671" i="12"/>
  <c r="E12" i="6"/>
  <c r="F12" i="6" s="1"/>
  <c r="I7" i="7"/>
  <c r="J7" i="7" s="1"/>
  <c r="D7" i="4"/>
  <c r="E29" i="6"/>
  <c r="F29" i="6" s="1"/>
  <c r="I124" i="7"/>
  <c r="J124" i="7" s="1"/>
  <c r="D41" i="4"/>
  <c r="D821" i="12"/>
  <c r="E821" i="12"/>
  <c r="F821" i="12"/>
  <c r="E106" i="12"/>
  <c r="F106" i="12"/>
  <c r="F112" i="12" s="1"/>
  <c r="F131" i="12" s="1"/>
  <c r="F142" i="12" s="1"/>
  <c r="F143" i="12" s="1"/>
  <c r="F240" i="12"/>
  <c r="F246" i="12" s="1"/>
  <c r="E240" i="12"/>
  <c r="F75" i="12" l="1"/>
  <c r="H5" i="11"/>
  <c r="J378" i="12"/>
  <c r="J397" i="12"/>
  <c r="G23" i="24"/>
  <c r="G22" i="24"/>
  <c r="F5" i="12"/>
  <c r="H4" i="11"/>
  <c r="F39" i="16"/>
  <c r="E8" i="15" s="1"/>
  <c r="G8" i="15"/>
  <c r="J18" i="9"/>
  <c r="AH773" i="12"/>
  <c r="B771" i="12"/>
  <c r="AJ773" i="12"/>
  <c r="L94" i="5"/>
  <c r="M94" i="5" s="1"/>
  <c r="I10" i="10"/>
  <c r="I11" i="10"/>
  <c r="J57" i="9"/>
  <c r="E57" i="9"/>
  <c r="AC549" i="12"/>
  <c r="H549" i="12" s="1"/>
  <c r="AC553" i="12"/>
  <c r="H553" i="12" s="1"/>
  <c r="AA549" i="12"/>
  <c r="AA551" i="12"/>
  <c r="AC551" i="12"/>
  <c r="H551" i="12" s="1"/>
  <c r="AA553" i="12"/>
  <c r="AA555" i="12"/>
  <c r="AC555" i="12"/>
  <c r="H555" i="12" s="1"/>
  <c r="B547" i="12"/>
  <c r="C613" i="12"/>
  <c r="B613" i="12" s="1"/>
  <c r="F10" i="16"/>
  <c r="J11" i="16"/>
  <c r="J10" i="9"/>
  <c r="AE297" i="12"/>
  <c r="H297" i="12" s="1"/>
  <c r="B292" i="12"/>
  <c r="AA295" i="12"/>
  <c r="AC295" i="12"/>
  <c r="H295" i="12" s="1"/>
  <c r="AA299" i="12"/>
  <c r="AC299" i="12"/>
  <c r="H299" i="12" s="1"/>
  <c r="AA297" i="12"/>
  <c r="L168" i="5"/>
  <c r="M168" i="5" s="1"/>
  <c r="L106" i="5"/>
  <c r="M106" i="5" s="1"/>
  <c r="I9" i="10"/>
  <c r="I8" i="10"/>
  <c r="F615" i="12"/>
  <c r="F627" i="12" s="1"/>
  <c r="F628" i="12" s="1"/>
  <c r="F265" i="12"/>
  <c r="F83" i="16"/>
  <c r="E15" i="15" s="1"/>
  <c r="G15" i="15"/>
  <c r="F17" i="16"/>
  <c r="J18" i="16"/>
  <c r="F24" i="16"/>
  <c r="J25" i="16"/>
  <c r="G11" i="8"/>
  <c r="F71" i="9"/>
  <c r="E11" i="8" s="1"/>
  <c r="J53" i="12"/>
  <c r="J123" i="12"/>
  <c r="J36" i="12"/>
  <c r="J106" i="12"/>
  <c r="G8" i="24"/>
  <c r="G9" i="24"/>
  <c r="B507" i="12"/>
  <c r="AA509" i="12"/>
  <c r="AA513" i="12"/>
  <c r="AC509" i="12"/>
  <c r="H509" i="12" s="1"/>
  <c r="AC513" i="12"/>
  <c r="H513" i="12" s="1"/>
  <c r="AA511" i="12"/>
  <c r="AC515" i="12"/>
  <c r="H515" i="12" s="1"/>
  <c r="AC511" i="12"/>
  <c r="H511" i="12" s="1"/>
  <c r="AA515" i="12"/>
  <c r="D1008" i="12"/>
  <c r="F17" i="11"/>
  <c r="C401" i="12"/>
  <c r="B401" i="12" s="1"/>
  <c r="J51" i="9"/>
  <c r="F134" i="5"/>
  <c r="K134" i="5"/>
  <c r="F10" i="15"/>
  <c r="F53" i="16"/>
  <c r="E10" i="15" s="1"/>
  <c r="F1008" i="12"/>
  <c r="H17" i="11"/>
  <c r="F144" i="12"/>
  <c r="H6" i="11"/>
  <c r="J259" i="12"/>
  <c r="J240" i="12"/>
  <c r="J959" i="12"/>
  <c r="G10" i="24"/>
  <c r="G11" i="24"/>
  <c r="J843" i="12"/>
  <c r="I843" i="12" s="1"/>
  <c r="J775" i="12"/>
  <c r="I775" i="12" s="1"/>
  <c r="J912" i="12"/>
  <c r="I912" i="12" s="1"/>
  <c r="J1085" i="12"/>
  <c r="I1085" i="12" s="1"/>
  <c r="G12" i="24"/>
  <c r="G13" i="24"/>
  <c r="K46" i="5"/>
  <c r="G46" i="5" s="1"/>
  <c r="I25" i="7" s="1"/>
  <c r="J25" i="7" s="1"/>
  <c r="F46" i="5"/>
  <c r="G17" i="15"/>
  <c r="F97" i="16"/>
  <c r="E17" i="15" s="1"/>
  <c r="C821" i="12"/>
  <c r="B821" i="12" s="1"/>
  <c r="B910" i="12"/>
  <c r="AA912" i="12"/>
  <c r="AA916" i="12"/>
  <c r="AA914" i="12"/>
  <c r="AC914" i="12"/>
  <c r="H914" i="12" s="1"/>
  <c r="AC916" i="12"/>
  <c r="H916" i="12" s="1"/>
  <c r="AC912" i="12"/>
  <c r="H912" i="12" s="1"/>
  <c r="C669" i="12"/>
  <c r="B669" i="12" s="1"/>
  <c r="C649" i="12"/>
  <c r="B649" i="12" s="1"/>
  <c r="E1031" i="12"/>
  <c r="C1028" i="12"/>
  <c r="B1028" i="12" s="1"/>
  <c r="C244" i="12"/>
  <c r="B244" i="12" s="1"/>
  <c r="F698" i="12"/>
  <c r="H12" i="11"/>
  <c r="F673" i="12"/>
  <c r="F675" i="12" s="1"/>
  <c r="F696" i="12" s="1"/>
  <c r="F697" i="12" s="1"/>
  <c r="K108" i="5"/>
  <c r="G108" i="5" s="1"/>
  <c r="I56" i="7" s="1"/>
  <c r="J56" i="7" s="1"/>
  <c r="F108" i="5"/>
  <c r="AJ985" i="12"/>
  <c r="B983" i="12"/>
  <c r="AH985" i="12"/>
  <c r="F42" i="9"/>
  <c r="F16" i="15"/>
  <c r="F90" i="16"/>
  <c r="E16" i="15" s="1"/>
  <c r="F32" i="16"/>
  <c r="E7" i="15" s="1"/>
  <c r="G7" i="15"/>
  <c r="E673" i="12"/>
  <c r="K68" i="5"/>
  <c r="G68" i="5" s="1"/>
  <c r="I36" i="7" s="1"/>
  <c r="J36" i="7" s="1"/>
  <c r="F68" i="5"/>
  <c r="B290" i="12"/>
  <c r="AC297" i="12"/>
  <c r="B839" i="12"/>
  <c r="AH841" i="12"/>
  <c r="AJ841" i="12"/>
  <c r="F823" i="12"/>
  <c r="J609" i="12"/>
  <c r="J748" i="12"/>
  <c r="J645" i="12"/>
  <c r="J714" i="12"/>
  <c r="J886" i="12"/>
  <c r="J817" i="12"/>
  <c r="J1059" i="12"/>
  <c r="G7" i="24"/>
  <c r="G6" i="24"/>
  <c r="F9" i="15"/>
  <c r="J509" i="12" s="1"/>
  <c r="I509" i="12" s="1"/>
  <c r="F46" i="16"/>
  <c r="E9" i="15" s="1"/>
  <c r="B426" i="12"/>
  <c r="AH428" i="12"/>
  <c r="AJ428" i="12"/>
  <c r="J36" i="9"/>
  <c r="J987" i="12"/>
  <c r="I987" i="12" s="1"/>
  <c r="G26" i="24"/>
  <c r="G27" i="24"/>
  <c r="F13" i="15"/>
  <c r="F68" i="16"/>
  <c r="E13" i="15" s="1"/>
  <c r="L184" i="5"/>
  <c r="M184" i="5" s="1"/>
  <c r="I4" i="10"/>
  <c r="I5" i="10"/>
  <c r="AH1083" i="12"/>
  <c r="B1081" i="12"/>
  <c r="AJ1083" i="12"/>
  <c r="C127" i="12"/>
  <c r="B127" i="12" s="1"/>
  <c r="J28" i="9"/>
  <c r="F14" i="15"/>
  <c r="F76" i="16"/>
  <c r="E14" i="15" s="1"/>
  <c r="J165" i="12"/>
  <c r="G5" i="24"/>
  <c r="G4" i="24"/>
  <c r="F18" i="15"/>
  <c r="F104" i="16"/>
  <c r="E18" i="15" s="1"/>
  <c r="F629" i="12" l="1"/>
  <c r="H11" i="11"/>
  <c r="J549" i="12"/>
  <c r="I549" i="12" s="1"/>
  <c r="G19" i="24"/>
  <c r="F19" i="24" s="1"/>
  <c r="G18" i="24"/>
  <c r="F18" i="24" s="1"/>
  <c r="K989" i="12"/>
  <c r="I989" i="12" s="1"/>
  <c r="H26" i="24"/>
  <c r="F26" i="24" s="1"/>
  <c r="H27" i="24"/>
  <c r="F27" i="24" s="1"/>
  <c r="I240" i="12"/>
  <c r="D240" i="12"/>
  <c r="F515" i="12"/>
  <c r="D515" i="12"/>
  <c r="E515" i="12"/>
  <c r="C515" i="12" s="1"/>
  <c r="B515" i="12" s="1"/>
  <c r="H19" i="10"/>
  <c r="F19" i="10" s="1"/>
  <c r="I58" i="9"/>
  <c r="H18" i="10"/>
  <c r="F18" i="10" s="1"/>
  <c r="I1059" i="12"/>
  <c r="D1059" i="12"/>
  <c r="AC845" i="12"/>
  <c r="H845" i="12" s="1"/>
  <c r="B841" i="12"/>
  <c r="AA843" i="12"/>
  <c r="AA847" i="12"/>
  <c r="AC843" i="12"/>
  <c r="H843" i="12" s="1"/>
  <c r="AC847" i="12"/>
  <c r="H847" i="12" s="1"/>
  <c r="AA845" i="12"/>
  <c r="I259" i="12"/>
  <c r="D259" i="12"/>
  <c r="J295" i="12"/>
  <c r="I295" i="12" s="1"/>
  <c r="G15" i="24"/>
  <c r="F15" i="24" s="1"/>
  <c r="G14" i="24"/>
  <c r="F14" i="24" s="1"/>
  <c r="I106" i="12"/>
  <c r="D106" i="12"/>
  <c r="F25" i="16"/>
  <c r="E6" i="15" s="1"/>
  <c r="G6" i="15"/>
  <c r="D299" i="12"/>
  <c r="E299" i="12"/>
  <c r="C299" i="12" s="1"/>
  <c r="B299" i="12" s="1"/>
  <c r="F299" i="12"/>
  <c r="E549" i="12"/>
  <c r="F549" i="12"/>
  <c r="D549" i="12"/>
  <c r="G51" i="9"/>
  <c r="G10" i="9"/>
  <c r="G18" i="9"/>
  <c r="G28" i="9"/>
  <c r="G36" i="9"/>
  <c r="G21" i="24"/>
  <c r="F21" i="24" s="1"/>
  <c r="G20" i="24"/>
  <c r="F20" i="24" s="1"/>
  <c r="I817" i="12"/>
  <c r="D817" i="12"/>
  <c r="K242" i="12"/>
  <c r="K261" i="12"/>
  <c r="K961" i="12"/>
  <c r="H10" i="24"/>
  <c r="F10" i="24" s="1"/>
  <c r="H11" i="24"/>
  <c r="F11" i="24" s="1"/>
  <c r="I9" i="13"/>
  <c r="L51" i="5"/>
  <c r="M51" i="5" s="1"/>
  <c r="I8" i="13"/>
  <c r="L99" i="5"/>
  <c r="M99" i="5" s="1"/>
  <c r="L100" i="5"/>
  <c r="M100" i="5" s="1"/>
  <c r="L116" i="5"/>
  <c r="M116" i="5" s="1"/>
  <c r="L73" i="5"/>
  <c r="M73" i="5" s="1"/>
  <c r="L139" i="5"/>
  <c r="M139" i="5" s="1"/>
  <c r="L159" i="5"/>
  <c r="M159" i="5" s="1"/>
  <c r="L74" i="5"/>
  <c r="M74" i="5" s="1"/>
  <c r="L140" i="5"/>
  <c r="M140" i="5" s="1"/>
  <c r="L52" i="5"/>
  <c r="M52" i="5" s="1"/>
  <c r="J52" i="9"/>
  <c r="D513" i="12"/>
  <c r="E513" i="12"/>
  <c r="C513" i="12" s="1"/>
  <c r="B513" i="12" s="1"/>
  <c r="F513" i="12"/>
  <c r="I36" i="12"/>
  <c r="D36" i="12"/>
  <c r="F555" i="12"/>
  <c r="D555" i="12"/>
  <c r="E555" i="12"/>
  <c r="I886" i="12"/>
  <c r="D886" i="12"/>
  <c r="D509" i="12"/>
  <c r="E509" i="12"/>
  <c r="F509" i="12"/>
  <c r="F517" i="12" s="1"/>
  <c r="I123" i="12"/>
  <c r="D123" i="12"/>
  <c r="F595" i="12"/>
  <c r="H10" i="11"/>
  <c r="E295" i="12"/>
  <c r="F295" i="12"/>
  <c r="F57" i="9"/>
  <c r="J19" i="9"/>
  <c r="I397" i="12"/>
  <c r="D397" i="12"/>
  <c r="AC987" i="12"/>
  <c r="H987" i="12" s="1"/>
  <c r="AA987" i="12"/>
  <c r="AA989" i="12"/>
  <c r="AC989" i="12"/>
  <c r="H989" i="12" s="1"/>
  <c r="AA991" i="12"/>
  <c r="B985" i="12"/>
  <c r="AC991" i="12"/>
  <c r="H991" i="12" s="1"/>
  <c r="I30" i="13"/>
  <c r="I31" i="13"/>
  <c r="K59" i="9"/>
  <c r="L59" i="9" s="1"/>
  <c r="L61" i="9" s="1"/>
  <c r="L62" i="9" s="1"/>
  <c r="H10" i="8" s="1"/>
  <c r="G30" i="13"/>
  <c r="G31" i="13"/>
  <c r="G59" i="9"/>
  <c r="H59" i="9" s="1"/>
  <c r="I53" i="12"/>
  <c r="D53" i="12"/>
  <c r="G5" i="15"/>
  <c r="F18" i="16"/>
  <c r="E5" i="15" s="1"/>
  <c r="F11" i="16"/>
  <c r="E4" i="15" s="1"/>
  <c r="G4" i="15"/>
  <c r="I378" i="12"/>
  <c r="D378" i="12"/>
  <c r="J667" i="12"/>
  <c r="G28" i="24"/>
  <c r="F28" i="24" s="1"/>
  <c r="G29" i="24"/>
  <c r="F29" i="24" s="1"/>
  <c r="I714" i="12"/>
  <c r="D714" i="12"/>
  <c r="J37" i="9"/>
  <c r="I645" i="12"/>
  <c r="D645" i="12"/>
  <c r="J431" i="12"/>
  <c r="I431" i="12" s="1"/>
  <c r="G24" i="24"/>
  <c r="F24" i="24" s="1"/>
  <c r="G25" i="24"/>
  <c r="F25" i="24" s="1"/>
  <c r="C1031" i="12"/>
  <c r="E1034" i="12"/>
  <c r="D912" i="12"/>
  <c r="F912" i="12"/>
  <c r="E912" i="12"/>
  <c r="F551" i="12"/>
  <c r="D551" i="12"/>
  <c r="E551" i="12"/>
  <c r="C551" i="12" s="1"/>
  <c r="B551" i="12" s="1"/>
  <c r="K845" i="12"/>
  <c r="I845" i="12" s="1"/>
  <c r="K777" i="12"/>
  <c r="I777" i="12" s="1"/>
  <c r="K1087" i="12"/>
  <c r="I1087" i="12" s="1"/>
  <c r="K914" i="12"/>
  <c r="I914" i="12" s="1"/>
  <c r="H13" i="24"/>
  <c r="F13" i="24" s="1"/>
  <c r="H12" i="24"/>
  <c r="F12" i="24" s="1"/>
  <c r="AA1087" i="12"/>
  <c r="AC1087" i="12"/>
  <c r="H1087" i="12" s="1"/>
  <c r="B1083" i="12"/>
  <c r="AA1085" i="12"/>
  <c r="AA1089" i="12"/>
  <c r="AC1085" i="12"/>
  <c r="H1085" i="12" s="1"/>
  <c r="AC1089" i="12"/>
  <c r="H1089" i="12" s="1"/>
  <c r="B428" i="12"/>
  <c r="AA431" i="12"/>
  <c r="AA435" i="12"/>
  <c r="AC431" i="12"/>
  <c r="H431" i="12" s="1"/>
  <c r="AC435" i="12"/>
  <c r="H435" i="12" s="1"/>
  <c r="AA433" i="12"/>
  <c r="AC433" i="12"/>
  <c r="H433" i="12" s="1"/>
  <c r="I748" i="12"/>
  <c r="D748" i="12"/>
  <c r="D916" i="12"/>
  <c r="F916" i="12"/>
  <c r="E916" i="12"/>
  <c r="C916" i="12" s="1"/>
  <c r="B916" i="12" s="1"/>
  <c r="G134" i="5"/>
  <c r="K399" i="12"/>
  <c r="K380" i="12"/>
  <c r="H22" i="24"/>
  <c r="F22" i="24" s="1"/>
  <c r="H23" i="24"/>
  <c r="F23" i="24" s="1"/>
  <c r="F297" i="12"/>
  <c r="D297" i="12"/>
  <c r="E297" i="12"/>
  <c r="L47" i="5"/>
  <c r="M47" i="5" s="1"/>
  <c r="M31" i="5" s="1"/>
  <c r="I7" i="13"/>
  <c r="L48" i="5"/>
  <c r="M48" i="5" s="1"/>
  <c r="I6" i="13"/>
  <c r="L114" i="5"/>
  <c r="M114" i="5" s="1"/>
  <c r="L135" i="5"/>
  <c r="M135" i="5" s="1"/>
  <c r="M121" i="5" s="1"/>
  <c r="L155" i="5"/>
  <c r="M155" i="5" s="1"/>
  <c r="M145" i="5" s="1"/>
  <c r="L69" i="5"/>
  <c r="M69" i="5" s="1"/>
  <c r="M53" i="5" s="1"/>
  <c r="G12" i="4" s="1"/>
  <c r="L70" i="5"/>
  <c r="M70" i="5" s="1"/>
  <c r="L136" i="5"/>
  <c r="M136" i="5" s="1"/>
  <c r="M122" i="5" s="1"/>
  <c r="L170" i="5"/>
  <c r="M170" i="5" s="1"/>
  <c r="L95" i="5"/>
  <c r="M95" i="5" s="1"/>
  <c r="L96" i="5"/>
  <c r="M96" i="5" s="1"/>
  <c r="L185" i="5"/>
  <c r="M185" i="5" s="1"/>
  <c r="L186" i="5"/>
  <c r="M186" i="5" s="1"/>
  <c r="J29" i="9"/>
  <c r="M172" i="5"/>
  <c r="G33" i="4" s="1"/>
  <c r="I165" i="12"/>
  <c r="D165" i="12"/>
  <c r="I609" i="12"/>
  <c r="D609" i="12"/>
  <c r="F914" i="12"/>
  <c r="D914" i="12"/>
  <c r="E914" i="12"/>
  <c r="C914" i="12" s="1"/>
  <c r="I959" i="12"/>
  <c r="D959" i="12"/>
  <c r="F511" i="12"/>
  <c r="D511" i="12"/>
  <c r="E511" i="12"/>
  <c r="C511" i="12" s="1"/>
  <c r="B511" i="12" s="1"/>
  <c r="M166" i="5"/>
  <c r="M80" i="5"/>
  <c r="I5" i="13"/>
  <c r="I4" i="13"/>
  <c r="K43" i="9"/>
  <c r="L43" i="9" s="1"/>
  <c r="L44" i="9" s="1"/>
  <c r="L45" i="9" s="1"/>
  <c r="H8" i="8" s="1"/>
  <c r="I21" i="13"/>
  <c r="I20" i="13"/>
  <c r="L198" i="5"/>
  <c r="M198" i="5" s="1"/>
  <c r="J11" i="9"/>
  <c r="E553" i="12"/>
  <c r="C553" i="12" s="1"/>
  <c r="B553" i="12" s="1"/>
  <c r="F553" i="12"/>
  <c r="D553" i="12"/>
  <c r="AA777" i="12"/>
  <c r="AC777" i="12"/>
  <c r="H777" i="12" s="1"/>
  <c r="B773" i="12"/>
  <c r="AA775" i="12"/>
  <c r="AA779" i="12"/>
  <c r="AC775" i="12"/>
  <c r="H775" i="12" s="1"/>
  <c r="AC779" i="12"/>
  <c r="H779" i="12" s="1"/>
  <c r="D775" i="12" l="1"/>
  <c r="E775" i="12"/>
  <c r="F775" i="12"/>
  <c r="J12" i="9"/>
  <c r="G31" i="4"/>
  <c r="M143" i="5"/>
  <c r="G24" i="4" s="1"/>
  <c r="G26" i="4"/>
  <c r="I69" i="7"/>
  <c r="J69" i="7" s="1"/>
  <c r="D435" i="12"/>
  <c r="E435" i="12"/>
  <c r="F435" i="12"/>
  <c r="E1042" i="12"/>
  <c r="C1034" i="12"/>
  <c r="D989" i="12"/>
  <c r="E989" i="12"/>
  <c r="F989" i="12"/>
  <c r="I961" i="12"/>
  <c r="E961" i="12"/>
  <c r="H36" i="9"/>
  <c r="E36" i="9"/>
  <c r="D615" i="12"/>
  <c r="D627" i="12" s="1"/>
  <c r="D628" i="12" s="1"/>
  <c r="C609" i="12"/>
  <c r="I261" i="12"/>
  <c r="E261" i="12"/>
  <c r="H28" i="9"/>
  <c r="E28" i="9"/>
  <c r="M119" i="5"/>
  <c r="G20" i="4" s="1"/>
  <c r="G22" i="4"/>
  <c r="D431" i="12"/>
  <c r="E431" i="12"/>
  <c r="F431" i="12"/>
  <c r="D720" i="12"/>
  <c r="D730" i="12" s="1"/>
  <c r="D731" i="12" s="1"/>
  <c r="C714" i="12"/>
  <c r="B609" i="12"/>
  <c r="B714" i="12"/>
  <c r="L196" i="5"/>
  <c r="M196" i="5" s="1"/>
  <c r="I17" i="10"/>
  <c r="I16" i="10"/>
  <c r="F301" i="12"/>
  <c r="F303" i="12" s="1"/>
  <c r="F315" i="12" s="1"/>
  <c r="F316" i="12" s="1"/>
  <c r="E517" i="12"/>
  <c r="C509" i="12"/>
  <c r="B509" i="12" s="1"/>
  <c r="D42" i="12"/>
  <c r="D61" i="12" s="1"/>
  <c r="D74" i="12" s="1"/>
  <c r="C36" i="12"/>
  <c r="B36" i="12" s="1"/>
  <c r="I242" i="12"/>
  <c r="E242" i="12"/>
  <c r="H18" i="9"/>
  <c r="E18" i="9"/>
  <c r="D265" i="12"/>
  <c r="C259" i="12"/>
  <c r="K167" i="12"/>
  <c r="H5" i="24"/>
  <c r="F5" i="24" s="1"/>
  <c r="H4" i="24"/>
  <c r="F4" i="24" s="1"/>
  <c r="D1087" i="12"/>
  <c r="E1087" i="12"/>
  <c r="C1087" i="12" s="1"/>
  <c r="F1087" i="12"/>
  <c r="M79" i="5"/>
  <c r="E987" i="12"/>
  <c r="D987" i="12"/>
  <c r="F987" i="12"/>
  <c r="E301" i="12"/>
  <c r="D517" i="12"/>
  <c r="D823" i="12"/>
  <c r="C817" i="12"/>
  <c r="H10" i="9"/>
  <c r="E10" i="9"/>
  <c r="K55" i="12"/>
  <c r="K125" i="12"/>
  <c r="K38" i="12"/>
  <c r="K108" i="12"/>
  <c r="H8" i="24"/>
  <c r="F8" i="24" s="1"/>
  <c r="H9" i="24"/>
  <c r="F9" i="24" s="1"/>
  <c r="B259" i="12"/>
  <c r="E845" i="12"/>
  <c r="F845" i="12"/>
  <c r="D845" i="12"/>
  <c r="D171" i="12"/>
  <c r="D173" i="12" s="1"/>
  <c r="D176" i="12" s="1"/>
  <c r="D177" i="12" s="1"/>
  <c r="C165" i="12"/>
  <c r="D779" i="12"/>
  <c r="E779" i="12"/>
  <c r="F779" i="12"/>
  <c r="L194" i="5"/>
  <c r="M194" i="5" s="1"/>
  <c r="I12" i="10"/>
  <c r="I13" i="10"/>
  <c r="D965" i="12"/>
  <c r="C959" i="12"/>
  <c r="B165" i="12"/>
  <c r="D754" i="12"/>
  <c r="C748" i="12"/>
  <c r="B748" i="12" s="1"/>
  <c r="K611" i="12"/>
  <c r="K647" i="12"/>
  <c r="K888" i="12"/>
  <c r="K819" i="12"/>
  <c r="K716" i="12"/>
  <c r="K750" i="12"/>
  <c r="K1061" i="12"/>
  <c r="H6" i="24"/>
  <c r="F6" i="24" s="1"/>
  <c r="H7" i="24"/>
  <c r="F7" i="24" s="1"/>
  <c r="D403" i="12"/>
  <c r="C397" i="12"/>
  <c r="D295" i="12"/>
  <c r="D301" i="12" s="1"/>
  <c r="B817" i="12"/>
  <c r="H51" i="9"/>
  <c r="E51" i="9"/>
  <c r="D1065" i="12"/>
  <c r="C1059" i="12"/>
  <c r="D246" i="12"/>
  <c r="C240" i="12"/>
  <c r="B240" i="12" s="1"/>
  <c r="M120" i="5"/>
  <c r="G21" i="4" s="1"/>
  <c r="G23" i="4"/>
  <c r="I380" i="12"/>
  <c r="E380" i="12"/>
  <c r="D1089" i="12"/>
  <c r="E1089" i="12"/>
  <c r="F1089" i="12"/>
  <c r="C912" i="12"/>
  <c r="B912" i="12" s="1"/>
  <c r="E918" i="12"/>
  <c r="D651" i="12"/>
  <c r="C645" i="12"/>
  <c r="B645" i="12" s="1"/>
  <c r="I667" i="12"/>
  <c r="D667" i="12"/>
  <c r="D59" i="12"/>
  <c r="C53" i="12"/>
  <c r="E991" i="12"/>
  <c r="D991" i="12"/>
  <c r="F991" i="12"/>
  <c r="B397" i="12"/>
  <c r="I17" i="13"/>
  <c r="I16" i="13"/>
  <c r="L192" i="5"/>
  <c r="M192" i="5" s="1"/>
  <c r="D892" i="12"/>
  <c r="C886" i="12"/>
  <c r="D558" i="12"/>
  <c r="D112" i="12"/>
  <c r="D131" i="12" s="1"/>
  <c r="D142" i="12" s="1"/>
  <c r="D143" i="12" s="1"/>
  <c r="C106" i="12"/>
  <c r="B1059" i="12"/>
  <c r="B959" i="12"/>
  <c r="J30" i="9"/>
  <c r="M29" i="5"/>
  <c r="G10" i="4"/>
  <c r="I399" i="12"/>
  <c r="E399" i="12"/>
  <c r="D433" i="12"/>
  <c r="E433" i="12"/>
  <c r="C433" i="12" s="1"/>
  <c r="B433" i="12" s="1"/>
  <c r="F433" i="12"/>
  <c r="D1085" i="12"/>
  <c r="D1091" i="12" s="1"/>
  <c r="E1085" i="12"/>
  <c r="F1085" i="12"/>
  <c r="F1091" i="12" s="1"/>
  <c r="F1093" i="12" s="1"/>
  <c r="B914" i="12"/>
  <c r="F918" i="12"/>
  <c r="F920" i="12" s="1"/>
  <c r="B53" i="12"/>
  <c r="B886" i="12"/>
  <c r="F558" i="12"/>
  <c r="B106" i="12"/>
  <c r="D847" i="12"/>
  <c r="E847" i="12"/>
  <c r="F847" i="12"/>
  <c r="I19" i="13"/>
  <c r="I18" i="13"/>
  <c r="L200" i="5"/>
  <c r="M200" i="5" s="1"/>
  <c r="D777" i="12"/>
  <c r="E777" i="12"/>
  <c r="C777" i="12" s="1"/>
  <c r="B777" i="12" s="1"/>
  <c r="F777" i="12"/>
  <c r="G17" i="4"/>
  <c r="C297" i="12"/>
  <c r="B297" i="12" s="1"/>
  <c r="B1087" i="12"/>
  <c r="D918" i="12"/>
  <c r="J38" i="9"/>
  <c r="D384" i="12"/>
  <c r="C378" i="12"/>
  <c r="B378" i="12" s="1"/>
  <c r="G60" i="9"/>
  <c r="D129" i="12"/>
  <c r="C123" i="12"/>
  <c r="B123" i="12" s="1"/>
  <c r="C555" i="12"/>
  <c r="B555" i="12" s="1"/>
  <c r="C549" i="12"/>
  <c r="B549" i="12" s="1"/>
  <c r="E558" i="12"/>
  <c r="D843" i="12"/>
  <c r="E843" i="12"/>
  <c r="F843" i="12"/>
  <c r="F849" i="12" s="1"/>
  <c r="F851" i="12" s="1"/>
  <c r="J58" i="9"/>
  <c r="E58" i="9"/>
  <c r="G7" i="8" l="1"/>
  <c r="D144" i="12"/>
  <c r="F6" i="11"/>
  <c r="I38" i="12"/>
  <c r="E38" i="12"/>
  <c r="F178" i="12"/>
  <c r="H7" i="11"/>
  <c r="F437" i="12"/>
  <c r="F439" i="12" s="1"/>
  <c r="F454" i="12" s="1"/>
  <c r="F455" i="12" s="1"/>
  <c r="H29" i="9"/>
  <c r="F28" i="9"/>
  <c r="C1042" i="12"/>
  <c r="E1008" i="12"/>
  <c r="G17" i="11"/>
  <c r="E60" i="9"/>
  <c r="H60" i="9"/>
  <c r="C843" i="12"/>
  <c r="B843" i="12" s="1"/>
  <c r="E849" i="12"/>
  <c r="M190" i="5"/>
  <c r="C1089" i="12"/>
  <c r="B1089" i="12" s="1"/>
  <c r="D303" i="12"/>
  <c r="D315" i="12" s="1"/>
  <c r="D316" i="12" s="1"/>
  <c r="I647" i="12"/>
  <c r="E647" i="12"/>
  <c r="I125" i="12"/>
  <c r="E125" i="12"/>
  <c r="C301" i="12"/>
  <c r="H19" i="9"/>
  <c r="F19" i="9" s="1"/>
  <c r="F18" i="9"/>
  <c r="C431" i="12"/>
  <c r="B431" i="12" s="1"/>
  <c r="E437" i="12"/>
  <c r="C261" i="12"/>
  <c r="B261" i="12" s="1"/>
  <c r="E265" i="12"/>
  <c r="C265" i="12" s="1"/>
  <c r="E1091" i="12"/>
  <c r="C1091" i="12" s="1"/>
  <c r="C1085" i="12"/>
  <c r="B1085" i="12" s="1"/>
  <c r="D920" i="12"/>
  <c r="I888" i="12"/>
  <c r="E888" i="12"/>
  <c r="D849" i="12"/>
  <c r="C847" i="12"/>
  <c r="B847" i="12" s="1"/>
  <c r="C399" i="12"/>
  <c r="E403" i="12"/>
  <c r="C403" i="12" s="1"/>
  <c r="D673" i="12"/>
  <c r="C673" i="12" s="1"/>
  <c r="C667" i="12"/>
  <c r="I611" i="12"/>
  <c r="E611" i="12"/>
  <c r="I55" i="12"/>
  <c r="E55" i="12"/>
  <c r="C295" i="12"/>
  <c r="B295" i="12" s="1"/>
  <c r="C242" i="12"/>
  <c r="E246" i="12"/>
  <c r="D437" i="12"/>
  <c r="C558" i="12"/>
  <c r="F593" i="12"/>
  <c r="D439" i="12"/>
  <c r="D454" i="12" s="1"/>
  <c r="D455" i="12" s="1"/>
  <c r="B399" i="12"/>
  <c r="B667" i="12"/>
  <c r="D1093" i="12"/>
  <c r="C845" i="12"/>
  <c r="B845" i="12" s="1"/>
  <c r="F993" i="12"/>
  <c r="F995" i="12" s="1"/>
  <c r="B242" i="12"/>
  <c r="C435" i="12"/>
  <c r="B435" i="12" s="1"/>
  <c r="C380" i="12"/>
  <c r="B380" i="12" s="1"/>
  <c r="E384" i="12"/>
  <c r="I1061" i="12"/>
  <c r="E1061" i="12"/>
  <c r="H11" i="9"/>
  <c r="F10" i="9"/>
  <c r="D993" i="12"/>
  <c r="D995" i="12" s="1"/>
  <c r="I167" i="12"/>
  <c r="E167" i="12"/>
  <c r="D595" i="12"/>
  <c r="F10" i="11"/>
  <c r="C989" i="12"/>
  <c r="B989" i="12" s="1"/>
  <c r="G4" i="8"/>
  <c r="D75" i="12"/>
  <c r="F5" i="11"/>
  <c r="D675" i="12"/>
  <c r="D696" i="12" s="1"/>
  <c r="D697" i="12" s="1"/>
  <c r="H52" i="9"/>
  <c r="F52" i="9" s="1"/>
  <c r="F51" i="9"/>
  <c r="I750" i="12"/>
  <c r="E750" i="12"/>
  <c r="C779" i="12"/>
  <c r="B779" i="12" s="1"/>
  <c r="C987" i="12"/>
  <c r="B987" i="12" s="1"/>
  <c r="E993" i="12"/>
  <c r="D5" i="12"/>
  <c r="F4" i="11"/>
  <c r="F781" i="12"/>
  <c r="F783" i="12" s="1"/>
  <c r="G8" i="4"/>
  <c r="C918" i="12"/>
  <c r="I716" i="12"/>
  <c r="E716" i="12"/>
  <c r="D851" i="12"/>
  <c r="M77" i="5"/>
  <c r="G14" i="4" s="1"/>
  <c r="G16" i="4"/>
  <c r="H37" i="9"/>
  <c r="F36" i="9"/>
  <c r="E781" i="12"/>
  <c r="C775" i="12"/>
  <c r="B775" i="12" s="1"/>
  <c r="F58" i="9"/>
  <c r="G6" i="8"/>
  <c r="C991" i="12"/>
  <c r="B991" i="12" s="1"/>
  <c r="I819" i="12"/>
  <c r="E819" i="12"/>
  <c r="I108" i="12"/>
  <c r="E108" i="12"/>
  <c r="C517" i="12"/>
  <c r="D698" i="12"/>
  <c r="F12" i="11"/>
  <c r="C961" i="12"/>
  <c r="B961" i="12" s="1"/>
  <c r="E965" i="12"/>
  <c r="D781" i="12"/>
  <c r="D783" i="12" s="1"/>
  <c r="G7" i="13" l="1"/>
  <c r="G6" i="13"/>
  <c r="H48" i="5"/>
  <c r="I48" i="5" s="1"/>
  <c r="H47" i="5"/>
  <c r="I47" i="5" s="1"/>
  <c r="H95" i="5"/>
  <c r="I95" i="5" s="1"/>
  <c r="H96" i="5"/>
  <c r="I96" i="5" s="1"/>
  <c r="H186" i="5"/>
  <c r="I186" i="5" s="1"/>
  <c r="H114" i="5"/>
  <c r="I114" i="5" s="1"/>
  <c r="H135" i="5"/>
  <c r="I135" i="5" s="1"/>
  <c r="H155" i="5"/>
  <c r="I155" i="5" s="1"/>
  <c r="H69" i="5"/>
  <c r="I69" i="5" s="1"/>
  <c r="H70" i="5"/>
  <c r="I70" i="5" s="1"/>
  <c r="H136" i="5"/>
  <c r="I136" i="5" s="1"/>
  <c r="I122" i="5" s="1"/>
  <c r="H170" i="5"/>
  <c r="I170" i="5" s="1"/>
  <c r="H185" i="5"/>
  <c r="I185" i="5" s="1"/>
  <c r="C593" i="12"/>
  <c r="F594" i="12"/>
  <c r="C437" i="12"/>
  <c r="I10" i="13"/>
  <c r="I11" i="13"/>
  <c r="L42" i="5"/>
  <c r="M42" i="5" s="1"/>
  <c r="M32" i="5" s="1"/>
  <c r="L64" i="5"/>
  <c r="M64" i="5" s="1"/>
  <c r="M54" i="5" s="1"/>
  <c r="G13" i="4" s="1"/>
  <c r="L112" i="5"/>
  <c r="M112" i="5" s="1"/>
  <c r="L179" i="5"/>
  <c r="M179" i="5" s="1"/>
  <c r="M171" i="5" s="1"/>
  <c r="C611" i="12"/>
  <c r="E615" i="12"/>
  <c r="C888" i="12"/>
  <c r="E892" i="12"/>
  <c r="D178" i="12"/>
  <c r="F7" i="11"/>
  <c r="H30" i="13"/>
  <c r="F30" i="13" s="1"/>
  <c r="H31" i="13"/>
  <c r="F31" i="13" s="1"/>
  <c r="I59" i="9"/>
  <c r="H38" i="9"/>
  <c r="F37" i="9"/>
  <c r="C750" i="12"/>
  <c r="B750" i="12" s="1"/>
  <c r="E754" i="12"/>
  <c r="B611" i="12"/>
  <c r="B888" i="12"/>
  <c r="C38" i="12"/>
  <c r="B38" i="12" s="1"/>
  <c r="E42" i="12"/>
  <c r="C781" i="12"/>
  <c r="G21" i="13"/>
  <c r="G20" i="13"/>
  <c r="H198" i="5"/>
  <c r="I198" i="5" s="1"/>
  <c r="J106" i="5"/>
  <c r="J168" i="5"/>
  <c r="H8" i="10"/>
  <c r="H9" i="10"/>
  <c r="J184" i="5"/>
  <c r="H5" i="10"/>
  <c r="H4" i="10"/>
  <c r="H12" i="9"/>
  <c r="F11" i="9"/>
  <c r="G35" i="4"/>
  <c r="M164" i="5"/>
  <c r="G29" i="4" s="1"/>
  <c r="C1008" i="12"/>
  <c r="E17" i="11"/>
  <c r="G5" i="13"/>
  <c r="G4" i="13"/>
  <c r="G43" i="9"/>
  <c r="H43" i="9" s="1"/>
  <c r="H44" i="9" s="1"/>
  <c r="H45" i="9" s="1"/>
  <c r="F8" i="8" s="1"/>
  <c r="C1061" i="12"/>
  <c r="E1065" i="12"/>
  <c r="C246" i="12"/>
  <c r="E303" i="12"/>
  <c r="C849" i="12"/>
  <c r="H51" i="5"/>
  <c r="I51" i="5" s="1"/>
  <c r="G9" i="13"/>
  <c r="H52" i="5"/>
  <c r="I52" i="5" s="1"/>
  <c r="G8" i="13"/>
  <c r="H74" i="5"/>
  <c r="I74" i="5" s="1"/>
  <c r="H140" i="5"/>
  <c r="I140" i="5" s="1"/>
  <c r="H99" i="5"/>
  <c r="I99" i="5" s="1"/>
  <c r="H100" i="5"/>
  <c r="I100" i="5" s="1"/>
  <c r="H116" i="5"/>
  <c r="I116" i="5" s="1"/>
  <c r="H73" i="5"/>
  <c r="I73" i="5" s="1"/>
  <c r="H139" i="5"/>
  <c r="I139" i="5" s="1"/>
  <c r="H159" i="5"/>
  <c r="I159" i="5" s="1"/>
  <c r="B108" i="12"/>
  <c r="E995" i="12"/>
  <c r="C965" i="12"/>
  <c r="G16" i="13"/>
  <c r="G17" i="13"/>
  <c r="H192" i="5"/>
  <c r="I192" i="5" s="1"/>
  <c r="B1061" i="12"/>
  <c r="C125" i="12"/>
  <c r="B125" i="12" s="1"/>
  <c r="E129" i="12"/>
  <c r="C129" i="12" s="1"/>
  <c r="C819" i="12"/>
  <c r="B819" i="12" s="1"/>
  <c r="E823" i="12"/>
  <c r="C108" i="12"/>
  <c r="E112" i="12"/>
  <c r="C716" i="12"/>
  <c r="B716" i="12" s="1"/>
  <c r="E720" i="12"/>
  <c r="C993" i="12"/>
  <c r="E439" i="12"/>
  <c r="C384" i="12"/>
  <c r="H30" i="9"/>
  <c r="F29" i="9"/>
  <c r="D629" i="12"/>
  <c r="F11" i="11"/>
  <c r="C167" i="12"/>
  <c r="B167" i="12" s="1"/>
  <c r="E171" i="12"/>
  <c r="D317" i="12"/>
  <c r="F8" i="11"/>
  <c r="C55" i="12"/>
  <c r="B55" i="12" s="1"/>
  <c r="E59" i="12"/>
  <c r="C59" i="12" s="1"/>
  <c r="C647" i="12"/>
  <c r="B647" i="12" s="1"/>
  <c r="E651" i="12"/>
  <c r="F60" i="9"/>
  <c r="H61" i="9"/>
  <c r="H62" i="9" s="1"/>
  <c r="F10" i="8" s="1"/>
  <c r="F317" i="12"/>
  <c r="H8" i="11"/>
  <c r="J94" i="5"/>
  <c r="H11" i="10"/>
  <c r="H10" i="10"/>
  <c r="E1093" i="12" l="1"/>
  <c r="C1065" i="12"/>
  <c r="K94" i="5"/>
  <c r="I12" i="13"/>
  <c r="I13" i="13"/>
  <c r="L110" i="5"/>
  <c r="M110" i="5" s="1"/>
  <c r="M104" i="5" s="1"/>
  <c r="G13" i="13"/>
  <c r="G12" i="13"/>
  <c r="H110" i="5"/>
  <c r="I110" i="5" s="1"/>
  <c r="E851" i="12"/>
  <c r="C823" i="12"/>
  <c r="E783" i="12"/>
  <c r="C754" i="12"/>
  <c r="M30" i="5"/>
  <c r="G11" i="4"/>
  <c r="F6" i="8"/>
  <c r="F30" i="9"/>
  <c r="E6" i="8" s="1"/>
  <c r="F1006" i="12"/>
  <c r="C995" i="12"/>
  <c r="C303" i="12"/>
  <c r="E315" i="12"/>
  <c r="K184" i="5"/>
  <c r="E920" i="12"/>
  <c r="C892" i="12"/>
  <c r="C651" i="12"/>
  <c r="E675" i="12"/>
  <c r="G18" i="13"/>
  <c r="G19" i="13"/>
  <c r="H200" i="5"/>
  <c r="I200" i="5" s="1"/>
  <c r="H196" i="5"/>
  <c r="I196" i="5" s="1"/>
  <c r="G16" i="10"/>
  <c r="G17" i="10"/>
  <c r="C171" i="12"/>
  <c r="E173" i="12"/>
  <c r="E454" i="12"/>
  <c r="C439" i="12"/>
  <c r="F7" i="8"/>
  <c r="F38" i="9"/>
  <c r="E7" i="8" s="1"/>
  <c r="E627" i="12"/>
  <c r="C615" i="12"/>
  <c r="I120" i="5"/>
  <c r="E21" i="4" s="1"/>
  <c r="E23" i="4"/>
  <c r="I79" i="5"/>
  <c r="C42" i="12"/>
  <c r="E61" i="12"/>
  <c r="E59" i="9"/>
  <c r="J59" i="9"/>
  <c r="I31" i="5"/>
  <c r="I190" i="5"/>
  <c r="E35" i="4" s="1"/>
  <c r="H194" i="5"/>
  <c r="I194" i="5" s="1"/>
  <c r="G13" i="10"/>
  <c r="G12" i="10"/>
  <c r="K168" i="5"/>
  <c r="G32" i="4"/>
  <c r="M163" i="5"/>
  <c r="I53" i="5"/>
  <c r="E12" i="4" s="1"/>
  <c r="C720" i="12"/>
  <c r="E730" i="12"/>
  <c r="C112" i="12"/>
  <c r="E131" i="12"/>
  <c r="F4" i="8"/>
  <c r="F12" i="9"/>
  <c r="E4" i="8" s="1"/>
  <c r="K106" i="5"/>
  <c r="F456" i="12"/>
  <c r="C594" i="12"/>
  <c r="H9" i="11"/>
  <c r="I145" i="5"/>
  <c r="G11" i="13"/>
  <c r="H42" i="5"/>
  <c r="I42" i="5" s="1"/>
  <c r="I32" i="5" s="1"/>
  <c r="H64" i="5"/>
  <c r="I64" i="5" s="1"/>
  <c r="I54" i="5" s="1"/>
  <c r="E13" i="4" s="1"/>
  <c r="G10" i="13"/>
  <c r="H112" i="5"/>
  <c r="I112" i="5" s="1"/>
  <c r="H179" i="5"/>
  <c r="I179" i="5" s="1"/>
  <c r="I171" i="5" s="1"/>
  <c r="I121" i="5"/>
  <c r="G28" i="4" l="1"/>
  <c r="M5" i="5"/>
  <c r="E176" i="12"/>
  <c r="C173" i="12"/>
  <c r="C783" i="12"/>
  <c r="F799" i="12"/>
  <c r="I29" i="5"/>
  <c r="E10" i="4"/>
  <c r="I30" i="5"/>
  <c r="E11" i="4"/>
  <c r="F59" i="9"/>
  <c r="J61" i="9"/>
  <c r="E696" i="12"/>
  <c r="C675" i="12"/>
  <c r="F1007" i="12"/>
  <c r="C1006" i="12"/>
  <c r="H184" i="5"/>
  <c r="G5" i="10"/>
  <c r="F5" i="10" s="1"/>
  <c r="G4" i="10"/>
  <c r="F4" i="10" s="1"/>
  <c r="C131" i="12"/>
  <c r="E142" i="12"/>
  <c r="E74" i="12"/>
  <c r="C61" i="12"/>
  <c r="C851" i="12"/>
  <c r="F868" i="12"/>
  <c r="E628" i="12"/>
  <c r="C627" i="12"/>
  <c r="I119" i="5"/>
  <c r="E20" i="4" s="1"/>
  <c r="E22" i="4"/>
  <c r="I14" i="13"/>
  <c r="F14" i="13" s="1"/>
  <c r="I15" i="13"/>
  <c r="F15" i="13" s="1"/>
  <c r="L226" i="5"/>
  <c r="H94" i="5"/>
  <c r="G10" i="10"/>
  <c r="F10" i="10" s="1"/>
  <c r="G11" i="10"/>
  <c r="F11" i="10" s="1"/>
  <c r="C920" i="12"/>
  <c r="F937" i="12"/>
  <c r="H106" i="5"/>
  <c r="H168" i="5"/>
  <c r="G8" i="10"/>
  <c r="F8" i="10" s="1"/>
  <c r="G9" i="10"/>
  <c r="F9" i="10" s="1"/>
  <c r="I143" i="5"/>
  <c r="E24" i="4" s="1"/>
  <c r="E26" i="4"/>
  <c r="E32" i="4"/>
  <c r="I163" i="5"/>
  <c r="E28" i="4" s="1"/>
  <c r="C456" i="12"/>
  <c r="E9" i="11"/>
  <c r="E731" i="12"/>
  <c r="C730" i="12"/>
  <c r="I77" i="5"/>
  <c r="E14" i="4" s="1"/>
  <c r="E16" i="4"/>
  <c r="G9" i="4"/>
  <c r="C454" i="12"/>
  <c r="E455" i="12"/>
  <c r="E316" i="12"/>
  <c r="C315" i="12"/>
  <c r="G19" i="4"/>
  <c r="M78" i="5"/>
  <c r="G15" i="4" s="1"/>
  <c r="C1093" i="12"/>
  <c r="F1110" i="12"/>
  <c r="F938" i="12" l="1"/>
  <c r="C937" i="12"/>
  <c r="E178" i="12"/>
  <c r="C316" i="12"/>
  <c r="G7" i="11"/>
  <c r="C142" i="12"/>
  <c r="E143" i="12"/>
  <c r="F939" i="12"/>
  <c r="H16" i="11"/>
  <c r="C1007" i="12"/>
  <c r="E8" i="4"/>
  <c r="I5" i="5"/>
  <c r="C74" i="12"/>
  <c r="E5" i="12"/>
  <c r="G4" i="11"/>
  <c r="E317" i="12"/>
  <c r="C455" i="12"/>
  <c r="G8" i="11"/>
  <c r="C731" i="12"/>
  <c r="E698" i="12"/>
  <c r="G12" i="11"/>
  <c r="E595" i="12"/>
  <c r="C628" i="12"/>
  <c r="G10" i="11"/>
  <c r="F800" i="12"/>
  <c r="C799" i="12"/>
  <c r="F1111" i="12"/>
  <c r="C1110" i="12"/>
  <c r="F869" i="12"/>
  <c r="C868" i="12"/>
  <c r="C696" i="12"/>
  <c r="E697" i="12"/>
  <c r="I94" i="5"/>
  <c r="F94" i="5"/>
  <c r="F226" i="5"/>
  <c r="M226" i="5"/>
  <c r="J62" i="9"/>
  <c r="F61" i="9"/>
  <c r="I168" i="5"/>
  <c r="F168" i="5"/>
  <c r="I184" i="5"/>
  <c r="F184" i="5"/>
  <c r="E177" i="12"/>
  <c r="C176" i="12"/>
  <c r="M263" i="5"/>
  <c r="G42" i="4" s="1"/>
  <c r="D12" i="3" s="1"/>
  <c r="G4" i="4"/>
  <c r="I106" i="5"/>
  <c r="F106" i="5"/>
  <c r="E9" i="4"/>
  <c r="I104" i="5" l="1"/>
  <c r="E19" i="4" s="1"/>
  <c r="G106" i="5"/>
  <c r="I166" i="5"/>
  <c r="G168" i="5"/>
  <c r="E629" i="12"/>
  <c r="C697" i="12"/>
  <c r="G11" i="11"/>
  <c r="H16" i="13"/>
  <c r="F16" i="13" s="1"/>
  <c r="H17" i="13"/>
  <c r="F17" i="13" s="1"/>
  <c r="J192" i="5"/>
  <c r="C595" i="12"/>
  <c r="E10" i="11"/>
  <c r="H5" i="13"/>
  <c r="F5" i="13" s="1"/>
  <c r="H4" i="13"/>
  <c r="F4" i="13" s="1"/>
  <c r="I43" i="9"/>
  <c r="C143" i="12"/>
  <c r="E75" i="12"/>
  <c r="G5" i="11"/>
  <c r="G10" i="8"/>
  <c r="F62" i="9"/>
  <c r="E10" i="8" s="1"/>
  <c r="G226" i="5"/>
  <c r="F801" i="12"/>
  <c r="H14" i="11"/>
  <c r="C869" i="12"/>
  <c r="H21" i="13"/>
  <c r="F21" i="13" s="1"/>
  <c r="H20" i="13"/>
  <c r="F20" i="13" s="1"/>
  <c r="J198" i="5"/>
  <c r="C5" i="12"/>
  <c r="E4" i="11"/>
  <c r="H11" i="13"/>
  <c r="F11" i="13" s="1"/>
  <c r="J42" i="5"/>
  <c r="H10" i="13"/>
  <c r="F10" i="13" s="1"/>
  <c r="J64" i="5"/>
  <c r="J179" i="5"/>
  <c r="J112" i="5"/>
  <c r="I263" i="5"/>
  <c r="E42" i="4" s="1"/>
  <c r="E4" i="4"/>
  <c r="C178" i="12"/>
  <c r="E7" i="11"/>
  <c r="F1043" i="12"/>
  <c r="H18" i="11"/>
  <c r="C1111" i="12"/>
  <c r="C698" i="12"/>
  <c r="E12" i="11"/>
  <c r="C177" i="12"/>
  <c r="E144" i="12"/>
  <c r="G6" i="11"/>
  <c r="I172" i="5"/>
  <c r="E33" i="4" s="1"/>
  <c r="G184" i="5"/>
  <c r="I80" i="5"/>
  <c r="G94" i="5"/>
  <c r="H12" i="13"/>
  <c r="F12" i="13" s="1"/>
  <c r="H13" i="13"/>
  <c r="F13" i="13" s="1"/>
  <c r="J110" i="5"/>
  <c r="C939" i="12"/>
  <c r="E16" i="11"/>
  <c r="F732" i="12"/>
  <c r="H13" i="11"/>
  <c r="C800" i="12"/>
  <c r="C317" i="12"/>
  <c r="E8" i="11"/>
  <c r="I28" i="13"/>
  <c r="F28" i="13" s="1"/>
  <c r="I29" i="13"/>
  <c r="F29" i="13" s="1"/>
  <c r="L240" i="5"/>
  <c r="F870" i="12"/>
  <c r="C938" i="12"/>
  <c r="H15" i="11"/>
  <c r="C870" i="12" l="1"/>
  <c r="E15" i="11"/>
  <c r="H9" i="13"/>
  <c r="F9" i="13" s="1"/>
  <c r="J51" i="5"/>
  <c r="H8" i="13"/>
  <c r="F8" i="13" s="1"/>
  <c r="J73" i="5"/>
  <c r="J139" i="5"/>
  <c r="J159" i="5"/>
  <c r="J74" i="5"/>
  <c r="J140" i="5"/>
  <c r="J52" i="5"/>
  <c r="J99" i="5"/>
  <c r="J100" i="5"/>
  <c r="J116" i="5"/>
  <c r="I25" i="13"/>
  <c r="F25" i="13" s="1"/>
  <c r="I24" i="13"/>
  <c r="F24" i="13" s="1"/>
  <c r="L234" i="5"/>
  <c r="F110" i="5"/>
  <c r="K110" i="5"/>
  <c r="C75" i="12"/>
  <c r="E5" i="11"/>
  <c r="C144" i="12"/>
  <c r="E6" i="11"/>
  <c r="I115" i="7"/>
  <c r="J115" i="7" s="1"/>
  <c r="J43" i="9"/>
  <c r="E43" i="9"/>
  <c r="H19" i="13"/>
  <c r="F19" i="13" s="1"/>
  <c r="H18" i="13"/>
  <c r="F18" i="13" s="1"/>
  <c r="J200" i="5"/>
  <c r="C629" i="12"/>
  <c r="E11" i="11"/>
  <c r="D9" i="3"/>
  <c r="D44" i="4"/>
  <c r="D48" i="4"/>
  <c r="J50" i="4"/>
  <c r="D46" i="4"/>
  <c r="J54" i="4"/>
  <c r="I26" i="13"/>
  <c r="F26" i="13" s="1"/>
  <c r="I27" i="13"/>
  <c r="F27" i="13" s="1"/>
  <c r="L236" i="5"/>
  <c r="C732" i="12"/>
  <c r="E13" i="11"/>
  <c r="I49" i="7"/>
  <c r="J49" i="7" s="1"/>
  <c r="F112" i="5"/>
  <c r="K112" i="5"/>
  <c r="G112" i="5" s="1"/>
  <c r="I58" i="7" s="1"/>
  <c r="J58" i="7" s="1"/>
  <c r="F198" i="5"/>
  <c r="K198" i="5"/>
  <c r="G198" i="5" s="1"/>
  <c r="I101" i="7" s="1"/>
  <c r="J101" i="7" s="1"/>
  <c r="I78" i="5"/>
  <c r="E17" i="4"/>
  <c r="E18" i="11"/>
  <c r="C1043" i="12"/>
  <c r="K179" i="5"/>
  <c r="F179" i="5"/>
  <c r="J196" i="5"/>
  <c r="H17" i="10"/>
  <c r="F17" i="10" s="1"/>
  <c r="H16" i="10"/>
  <c r="F16" i="10" s="1"/>
  <c r="I86" i="7"/>
  <c r="J86" i="7" s="1"/>
  <c r="I23" i="13"/>
  <c r="F23" i="13" s="1"/>
  <c r="I22" i="13"/>
  <c r="F22" i="13" s="1"/>
  <c r="L232" i="5"/>
  <c r="I94" i="7"/>
  <c r="J94" i="7" s="1"/>
  <c r="I33" i="13"/>
  <c r="F33" i="13" s="1"/>
  <c r="I32" i="13"/>
  <c r="F32" i="13" s="1"/>
  <c r="L238" i="5"/>
  <c r="F64" i="5"/>
  <c r="K64" i="5"/>
  <c r="I164" i="5"/>
  <c r="E29" i="4" s="1"/>
  <c r="E31" i="4"/>
  <c r="C801" i="12"/>
  <c r="E14" i="11"/>
  <c r="J48" i="5"/>
  <c r="H7" i="13"/>
  <c r="F7" i="13" s="1"/>
  <c r="H6" i="13"/>
  <c r="F6" i="13" s="1"/>
  <c r="J170" i="5"/>
  <c r="J47" i="5"/>
  <c r="J95" i="5"/>
  <c r="J96" i="5"/>
  <c r="J185" i="5"/>
  <c r="J186" i="5"/>
  <c r="J114" i="5"/>
  <c r="J135" i="5"/>
  <c r="J155" i="5"/>
  <c r="J69" i="5"/>
  <c r="J70" i="5"/>
  <c r="J136" i="5"/>
  <c r="F192" i="5"/>
  <c r="K192" i="5"/>
  <c r="I55" i="7"/>
  <c r="J55" i="7" s="1"/>
  <c r="M240" i="5"/>
  <c r="G240" i="5" s="1"/>
  <c r="I122" i="7" s="1"/>
  <c r="J122" i="7" s="1"/>
  <c r="F240" i="5"/>
  <c r="F42" i="5"/>
  <c r="K42" i="5"/>
  <c r="F135" i="5" l="1"/>
  <c r="K135" i="5"/>
  <c r="K69" i="5"/>
  <c r="F69" i="5"/>
  <c r="K47" i="5"/>
  <c r="F47" i="5"/>
  <c r="F155" i="5"/>
  <c r="K155" i="5"/>
  <c r="K170" i="5"/>
  <c r="F170" i="5"/>
  <c r="G64" i="5"/>
  <c r="G179" i="5"/>
  <c r="K159" i="5"/>
  <c r="G159" i="5" s="1"/>
  <c r="H82" i="7" s="1"/>
  <c r="J82" i="7" s="1"/>
  <c r="F159" i="5"/>
  <c r="K139" i="5"/>
  <c r="G139" i="5" s="1"/>
  <c r="H72" i="7" s="1"/>
  <c r="F139" i="5"/>
  <c r="F114" i="5"/>
  <c r="K114" i="5"/>
  <c r="G114" i="5" s="1"/>
  <c r="I59" i="7" s="1"/>
  <c r="J59" i="7" s="1"/>
  <c r="M238" i="5"/>
  <c r="G238" i="5" s="1"/>
  <c r="I121" i="7" s="1"/>
  <c r="J121" i="7" s="1"/>
  <c r="F238" i="5"/>
  <c r="D13" i="3"/>
  <c r="D32" i="6"/>
  <c r="F200" i="5"/>
  <c r="K200" i="5"/>
  <c r="G200" i="5" s="1"/>
  <c r="I102" i="7" s="1"/>
  <c r="J102" i="7" s="1"/>
  <c r="K116" i="5"/>
  <c r="G116" i="5" s="1"/>
  <c r="I60" i="7" s="1"/>
  <c r="J60" i="7" s="1"/>
  <c r="F116" i="5"/>
  <c r="K73" i="5"/>
  <c r="G73" i="5" s="1"/>
  <c r="H39" i="7" s="1"/>
  <c r="F73" i="5"/>
  <c r="G192" i="5"/>
  <c r="F186" i="5"/>
  <c r="K186" i="5"/>
  <c r="K48" i="5"/>
  <c r="G48" i="5" s="1"/>
  <c r="I26" i="7" s="1"/>
  <c r="F48" i="5"/>
  <c r="K100" i="5"/>
  <c r="G100" i="5" s="1"/>
  <c r="I52" i="7" s="1"/>
  <c r="J52" i="7" s="1"/>
  <c r="F100" i="5"/>
  <c r="E15" i="4"/>
  <c r="I6" i="5"/>
  <c r="F99" i="5"/>
  <c r="K99" i="5"/>
  <c r="G99" i="5" s="1"/>
  <c r="H52" i="7" s="1"/>
  <c r="F51" i="5"/>
  <c r="K51" i="5"/>
  <c r="G51" i="5" s="1"/>
  <c r="H28" i="7" s="1"/>
  <c r="M236" i="5"/>
  <c r="G236" i="5" s="1"/>
  <c r="I120" i="7" s="1"/>
  <c r="J120" i="7" s="1"/>
  <c r="F236" i="5"/>
  <c r="D14" i="3"/>
  <c r="D33" i="6"/>
  <c r="G110" i="5"/>
  <c r="K104" i="5"/>
  <c r="F19" i="4" s="1"/>
  <c r="K52" i="5"/>
  <c r="G52" i="5" s="1"/>
  <c r="I28" i="7" s="1"/>
  <c r="F52" i="5"/>
  <c r="F185" i="5"/>
  <c r="K185" i="5"/>
  <c r="G185" i="5" s="1"/>
  <c r="H95" i="7" s="1"/>
  <c r="G42" i="5"/>
  <c r="K32" i="5"/>
  <c r="K136" i="5"/>
  <c r="F136" i="5"/>
  <c r="F96" i="5"/>
  <c r="K96" i="5"/>
  <c r="K70" i="5"/>
  <c r="G70" i="5" s="1"/>
  <c r="I37" i="7" s="1"/>
  <c r="F70" i="5"/>
  <c r="K95" i="5"/>
  <c r="F95" i="5"/>
  <c r="K196" i="5"/>
  <c r="G196" i="5" s="1"/>
  <c r="I100" i="7" s="1"/>
  <c r="J100" i="7" s="1"/>
  <c r="F196" i="5"/>
  <c r="D10" i="3"/>
  <c r="D31" i="6"/>
  <c r="F43" i="9"/>
  <c r="J44" i="9"/>
  <c r="K140" i="5"/>
  <c r="G140" i="5" s="1"/>
  <c r="I72" i="7" s="1"/>
  <c r="J72" i="7" s="1"/>
  <c r="F140" i="5"/>
  <c r="M232" i="5"/>
  <c r="F232" i="5"/>
  <c r="D11" i="3"/>
  <c r="M234" i="5"/>
  <c r="G234" i="5" s="1"/>
  <c r="I119" i="7" s="1"/>
  <c r="J119" i="7" s="1"/>
  <c r="F234" i="5"/>
  <c r="K74" i="5"/>
  <c r="G74" i="5" s="1"/>
  <c r="I39" i="7" s="1"/>
  <c r="J39" i="7" s="1"/>
  <c r="F74" i="5"/>
  <c r="I264" i="5" l="1"/>
  <c r="E43" i="4" s="1"/>
  <c r="E5" i="4"/>
  <c r="I98" i="7"/>
  <c r="J98" i="7" s="1"/>
  <c r="K145" i="5"/>
  <c r="G155" i="5"/>
  <c r="I23" i="7"/>
  <c r="J23" i="7" s="1"/>
  <c r="G32" i="5"/>
  <c r="K171" i="5"/>
  <c r="J45" i="9"/>
  <c r="F44" i="9"/>
  <c r="H92" i="7"/>
  <c r="J92" i="7" s="1"/>
  <c r="G171" i="5"/>
  <c r="G47" i="5"/>
  <c r="K31" i="5"/>
  <c r="K54" i="5"/>
  <c r="F13" i="4" s="1"/>
  <c r="J28" i="7"/>
  <c r="I34" i="7"/>
  <c r="J34" i="7" s="1"/>
  <c r="G54" i="5"/>
  <c r="G69" i="5"/>
  <c r="K53" i="5"/>
  <c r="F12" i="4" s="1"/>
  <c r="K30" i="5"/>
  <c r="F11" i="4"/>
  <c r="G186" i="5"/>
  <c r="K172" i="5"/>
  <c r="F33" i="4" s="1"/>
  <c r="G135" i="5"/>
  <c r="K121" i="5"/>
  <c r="G95" i="5"/>
  <c r="K79" i="5"/>
  <c r="G96" i="5"/>
  <c r="K80" i="5"/>
  <c r="G232" i="5"/>
  <c r="M214" i="5"/>
  <c r="G136" i="5"/>
  <c r="K122" i="5"/>
  <c r="I57" i="7"/>
  <c r="J57" i="7" s="1"/>
  <c r="G104" i="5"/>
  <c r="G170" i="5"/>
  <c r="K166" i="5"/>
  <c r="H26" i="7" l="1"/>
  <c r="J26" i="7" s="1"/>
  <c r="G31" i="5"/>
  <c r="E14" i="6"/>
  <c r="G30" i="5"/>
  <c r="I18" i="7"/>
  <c r="D11" i="4"/>
  <c r="K77" i="5"/>
  <c r="F14" i="4" s="1"/>
  <c r="F16" i="4"/>
  <c r="H50" i="7"/>
  <c r="G79" i="5"/>
  <c r="H37" i="7"/>
  <c r="J37" i="7" s="1"/>
  <c r="G53" i="5"/>
  <c r="D25" i="6"/>
  <c r="H88" i="7"/>
  <c r="D32" i="4"/>
  <c r="G163" i="5"/>
  <c r="F9" i="4"/>
  <c r="E18" i="6"/>
  <c r="F18" i="6" s="1"/>
  <c r="I54" i="7"/>
  <c r="J54" i="7" s="1"/>
  <c r="D19" i="4"/>
  <c r="E15" i="6"/>
  <c r="I29" i="7"/>
  <c r="D13" i="4"/>
  <c r="H80" i="7"/>
  <c r="J80" i="7" s="1"/>
  <c r="G145" i="5"/>
  <c r="F31" i="4"/>
  <c r="I87" i="7"/>
  <c r="J87" i="7" s="1"/>
  <c r="G166" i="5"/>
  <c r="K119" i="5"/>
  <c r="F20" i="4" s="1"/>
  <c r="F22" i="4"/>
  <c r="I70" i="7"/>
  <c r="G122" i="5"/>
  <c r="H70" i="7"/>
  <c r="G121" i="5"/>
  <c r="K143" i="5"/>
  <c r="F24" i="4" s="1"/>
  <c r="F26" i="4"/>
  <c r="I50" i="7"/>
  <c r="J50" i="7" s="1"/>
  <c r="G80" i="5"/>
  <c r="K120" i="5"/>
  <c r="F21" i="4" s="1"/>
  <c r="F23" i="4"/>
  <c r="K29" i="5"/>
  <c r="F10" i="4"/>
  <c r="G39" i="4"/>
  <c r="M6" i="5"/>
  <c r="I118" i="7"/>
  <c r="J118" i="7" s="1"/>
  <c r="G214" i="5"/>
  <c r="I95" i="7"/>
  <c r="J95" i="7" s="1"/>
  <c r="G172" i="5"/>
  <c r="G8" i="8"/>
  <c r="F45" i="9"/>
  <c r="E8" i="8" s="1"/>
  <c r="K78" i="5"/>
  <c r="F15" i="4" s="1"/>
  <c r="F17" i="4"/>
  <c r="F32" i="4"/>
  <c r="K163" i="5"/>
  <c r="F28" i="4" s="1"/>
  <c r="E9" i="3"/>
  <c r="J55" i="4"/>
  <c r="D45" i="4"/>
  <c r="D47" i="4" s="1"/>
  <c r="D49" i="4"/>
  <c r="J51" i="4"/>
  <c r="E13" i="3" l="1"/>
  <c r="E32" i="6"/>
  <c r="F32" i="6" s="1"/>
  <c r="E28" i="6"/>
  <c r="F28" i="6" s="1"/>
  <c r="I109" i="7"/>
  <c r="J109" i="7" s="1"/>
  <c r="D39" i="4"/>
  <c r="E17" i="6"/>
  <c r="G78" i="5"/>
  <c r="I42" i="7"/>
  <c r="D17" i="4"/>
  <c r="D23" i="6"/>
  <c r="H84" i="7"/>
  <c r="D28" i="4"/>
  <c r="E25" i="6"/>
  <c r="F25" i="6" s="1"/>
  <c r="I88" i="7"/>
  <c r="J88" i="7" s="1"/>
  <c r="D33" i="4"/>
  <c r="M264" i="5"/>
  <c r="G43" i="4" s="1"/>
  <c r="E12" i="3" s="1"/>
  <c r="G5" i="4"/>
  <c r="E24" i="6"/>
  <c r="F24" i="6" s="1"/>
  <c r="I85" i="7"/>
  <c r="J85" i="7" s="1"/>
  <c r="D31" i="4"/>
  <c r="D20" i="6"/>
  <c r="G119" i="5"/>
  <c r="H63" i="7"/>
  <c r="D22" i="4"/>
  <c r="D15" i="6"/>
  <c r="F15" i="6" s="1"/>
  <c r="H29" i="7"/>
  <c r="J29" i="7" s="1"/>
  <c r="D12" i="4"/>
  <c r="E13" i="6"/>
  <c r="I17" i="7"/>
  <c r="D9" i="4"/>
  <c r="E14" i="3"/>
  <c r="E33" i="6"/>
  <c r="F33" i="6" s="1"/>
  <c r="E10" i="3"/>
  <c r="E31" i="6"/>
  <c r="F31" i="6" s="1"/>
  <c r="J194" i="5"/>
  <c r="H12" i="10"/>
  <c r="F12" i="10" s="1"/>
  <c r="H13" i="10"/>
  <c r="F13" i="10" s="1"/>
  <c r="F8" i="4"/>
  <c r="K5" i="5"/>
  <c r="E20" i="6"/>
  <c r="F20" i="6" s="1"/>
  <c r="G120" i="5"/>
  <c r="I63" i="7"/>
  <c r="J63" i="7" s="1"/>
  <c r="D23" i="4"/>
  <c r="D22" i="6"/>
  <c r="F22" i="6" s="1"/>
  <c r="G143" i="5"/>
  <c r="H75" i="7"/>
  <c r="J75" i="7" s="1"/>
  <c r="D26" i="4"/>
  <c r="D17" i="6"/>
  <c r="G77" i="5"/>
  <c r="H42" i="7"/>
  <c r="D16" i="4"/>
  <c r="D14" i="6"/>
  <c r="F14" i="6" s="1"/>
  <c r="G29" i="5"/>
  <c r="H18" i="7"/>
  <c r="J18" i="7" s="1"/>
  <c r="D10" i="4"/>
  <c r="F9" i="3"/>
  <c r="J70" i="7"/>
  <c r="E19" i="6" l="1"/>
  <c r="I62" i="7"/>
  <c r="D21" i="4"/>
  <c r="J42" i="7"/>
  <c r="E16" i="6"/>
  <c r="I41" i="7"/>
  <c r="J41" i="7" s="1"/>
  <c r="D15" i="4"/>
  <c r="D16" i="6"/>
  <c r="H41" i="7"/>
  <c r="D14" i="4"/>
  <c r="F10" i="3"/>
  <c r="F17" i="6"/>
  <c r="K263" i="5"/>
  <c r="F42" i="4" s="1"/>
  <c r="F4" i="4"/>
  <c r="F14" i="3"/>
  <c r="D13" i="6"/>
  <c r="H17" i="7"/>
  <c r="D8" i="4"/>
  <c r="G5" i="5"/>
  <c r="D19" i="6"/>
  <c r="H62" i="7"/>
  <c r="D20" i="4"/>
  <c r="F12" i="3"/>
  <c r="D21" i="6"/>
  <c r="F21" i="6" s="1"/>
  <c r="H74" i="7"/>
  <c r="J74" i="7" s="1"/>
  <c r="D24" i="4"/>
  <c r="J17" i="7"/>
  <c r="E11" i="3"/>
  <c r="K194" i="5"/>
  <c r="F194" i="5"/>
  <c r="F13" i="6"/>
  <c r="F13" i="3"/>
  <c r="F11" i="3" l="1"/>
  <c r="D11" i="6"/>
  <c r="G263" i="5"/>
  <c r="D42" i="4" s="1"/>
  <c r="H5" i="7"/>
  <c r="D4" i="4"/>
  <c r="F16" i="6"/>
  <c r="D5" i="3"/>
  <c r="D8" i="3" s="1"/>
  <c r="J56" i="4"/>
  <c r="D58" i="4"/>
  <c r="J62" i="7"/>
  <c r="G194" i="5"/>
  <c r="K190" i="5"/>
  <c r="F19" i="6"/>
  <c r="D30" i="6" l="1"/>
  <c r="D60" i="4"/>
  <c r="D64" i="4" s="1"/>
  <c r="J74" i="4"/>
  <c r="L74" i="4"/>
  <c r="D62" i="4"/>
  <c r="D74" i="4"/>
  <c r="D19" i="3"/>
  <c r="D38" i="6"/>
  <c r="F35" i="4"/>
  <c r="K164" i="5"/>
  <c r="I99" i="7"/>
  <c r="J99" i="7" s="1"/>
  <c r="G190" i="5"/>
  <c r="D41" i="6" l="1"/>
  <c r="D66" i="4"/>
  <c r="D68" i="4" s="1"/>
  <c r="E26" i="6"/>
  <c r="F26" i="6" s="1"/>
  <c r="I97" i="7"/>
  <c r="J97" i="7" s="1"/>
  <c r="D35" i="4"/>
  <c r="G164" i="5"/>
  <c r="D21" i="3"/>
  <c r="D40" i="6"/>
  <c r="D26" i="3"/>
  <c r="D46" i="6"/>
  <c r="D20" i="3"/>
  <c r="D22" i="3" s="1"/>
  <c r="D39" i="6"/>
  <c r="F29" i="4"/>
  <c r="K6" i="5"/>
  <c r="D43" i="6" l="1"/>
  <c r="J68" i="4"/>
  <c r="L68" i="4"/>
  <c r="K264" i="5"/>
  <c r="F43" i="4" s="1"/>
  <c r="F5" i="4"/>
  <c r="E23" i="6"/>
  <c r="F23" i="6" s="1"/>
  <c r="I84" i="7"/>
  <c r="J84" i="7" s="1"/>
  <c r="D29" i="4"/>
  <c r="G6" i="5"/>
  <c r="D23" i="3"/>
  <c r="D42" i="6"/>
  <c r="E5" i="3" l="1"/>
  <c r="J57" i="4"/>
  <c r="D57" i="4" s="1"/>
  <c r="D59" i="4"/>
  <c r="J70" i="4"/>
  <c r="E70" i="4" s="1"/>
  <c r="E11" i="6"/>
  <c r="F11" i="6" s="1"/>
  <c r="I5" i="7"/>
  <c r="J5" i="7" s="1"/>
  <c r="G264" i="5"/>
  <c r="D43" i="4" s="1"/>
  <c r="D5" i="4"/>
  <c r="J72" i="4" l="1"/>
  <c r="J76" i="4" s="1"/>
  <c r="I70" i="4" s="1"/>
  <c r="E19" i="3"/>
  <c r="E38" i="6"/>
  <c r="F38" i="6" s="1"/>
  <c r="E18" i="3"/>
  <c r="E37" i="6"/>
  <c r="F37" i="6" s="1"/>
  <c r="E30" i="6"/>
  <c r="F30" i="6" s="1"/>
  <c r="D65" i="4"/>
  <c r="D75" i="4"/>
  <c r="D61" i="4"/>
  <c r="J75" i="4"/>
  <c r="L75" i="4"/>
  <c r="D63" i="4"/>
  <c r="F5" i="3"/>
  <c r="E8" i="3"/>
  <c r="E26" i="3" l="1"/>
  <c r="E46" i="6"/>
  <c r="F46" i="6" s="1"/>
  <c r="E41" i="6"/>
  <c r="F41" i="6" s="1"/>
  <c r="D67" i="4"/>
  <c r="D69" i="4" s="1"/>
  <c r="E21" i="3"/>
  <c r="E40" i="6"/>
  <c r="F40" i="6" s="1"/>
  <c r="F18" i="3"/>
  <c r="F8" i="3"/>
  <c r="F19" i="3"/>
  <c r="E20" i="3"/>
  <c r="E39" i="6"/>
  <c r="F39" i="6" s="1"/>
  <c r="L70" i="4"/>
  <c r="L72" i="4" s="1"/>
  <c r="L76" i="4" s="1"/>
  <c r="K70" i="4" s="1"/>
  <c r="D70" i="4" s="1"/>
  <c r="D24" i="3" l="1"/>
  <c r="D44" i="6"/>
  <c r="D72" i="4"/>
  <c r="E43" i="6"/>
  <c r="F43" i="6" s="1"/>
  <c r="J69" i="4"/>
  <c r="L69" i="4"/>
  <c r="F21" i="3"/>
  <c r="F20" i="3"/>
  <c r="E23" i="3"/>
  <c r="E42" i="6"/>
  <c r="F42" i="6" s="1"/>
  <c r="E22" i="3"/>
  <c r="F26" i="3"/>
  <c r="F23" i="3" l="1"/>
  <c r="F22" i="3"/>
  <c r="J71" i="4"/>
  <c r="E71" i="4" s="1"/>
  <c r="D25" i="3"/>
  <c r="D45" i="6"/>
  <c r="D76" i="4"/>
  <c r="D27" i="3" l="1"/>
  <c r="D28" i="3" s="1"/>
  <c r="D47" i="6"/>
  <c r="F7" i="6" s="1"/>
  <c r="J73" i="4"/>
  <c r="J77" i="4" s="1"/>
  <c r="I71" i="4" s="1"/>
  <c r="L71" i="4" l="1"/>
  <c r="L73" i="4" s="1"/>
  <c r="L77" i="4" s="1"/>
  <c r="K71" i="4" s="1"/>
  <c r="D71" i="4" s="1"/>
  <c r="E24" i="3" l="1"/>
  <c r="E44" i="6"/>
  <c r="F44" i="6" s="1"/>
  <c r="D73" i="4"/>
  <c r="E25" i="3" l="1"/>
  <c r="E45" i="6"/>
  <c r="F45" i="6" s="1"/>
  <c r="D77" i="4"/>
  <c r="F24" i="3"/>
  <c r="E27" i="3" l="1"/>
  <c r="E47" i="6"/>
  <c r="F25" i="3"/>
  <c r="F8" i="6" l="1"/>
  <c r="F47" i="6"/>
  <c r="E28" i="3"/>
  <c r="F27" i="3"/>
  <c r="G27" i="3"/>
  <c r="G6" i="3" l="1"/>
  <c r="F28" i="3"/>
  <c r="G7" i="3"/>
  <c r="G15" i="3"/>
  <c r="G16" i="3"/>
  <c r="G17" i="3"/>
  <c r="G9" i="3"/>
  <c r="G14" i="3"/>
  <c r="G13" i="3"/>
  <c r="G10" i="3"/>
  <c r="G12" i="3"/>
  <c r="G11" i="3"/>
  <c r="G5" i="3"/>
  <c r="G18" i="3"/>
  <c r="G8" i="3"/>
  <c r="G19" i="3"/>
  <c r="G26" i="3"/>
  <c r="G20" i="3"/>
  <c r="G21" i="3"/>
  <c r="G23" i="3"/>
  <c r="G22" i="3"/>
  <c r="G24" i="3"/>
  <c r="G25" i="3"/>
</calcChain>
</file>

<file path=xl/comments1.xml><?xml version="1.0" encoding="utf-8"?>
<comments xmlns="http://schemas.openxmlformats.org/spreadsheetml/2006/main">
  <authors>
    <author/>
  </authors>
  <commentList>
    <comment ref="D4" authorId="0" shapeId="0">
      <text>
        <r>
          <rPr>
            <sz val="9"/>
            <color theme="1"/>
            <rFont val="굴림체"/>
            <family val="3"/>
            <charset val="129"/>
          </rPr>
          <t>해당 페이지 이동은 아래의 HyperLink(→) 셀을 클릭하세요!!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L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G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Y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L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J1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6.xml><?xml version="1.0" encoding="utf-8"?>
<comments xmlns="http://schemas.openxmlformats.org/spreadsheetml/2006/main">
  <authors>
    <author/>
  </authors>
  <commentList>
    <comment ref="N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Z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7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8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9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  <comment ref="B8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0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1.xml><?xml version="1.0" encoding="utf-8"?>
<comments xmlns="http://schemas.openxmlformats.org/spreadsheetml/2006/main">
  <authors>
    <author/>
  </authors>
  <commentList>
    <comment ref="R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S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2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3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4.xml><?xml version="1.0" encoding="utf-8"?>
<comments xmlns="http://schemas.openxmlformats.org/spreadsheetml/2006/main">
  <authors>
    <author/>
  </authors>
  <commentList>
    <comment ref="L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J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Q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  <comment ref="I70" authorId="0" shapeId="0">
      <text>
        <r>
          <rPr>
            <sz val="9"/>
            <color theme="1"/>
            <rFont val="굴림체"/>
            <family val="3"/>
            <charset val="129"/>
          </rPr>
          <t>이윤보정액 : 총공사비 금액이 다를경우 임의조정(±α) 하십시요</t>
        </r>
      </text>
    </comment>
    <comment ref="K70" authorId="0" shapeId="0">
      <text>
        <r>
          <rPr>
            <sz val="9"/>
            <color theme="1"/>
            <rFont val="굴림체"/>
            <family val="3"/>
            <charset val="129"/>
          </rPr>
          <t>I열의 이윤보정시
 1. K열의 계삭식 삭제
 2. I열의 값 조정(±α)</t>
        </r>
      </text>
    </comment>
    <comment ref="I71" authorId="0" shapeId="0">
      <text>
        <r>
          <rPr>
            <sz val="9"/>
            <color theme="1"/>
            <rFont val="굴림체"/>
            <family val="3"/>
            <charset val="129"/>
          </rPr>
          <t>이윤보정액 : 총공사비 금액이 다를경우 임의조정(±α) 하십시요</t>
        </r>
      </text>
    </comment>
    <comment ref="K71" authorId="0" shapeId="0">
      <text>
        <r>
          <rPr>
            <sz val="9"/>
            <color theme="1"/>
            <rFont val="굴림체"/>
            <family val="3"/>
            <charset val="129"/>
          </rPr>
          <t>I열의 이윤보정시
 1. K열의 계삭식 삭제
 2. I열의 값 조정(±α)</t>
        </r>
      </text>
    </comment>
    <comment ref="I74" authorId="0" shapeId="0">
      <text>
        <r>
          <rPr>
            <sz val="9"/>
            <color theme="1"/>
            <rFont val="굴림체"/>
            <family val="3"/>
            <charset val="129"/>
          </rPr>
          <t>부가세보정 : 총공사비 금액에 1원 차이 발생할 경우 부가세 조정(+1) 하십시요</t>
        </r>
      </text>
    </comment>
    <comment ref="I75" authorId="0" shapeId="0">
      <text>
        <r>
          <rPr>
            <sz val="9"/>
            <color theme="1"/>
            <rFont val="굴림체"/>
            <family val="3"/>
            <charset val="129"/>
          </rPr>
          <t>부가세보정 : 총공사비 금액에 1원 차이 발생할 경우 부가세 조정(+1) 하십시요</t>
        </r>
      </text>
    </comment>
    <comment ref="D76" authorId="0" shapeId="0">
      <text>
        <r>
          <rPr>
            <sz val="9"/>
            <color theme="1"/>
            <rFont val="굴림체"/>
            <family val="3"/>
            <charset val="129"/>
          </rPr>
          <t>총공사비 금액이 절사기준과 다를경우 회색으로 표기됩니다.</t>
        </r>
      </text>
    </comment>
    <comment ref="D77" authorId="0" shapeId="0">
      <text>
        <r>
          <rPr>
            <sz val="9"/>
            <color theme="1"/>
            <rFont val="굴림체"/>
            <family val="3"/>
            <charset val="129"/>
          </rPr>
          <t>총공사비 금액이 절사기준과 다를경우 회색으로 표기됩니다.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O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AC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H10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L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N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Z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sharedStrings.xml><?xml version="1.0" encoding="utf-8"?>
<sst xmlns="http://schemas.openxmlformats.org/spreadsheetml/2006/main" count="6154" uniqueCount="1489">
  <si>
    <t>일위대가 목록표</t>
  </si>
  <si>
    <t>공사명 : 2025년 계류보전사업(기번1/영덕.병곡.영.산214)</t>
  </si>
  <si>
    <t>호표</t>
  </si>
  <si>
    <t>명      칭</t>
  </si>
  <si>
    <t>규      격</t>
  </si>
  <si>
    <t>단위</t>
  </si>
  <si>
    <t>합  계</t>
  </si>
  <si>
    <t>노 무 비</t>
  </si>
  <si>
    <t>재 료 비</t>
  </si>
  <si>
    <t>경  비</t>
  </si>
  <si>
    <t>비  고</t>
  </si>
  <si>
    <t>제   5호표</t>
  </si>
  <si>
    <t>돌붙임</t>
  </si>
  <si>
    <t>메붙임,L3=55cm이하</t>
  </si>
  <si>
    <t>m2</t>
  </si>
  <si>
    <t xml:space="preserve"> 제    6 호표</t>
  </si>
  <si>
    <t>제   6호표</t>
  </si>
  <si>
    <t>돌쌓기(켜쌓기)</t>
  </si>
  <si>
    <t>메쌓기,L3=55cm이하</t>
  </si>
  <si>
    <t xml:space="preserve"> 제    7 호표</t>
  </si>
  <si>
    <t>제   7호표</t>
  </si>
  <si>
    <t>메붙임,L3=35cm이하</t>
  </si>
  <si>
    <t xml:space="preserve"> 제    8 호표</t>
  </si>
  <si>
    <t>제   8호표</t>
  </si>
  <si>
    <t>찰붙임,L3=35cm이하</t>
  </si>
  <si>
    <t xml:space="preserve"> 제    9 호표</t>
  </si>
  <si>
    <t>제   9호표</t>
  </si>
  <si>
    <t>돌묻이기</t>
  </si>
  <si>
    <t>메쌓기,L3=35cm이하</t>
  </si>
  <si>
    <t>m</t>
  </si>
  <si>
    <t xml:space="preserve"> 제   10 호표</t>
  </si>
  <si>
    <t>제  10호표</t>
  </si>
  <si>
    <t>돌쌓기</t>
  </si>
  <si>
    <t xml:space="preserve"> 제   11 호표</t>
  </si>
  <si>
    <t>제  11호표</t>
  </si>
  <si>
    <t>자생수종이식</t>
  </si>
  <si>
    <t>관목4주이식</t>
  </si>
  <si>
    <t>㎡</t>
  </si>
  <si>
    <t xml:space="preserve"> 제   12 호표</t>
  </si>
  <si>
    <t>제  12호표</t>
  </si>
  <si>
    <t>굴취(관목)</t>
  </si>
  <si>
    <t>H=0.3~0.7m</t>
  </si>
  <si>
    <t>주</t>
  </si>
  <si>
    <t xml:space="preserve"> 제   13 호표</t>
  </si>
  <si>
    <t>제  13호표</t>
  </si>
  <si>
    <t>관목식재(단식)</t>
  </si>
  <si>
    <t>일위대가 수량,금액 집계표</t>
  </si>
  <si>
    <t>STmate</t>
  </si>
  <si>
    <t>단가산출근거 목록표</t>
  </si>
  <si>
    <t>제   2호표</t>
  </si>
  <si>
    <t>고임돌채집</t>
  </si>
  <si>
    <t>기계</t>
  </si>
  <si>
    <t>m3</t>
  </si>
  <si>
    <t>D01425</t>
  </si>
  <si>
    <t>뒤채움 소형장비  / m3</t>
  </si>
  <si>
    <t>제  14호표</t>
  </si>
  <si>
    <t>뒤채움</t>
  </si>
  <si>
    <t>소형장비</t>
  </si>
  <si>
    <t>돌채집 L3=45cm내외  / m2</t>
  </si>
  <si>
    <t>제  15호표</t>
  </si>
  <si>
    <t>돌채집</t>
  </si>
  <si>
    <t>L3=45cm내외</t>
  </si>
  <si>
    <t>돌채집 L3=35cm내외  / m2</t>
  </si>
  <si>
    <t>제  25호표</t>
  </si>
  <si>
    <t>L3=35cm내외</t>
  </si>
  <si>
    <t>혼합석운반 L=27.8km  / m3</t>
  </si>
  <si>
    <t>제  26호표</t>
  </si>
  <si>
    <t>혼합석운반</t>
  </si>
  <si>
    <t>L=27.8km</t>
  </si>
  <si>
    <t>노면정리   / m2</t>
  </si>
  <si>
    <t>제  27호표</t>
  </si>
  <si>
    <t>노면정리</t>
  </si>
  <si>
    <t>혼합석부설 및 다짐 굴삭기+진동롤러(10톤)  / m3</t>
  </si>
  <si>
    <t>제  28호표</t>
  </si>
  <si>
    <t>혼합석부설 및 다짐</t>
  </si>
  <si>
    <t>굴삭기+진동롤러(10톤)</t>
  </si>
  <si>
    <t>노면정비   / m</t>
  </si>
  <si>
    <t>제  29호표</t>
  </si>
  <si>
    <t>노면정비</t>
  </si>
  <si>
    <t>모래소운반 소운반 4.5ton(L=0.10km)  / m3</t>
  </si>
  <si>
    <t>제  30호표</t>
  </si>
  <si>
    <t>모래소운반</t>
  </si>
  <si>
    <t>소운반 4.5ton(L=0.10km)</t>
  </si>
  <si>
    <t>자갈소운반 소운반 4.5ton(L=0.10km)  / m3</t>
  </si>
  <si>
    <t>제  31호표</t>
  </si>
  <si>
    <t>자갈소운반</t>
  </si>
  <si>
    <t>막자갈소운반 소운반 4.5ton(L=0.10km)  / m3</t>
  </si>
  <si>
    <t>제  32호표</t>
  </si>
  <si>
    <t>막자갈소운반</t>
  </si>
  <si>
    <t>돌소운반 소운반 4.5ton(L=0.10km)  / ton</t>
  </si>
  <si>
    <t>제  33호표</t>
  </si>
  <si>
    <t>돌소운반</t>
  </si>
  <si>
    <t>ton</t>
  </si>
  <si>
    <t>인력운반 기타  / ton</t>
  </si>
  <si>
    <t>제  34호표</t>
  </si>
  <si>
    <t>인력운반</t>
  </si>
  <si>
    <t>기타</t>
  </si>
  <si>
    <t>혼합석소운반 소운반 4.5ton(L=0.10km)  / m3</t>
  </si>
  <si>
    <t>제  35호표</t>
  </si>
  <si>
    <t>혼합석소운반</t>
  </si>
  <si>
    <t>수량부분 값 수정은 아래의 연두색 부분에</t>
  </si>
  <si>
    <t>중기 목록표</t>
  </si>
  <si>
    <t>1</t>
  </si>
  <si>
    <t>굴착기(무한궤도)</t>
  </si>
  <si>
    <t>0.2㎥</t>
  </si>
  <si>
    <t>시간</t>
  </si>
  <si>
    <t>제 2 호표</t>
  </si>
  <si>
    <t>2</t>
  </si>
  <si>
    <t>0.7㎥</t>
  </si>
  <si>
    <t>제 3 호표</t>
  </si>
  <si>
    <t>3</t>
  </si>
  <si>
    <t>0.2㎥,(암석)</t>
  </si>
  <si>
    <t>제 4 호표</t>
  </si>
  <si>
    <t>4</t>
  </si>
  <si>
    <t>0.7㎥,(암석)</t>
  </si>
  <si>
    <t>제 5 호표</t>
  </si>
  <si>
    <t>5</t>
  </si>
  <si>
    <t>덤프트럭</t>
  </si>
  <si>
    <t>4.5톤</t>
  </si>
  <si>
    <t>제 6 호표</t>
  </si>
  <si>
    <t>6</t>
  </si>
  <si>
    <t>15톤</t>
  </si>
  <si>
    <t>제 7 호표</t>
  </si>
  <si>
    <t>7</t>
  </si>
  <si>
    <t>15톤,(암석)</t>
  </si>
  <si>
    <t>제 8 호표</t>
  </si>
  <si>
    <t>8</t>
  </si>
  <si>
    <t>덤프트럭 자동덮개시설</t>
  </si>
  <si>
    <t>15톤용</t>
  </si>
  <si>
    <t>제 9 호표</t>
  </si>
  <si>
    <t>9</t>
  </si>
  <si>
    <t>24톤용</t>
  </si>
  <si>
    <t>제 10 호표</t>
  </si>
  <si>
    <t>10</t>
  </si>
  <si>
    <t>24톤</t>
  </si>
  <si>
    <t>제 11 호표</t>
  </si>
  <si>
    <t>11</t>
  </si>
  <si>
    <t>굴착기(타이어)</t>
  </si>
  <si>
    <t>0.6㎥,(부착용집게)</t>
  </si>
  <si>
    <t>제 12 호표</t>
  </si>
  <si>
    <t>12</t>
  </si>
  <si>
    <t>굴삭기(0.7m3)</t>
  </si>
  <si>
    <t>할증율:1.20</t>
  </si>
  <si>
    <t>제 13 호표</t>
  </si>
  <si>
    <t>13</t>
  </si>
  <si>
    <t>덤프트럭(2.5ton)</t>
  </si>
  <si>
    <t>할증율:1.25</t>
  </si>
  <si>
    <t>제 14 호표</t>
  </si>
  <si>
    <t>14</t>
  </si>
  <si>
    <t>4.5톤,(암석)</t>
  </si>
  <si>
    <t>제 15 호표</t>
  </si>
  <si>
    <t>15</t>
  </si>
  <si>
    <t>진동롤러(자주식)</t>
  </si>
  <si>
    <t>10톤</t>
  </si>
  <si>
    <t>재료비 수량,금액 집계표</t>
  </si>
  <si>
    <t>재료비 목록표</t>
  </si>
  <si>
    <t>단   가</t>
  </si>
  <si>
    <t>경유</t>
  </si>
  <si>
    <t>저유황</t>
  </si>
  <si>
    <t>L</t>
  </si>
  <si>
    <t>_x0007_`COD|M00758_x0005_`QTY1|1_x0005_`BQC|_x0005_`EQC|_x0005_`JDC|1510150520282163_x0005_`WQC|_x0005_`EDT|2025.01.07_x0005_`</t>
  </si>
  <si>
    <t>잡품</t>
  </si>
  <si>
    <t>주연료의 %</t>
  </si>
  <si>
    <t>%</t>
  </si>
  <si>
    <t>_x0007_`COD|M00770_x0005_`QTY1|1_x0005_`UNT|M%_x0005_`BQC|_x0005_`EQC|_x0005_`JDC|_x0005_`WQC|_x0005_`EDT|_x0005_`</t>
  </si>
  <si>
    <t>녹화끈</t>
  </si>
  <si>
    <t>6mm×200m</t>
  </si>
  <si>
    <t>M</t>
  </si>
  <si>
    <t>_x0007_`COD|M00775_x0005_`QTY1|1_x0005_`BQC|_x0005_`EQC|_x0005_`JDC|_x0005_`WQC|_x0005_`EDT|_x0005_`</t>
  </si>
  <si>
    <t>녹화마대</t>
  </si>
  <si>
    <t>15cm×20m</t>
  </si>
  <si>
    <t>_x0007_`COD|M00776_x0005_`QTY1|1_x0005_`BQC|_x0005_`EQC|_x0005_`JDC|_x0005_`WQC|_x0005_`EDT|_x0005_`</t>
  </si>
  <si>
    <t>발근촉진제(루트테크)</t>
  </si>
  <si>
    <t>1ℓ/병</t>
  </si>
  <si>
    <t>g</t>
  </si>
  <si>
    <t>_x0007_`COD|M00777_x0005_`QTY1|1_x0005_`BQC|_x0005_`EQC|_x0005_`JDC|_x0005_`WQC|_x0005_`EDT|_x0005_`</t>
  </si>
  <si>
    <t>살균제(톱신페스트)</t>
  </si>
  <si>
    <t>1kg/포</t>
  </si>
  <si>
    <t>_x0007_`COD|M00778_x0005_`QTY1|1_x0005_`BQC|_x0005_`EQC|_x0005_`JDC|_x0005_`WQC|_x0005_`EDT|_x0005_`</t>
  </si>
  <si>
    <t>혼합석</t>
  </si>
  <si>
    <t>상차가(영덕)</t>
  </si>
  <si>
    <t>M3</t>
  </si>
  <si>
    <t>_x0007_`COD|M00779_x0005_`QTY1|1_x0005_`BQC|25년 01월_x0005_`EQC|_x0005_`JDC|_x0005_`WQC|_x0005_`EDT|_x0005_`</t>
  </si>
  <si>
    <t>노무비 목록표</t>
  </si>
  <si>
    <t>보통인부</t>
  </si>
  <si>
    <t>인</t>
  </si>
  <si>
    <t>_x0007_`COD|L00002_x0005_`QTY1|1_x0005_`BQC|01000000075_x0005_`EQC|01000001002_x0005_`JDC|L001010101000002_x0005_`WQC|_x0005_`EDT|2025.상_x0005_`</t>
  </si>
  <si>
    <t>특별인부</t>
  </si>
  <si>
    <t>_x0007_`COD|L00003_x0005_`QTY1|1_x0005_`BQC|01000000074_x0005_`EQC|01000001003_x0005_`JDC|L001010101000003_x0005_`WQC|_x0005_`EDT|2025.상_x0005_`</t>
  </si>
  <si>
    <t>석공</t>
  </si>
  <si>
    <t>_x0007_`COD|L00019_x0005_`QTY1|1_x0005_`BQC|01000000011_x0005_`EQC|01000001033_x0005_`JDC|L001010101000033_x0005_`WQC|_x0005_`EDT|2025.상_x0005_`</t>
  </si>
  <si>
    <t>조경공</t>
  </si>
  <si>
    <t>_x0007_`COD|L00021_x0005_`QTY1|1_x0005_`BQC|01000000044_x0005_`EQC|01000001038_x0005_`JDC|L001010101000038_x0005_`WQC|_x0005_`EDT|2025.상_x0005_`</t>
  </si>
  <si>
    <t>건설기계운전사</t>
  </si>
  <si>
    <t>_x0007_`COD|L00024_x0005_`QTY1|1_x0005_`BQC|01000000076_x0005_`EQC|01000001048_x0005_`JDC|L001010101000048_x0005_`WQC|_x0005_`EDT|2025.상_x0005_`</t>
  </si>
  <si>
    <t>화물차운전사</t>
  </si>
  <si>
    <t>_x0007_`COD|L00026_x0005_`QTY1|1_x0005_`BQC|01000000078_x0005_`EQC|01000001049_x0005_`JDC|L001010101000049_x0005_`WQC|_x0005_`EDT|2025.상_x0005_`</t>
  </si>
  <si>
    <t>경비 목록표</t>
  </si>
  <si>
    <t>천원</t>
  </si>
  <si>
    <t>_x0007_`COD|S00003_x0005_`QTY1|1_x0005_`BQC|_x0005_`EQC|02020100200_x0005_`JDC|0000020100200000_x0005_`WQC|_x0005_`EDT|2025_x0005_`</t>
  </si>
  <si>
    <t>_x0007_`COD|S00005_x0005_`QTY1|1_x0005_`BQC|_x0005_`EQC|02020100700_x0005_`JDC|0000020100700000_x0005_`WQC|_x0005_`EDT|2025_x0005_`</t>
  </si>
  <si>
    <t>_x0007_`COD|S00017_x0005_`QTY1|1_x0005_`BQC|_x0005_`EQC|02060200450_x0005_`JDC|0000060200450000_x0005_`WQC|_x0005_`EDT|2025_x0005_`</t>
  </si>
  <si>
    <t>_x0007_`COD|S00021_x0005_`QTY1|1_x0005_`BQC|_x0005_`EQC|02060201500_x0005_`JDC|0000060201500000_x0005_`WQC|_x0005_`EDT|2025_x0005_`</t>
  </si>
  <si>
    <t>_x0007_`COD|S00022_x0005_`QTY1|1_x0005_`BQC|_x0005_`EQC|02061001500_x0005_`JDC|0000061001500000_x0005_`WQC|_x0005_`EDT|2025_x0005_`</t>
  </si>
  <si>
    <t>부착용 집게</t>
  </si>
  <si>
    <t>0.6~0.8㎥</t>
  </si>
  <si>
    <t>_x0007_`COD|S00138_x0005_`QTY1|1_x0005_`BQC|_x0005_`EQC|02720600700_x0005_`JDC|0000720600700000_x0005_`WQC|_x0005_`EDT|2025_x0005_`</t>
  </si>
  <si>
    <t>_x0007_`COD|S00145_x0005_`QTY1|1_x0005_`BQC|_x0005_`EQC|02060202400_x0005_`JDC|0000060202400000_x0005_`WQC|_x0005_`EDT|2025_x0005_`</t>
  </si>
  <si>
    <t>0.6㎥</t>
  </si>
  <si>
    <t>_x0007_`COD|S00151_x0005_`QTY1|1_x0005_`BQC|_x0005_`EQC|02021100600_x0005_`JDC|0000021100600000_x0005_`WQC|_x0005_`EDT|2025_x0005_`</t>
  </si>
  <si>
    <t>_x0007_`COD|S00165_x0005_`QTY1|1_x0005_`BQC|11하' 신규_x0005_`EQC|02061002400_x0005_`JDC|0000061002400000_x0005_`WQC|_x0005_`EDT|2025_x0005_`</t>
  </si>
  <si>
    <t>_x0007_`COD|S00169_x0005_`QTY1|1_x0005_`BQC|_x0005_`EQC|02130601000_x0005_`JDC|0000130601000000_x0005_`WQC|_x0005_`EDT|2025_x0005_`</t>
  </si>
  <si>
    <t>2.5톤</t>
  </si>
  <si>
    <t>_x0007_`COD|S00170_x0005_`QTY1|1_x0005_`BQC|_x0005_`EQC|02060200250_x0005_`JDC|0000060200250000_x0005_`WQC|_x0005_`EDT|2025_x0005_`</t>
  </si>
  <si>
    <t>일식/견적 목록표</t>
  </si>
  <si>
    <t>켜쌓기적용</t>
  </si>
  <si>
    <t>전체금액의 %</t>
  </si>
  <si>
    <t>_x0007_`COD|W00005_x0005_`QTY1|1_x0005_`UNT|T%_x0005_`BQC|_x0005_`EQC|_x0005_`JDC|_x0005_`WQC|_x0005_`EDT|_x0005_`ATP|0_x0005_`</t>
  </si>
  <si>
    <t>1. 환  율</t>
  </si>
  <si>
    <t>100,000$ 미만</t>
  </si>
  <si>
    <t>100,000$ 이상</t>
  </si>
  <si>
    <t>유로화(€)</t>
  </si>
  <si>
    <t>엔화(100￥)</t>
  </si>
  <si>
    <t>2. 인 건 비</t>
  </si>
  <si>
    <t>*  1/8*16/12*25/20  =</t>
  </si>
  <si>
    <t>L00024</t>
  </si>
  <si>
    <t>L00026</t>
  </si>
  <si>
    <t>일반기계운전사</t>
  </si>
  <si>
    <t>L00027</t>
  </si>
  <si>
    <t>3. 단가 및 재료비</t>
  </si>
  <si>
    <t>NO</t>
  </si>
  <si>
    <t>단 가 명</t>
  </si>
  <si>
    <t>규    격</t>
  </si>
  <si>
    <t>가  격</t>
  </si>
  <si>
    <t>M00758</t>
  </si>
  <si>
    <t>자재단가 대비표</t>
  </si>
  <si>
    <t>조달가격</t>
  </si>
  <si>
    <t>페이지</t>
  </si>
  <si>
    <t>물가정보</t>
  </si>
  <si>
    <t>물가자료</t>
  </si>
  <si>
    <t>적산정보</t>
  </si>
  <si>
    <t>견적단가</t>
  </si>
  <si>
    <t>적용 단가</t>
  </si>
  <si>
    <t>이전단가</t>
  </si>
  <si>
    <t>최소단가</t>
  </si>
  <si>
    <t>위치</t>
  </si>
  <si>
    <t>물가지명</t>
  </si>
  <si>
    <t>별명</t>
  </si>
  <si>
    <t>조달</t>
  </si>
  <si>
    <t>물정</t>
  </si>
  <si>
    <t>물자</t>
  </si>
  <si>
    <t>적산</t>
  </si>
  <si>
    <t>견적</t>
  </si>
  <si>
    <t>설 계 변 경 내 역 서</t>
  </si>
  <si>
    <t>공   종</t>
  </si>
  <si>
    <t>수   량</t>
  </si>
  <si>
    <t>금    액</t>
  </si>
  <si>
    <t>_x0007_`JTYP|0_x0005_`ACTL|F_x0005_`</t>
  </si>
  <si>
    <t>E10_1</t>
  </si>
  <si>
    <t>총 괄 내 역 서</t>
  </si>
  <si>
    <t>E10_2</t>
  </si>
  <si>
    <t>2025년 계류보전사업(기번1)</t>
  </si>
  <si>
    <t>영덕.병곡.영.산214</t>
  </si>
  <si>
    <t>CMT_1</t>
  </si>
  <si>
    <t>E4_1</t>
  </si>
  <si>
    <t>_x0007_`COD|_x0005_`QTY1|1_x0005_`EXI|1_x0005_`ITT|0_x0005_`</t>
  </si>
  <si>
    <t>CMT_2</t>
  </si>
  <si>
    <t>E4_2</t>
  </si>
  <si>
    <t>_x0007_`COD|_x0005_`QTY2|2_x0005_`</t>
  </si>
  <si>
    <t>_x0007_`DTP|201_x0005_`QTY1|1_x0005_`BDC|_x0005_`SRE|LA_x0005_`</t>
  </si>
  <si>
    <t xml:space="preserve"> 1. 간접노무비</t>
  </si>
  <si>
    <t>순공사비계</t>
  </si>
  <si>
    <t xml:space="preserve">    가.</t>
  </si>
  <si>
    <t>1.</t>
  </si>
  <si>
    <t>토공사</t>
  </si>
  <si>
    <t>D01416_1</t>
  </si>
  <si>
    <t>E3_1</t>
  </si>
  <si>
    <t>_x0007_`COD|D01416_x0005_`QTY1|1_x0005_`EXI|0_x0005_`IPR|0_x0005_`BLA|F_x0005_`</t>
  </si>
  <si>
    <t>D01416_2</t>
  </si>
  <si>
    <t>E3_2</t>
  </si>
  <si>
    <t>_x0007_`COD|D01416_x0005_`QTY2|2_x0005_`</t>
  </si>
  <si>
    <t>토사절취</t>
  </si>
  <si>
    <t>B/H 0.7m3</t>
  </si>
  <si>
    <t>산근   4호표</t>
  </si>
  <si>
    <t>D01417_1</t>
  </si>
  <si>
    <t>_x0007_`COD|D01417_x0005_`QTY1|1_x0005_`EXI|0_x0005_`IPR|0_x0005_`BLA|F_x0005_`</t>
  </si>
  <si>
    <t>D01417_2</t>
  </si>
  <si>
    <t>_x0007_`COD|D01417_x0005_`QTY2|2_x0005_`</t>
  </si>
  <si>
    <t>암절취(연암)</t>
  </si>
  <si>
    <t>B/H0.7m3+대형브레카</t>
  </si>
  <si>
    <t>산근   5호표</t>
  </si>
  <si>
    <t>D01418_1</t>
  </si>
  <si>
    <t>_x0007_`COD|D01418_x0005_`QTY1|1_x0005_`EXI|0_x0005_`IPR|0_x0005_`BLA|F_x0005_`</t>
  </si>
  <si>
    <t>D01418_2</t>
  </si>
  <si>
    <t>_x0007_`COD|D01418_x0005_`QTY2|2_x0005_`</t>
  </si>
  <si>
    <t>구조물 터파기</t>
  </si>
  <si>
    <t>B/H0.7m3+인력</t>
  </si>
  <si>
    <t>산근   6호표</t>
  </si>
  <si>
    <t>D01419_1</t>
  </si>
  <si>
    <t>_x0007_`COD|D01419_x0005_`QTY1|1_x0005_`EXI|0_x0005_`IPR|0_x0005_`BLA|F_x0005_`</t>
  </si>
  <si>
    <t>D01419_2</t>
  </si>
  <si>
    <t>_x0007_`COD|D01419_x0005_`QTY2|2_x0005_`</t>
  </si>
  <si>
    <t>구조물터파기(연암)</t>
  </si>
  <si>
    <t>대형브레카+B/H0.7㎥</t>
  </si>
  <si>
    <t>산근   7호표</t>
  </si>
  <si>
    <t>D01420_1</t>
  </si>
  <si>
    <t>_x0007_`COD|D01420_x0005_`QTY1|1_x0005_`EXI|0_x0005_`IPR|0_x0005_`BLA|F_x0005_`</t>
  </si>
  <si>
    <t>D01420_2</t>
  </si>
  <si>
    <t>_x0007_`COD|D01420_x0005_`QTY2|2_x0005_`</t>
  </si>
  <si>
    <t>구조물 되메우기</t>
  </si>
  <si>
    <t>산근   8호표</t>
  </si>
  <si>
    <t>D01421_1</t>
  </si>
  <si>
    <t>_x0007_`COD|D01421_x0005_`QTY1|1_x0005_`EXI|0_x0005_`IPR|0_x0005_`BLA|F_x0005_`</t>
  </si>
  <si>
    <t>D01421_2</t>
  </si>
  <si>
    <t>_x0007_`COD|D01421_x0005_`QTY2|2_x0005_`</t>
  </si>
  <si>
    <t>성토(운반무대)</t>
  </si>
  <si>
    <t>산근   9호표</t>
  </si>
  <si>
    <t>D01422_1</t>
  </si>
  <si>
    <t>_x0007_`COD|D01422_x0005_`QTY1|1_x0005_`EXI|0_x0005_`IPR|0_x0005_`BLA|F_x0005_`</t>
  </si>
  <si>
    <t>D01422_2</t>
  </si>
  <si>
    <t>_x0007_`COD|D01422_x0005_`QTY2|2_x0005_`</t>
  </si>
  <si>
    <t>순성토</t>
  </si>
  <si>
    <t>덤프+0.7m3</t>
  </si>
  <si>
    <t>산근  10호표</t>
  </si>
  <si>
    <t>D01423_1</t>
  </si>
  <si>
    <t>_x0007_`COD|D01423_x0005_`QTY1|1_x0005_`EXI|0_x0005_`IPR|0_x0005_`BLA|F_x0005_`</t>
  </si>
  <si>
    <t>D01423_2</t>
  </si>
  <si>
    <t>_x0007_`COD|D01423_x0005_`QTY2|2_x0005_`</t>
  </si>
  <si>
    <t>잔토처리</t>
  </si>
  <si>
    <t>0.7m3 현장내처리</t>
  </si>
  <si>
    <t>산근  11호표</t>
  </si>
  <si>
    <t>2.</t>
  </si>
  <si>
    <t>돌바닥막이공사</t>
  </si>
  <si>
    <t>3개소-&gt;2개소</t>
  </si>
  <si>
    <t>3.</t>
  </si>
  <si>
    <t>계간수로공사</t>
  </si>
  <si>
    <t>L=168.0m-&gt;L=163.0m</t>
  </si>
  <si>
    <t>4.</t>
  </si>
  <si>
    <t>2.1</t>
  </si>
  <si>
    <t>돌바닥막이1(골막이형)</t>
  </si>
  <si>
    <t>상장4.0m, 하장3.0m, 전고1.7m, 2개소-&gt;1개소</t>
  </si>
  <si>
    <t>D01424_1</t>
  </si>
  <si>
    <t>E2_1</t>
  </si>
  <si>
    <t>_x0007_`COD|D01424_x0005_`QTY1|1_x0005_`EXI|0_x0005_`IPR|0_x0005_`BLA|F_x0005_`</t>
  </si>
  <si>
    <t>D01424_2</t>
  </si>
  <si>
    <t>E2_2</t>
  </si>
  <si>
    <t>_x0007_`COD|D01424_x0005_`QTY2|2_x0005_`</t>
  </si>
  <si>
    <t>콘크리트비빔</t>
  </si>
  <si>
    <t>채움재</t>
  </si>
  <si>
    <t>산근  12호표</t>
  </si>
  <si>
    <t>M00760_1</t>
  </si>
  <si>
    <t>_x0007_`COD|M00760_x0005_`QTY1|1_x0005_`EXI|0_x0005_`IPR|0_x0005_`KWN|0_x0005_`BLA|F_x0005_`</t>
  </si>
  <si>
    <t>M00760_2</t>
  </si>
  <si>
    <t>_x0007_`COD|M00760_x0005_`QTY2|2_x0005_`</t>
  </si>
  <si>
    <t>P.V.C PIPE</t>
  </si>
  <si>
    <t>VG2(50m/m)</t>
  </si>
  <si>
    <t>M00760</t>
  </si>
  <si>
    <t>B01077_1</t>
  </si>
  <si>
    <t>_x0007_`COD|B01077_x0005_`QTY1|1_x0005_`EXI|0_x0005_`IPR|0_x0005_`BLA|F_x0005_`</t>
  </si>
  <si>
    <t>B01077_2</t>
  </si>
  <si>
    <t>_x0007_`COD|B01077_x0005_`QTY2|2_x0005_`</t>
  </si>
  <si>
    <t>모르터바르기</t>
  </si>
  <si>
    <t>1:3</t>
  </si>
  <si>
    <t>대가   1호표</t>
  </si>
  <si>
    <t>M00684_1</t>
  </si>
  <si>
    <t>_x0007_`COD|M00684_x0005_`QTY1|1_x0005_`EXI|0_x0005_`IPR|0_x0005_`KWN|0_x0005_`BLA|F_x0005_`</t>
  </si>
  <si>
    <t>M00684_2</t>
  </si>
  <si>
    <t>_x0007_`COD|M00684_x0005_`QTY2|2_x0005_`</t>
  </si>
  <si>
    <t>돌(L3=45cm)</t>
  </si>
  <si>
    <t>별도계상</t>
  </si>
  <si>
    <t>M00684</t>
  </si>
  <si>
    <t>D01427_1</t>
  </si>
  <si>
    <t>_x0007_`COD|D01427_x0005_`QTY1|1_x0005_`EXI|0_x0005_`IPR|0_x0005_`BLA|F_x0005_`</t>
  </si>
  <si>
    <t>D01427_2</t>
  </si>
  <si>
    <t>_x0007_`COD|D01427_x0005_`QTY2|2_x0005_`</t>
  </si>
  <si>
    <t>산근  15호표</t>
  </si>
  <si>
    <t>B01078_1</t>
  </si>
  <si>
    <t>_x0007_`COD|B01078_x0005_`QTY1|1_x0005_`EXI|0_x0005_`IPR|0_x0005_`BLA|F_x0005_`</t>
  </si>
  <si>
    <t>B01078_2</t>
  </si>
  <si>
    <t>_x0007_`COD|B01078_x0005_`QTY2|2_x0005_`</t>
  </si>
  <si>
    <t>찰쌓기,L3=55cm이하</t>
  </si>
  <si>
    <t>대가   2호표</t>
  </si>
  <si>
    <t>B01093_1</t>
  </si>
  <si>
    <t>_x0007_`COD|B01093_x0005_`QTY1|1_x0005_`EXI|0_x0005_`IPR|0_x0005_`BLA|F_x0005_`</t>
  </si>
  <si>
    <t>B01093_2</t>
  </si>
  <si>
    <t>_x0007_`COD|B01093_x0005_`QTY2|2_x0005_`</t>
  </si>
  <si>
    <t>대가   6호표</t>
  </si>
  <si>
    <t>D01425_1</t>
  </si>
  <si>
    <t>_x0007_`COD|D01425_x0005_`QTY1|1_x0005_`EXI|0_x0005_`IPR|0_x0005_`BLA|F_x0005_`</t>
  </si>
  <si>
    <t>D01425_2</t>
  </si>
  <si>
    <t>_x0007_`COD|D01425_x0005_`QTY2|2_x0005_`</t>
  </si>
  <si>
    <t>산근  13호표</t>
  </si>
  <si>
    <t>M00762_1</t>
  </si>
  <si>
    <t>_x0007_`COD|M00762_x0005_`QTY1|1_x0005_`EXI|0_x0005_`IPR|0_x0005_`KWN|0_x0005_`BLA|F_x0005_`</t>
  </si>
  <si>
    <t>M00762_2</t>
  </si>
  <si>
    <t>_x0007_`COD|M00762_x0005_`QTY2|2_x0005_`</t>
  </si>
  <si>
    <t>막자갈</t>
  </si>
  <si>
    <t>M00762</t>
  </si>
  <si>
    <t>D01426_1</t>
  </si>
  <si>
    <t>_x0007_`COD|D01426_x0005_`QTY1|1_x0005_`EXI|0_x0005_`IPR|0_x0005_`BLA|F_x0005_`</t>
  </si>
  <si>
    <t>D01426_2</t>
  </si>
  <si>
    <t>_x0007_`COD|D01426_x0005_`QTY2|2_x0005_`</t>
  </si>
  <si>
    <t>산근  14호표</t>
  </si>
  <si>
    <t>2.2</t>
  </si>
  <si>
    <t>돌바닥막이2(골막이형)</t>
  </si>
  <si>
    <t>상장6.0m, 하장4.0m, 전고2.0m, 1개소</t>
  </si>
  <si>
    <t>M00761_1</t>
  </si>
  <si>
    <t>_x0007_`COD|M00761_x0005_`QTY1|1_x0005_`EXI|0_x0005_`IPR|0_x0005_`KWN|0_x0005_`BLA|F_x0005_`</t>
  </si>
  <si>
    <t>M00761_2</t>
  </si>
  <si>
    <t>_x0007_`COD|M00761_x0005_`QTY2|2_x0005_`</t>
  </si>
  <si>
    <t>M00761</t>
  </si>
  <si>
    <t>돌기슭막이공사</t>
  </si>
  <si>
    <t>L=11.0m-&gt;L=15.0m</t>
  </si>
  <si>
    <t>_x0007_`COD|B01080_x0005_`QTY1|1_x0005_`EXI|0_x0005_`IPR|0_x0005_`BLA|F_x0005_`</t>
  </si>
  <si>
    <t>3.1</t>
  </si>
  <si>
    <t>계간수로1(찰)</t>
  </si>
  <si>
    <t>B=1.4m(평균), H=0.6m(평균), L=52.0m</t>
  </si>
  <si>
    <t>B01079_1</t>
  </si>
  <si>
    <t>_x0007_`COD|B01079_x0005_`QTY1|1_x0005_`EXI|0_x0005_`IPR|0_x0005_`BLA|F_x0005_`</t>
  </si>
  <si>
    <t>B01079_2</t>
  </si>
  <si>
    <t>_x0007_`COD|B01079_x0005_`QTY2|2_x0005_`</t>
  </si>
  <si>
    <t>찰붙임,L3=55cm이하</t>
  </si>
  <si>
    <t>대가   3호표</t>
  </si>
  <si>
    <t>B01095_1</t>
  </si>
  <si>
    <t>_x0007_`COD|B01095_x0005_`QTY1|1_x0005_`EXI|0_x0005_`IPR|0_x0005_`BLA|F_x0005_`</t>
  </si>
  <si>
    <t>B01095_2</t>
  </si>
  <si>
    <t>_x0007_`COD|B01095_x0005_`QTY2|2_x0005_`</t>
  </si>
  <si>
    <t>대가   8호표</t>
  </si>
  <si>
    <t>3.2</t>
  </si>
  <si>
    <t>계간수로2(메)</t>
  </si>
  <si>
    <t>B=1.4m(평균), H=0.6m(평균), L=111.0m</t>
  </si>
  <si>
    <t>B01094_1</t>
  </si>
  <si>
    <t>_x0007_`COD|B01094_x0005_`QTY1|1_x0005_`EXI|0_x0005_`IPR|0_x0005_`BLA|F_x0005_`</t>
  </si>
  <si>
    <t>B01094_2</t>
  </si>
  <si>
    <t>_x0007_`COD|B01094_x0005_`QTY2|2_x0005_`</t>
  </si>
  <si>
    <t>대가   7호표</t>
  </si>
  <si>
    <t>D01438_1</t>
  </si>
  <si>
    <t>_x0007_`COD|D01438_x0005_`QTY1|1_x0005_`EXI|0_x0005_`IPR|0_x0005_`BLA|F_x0005_`</t>
  </si>
  <si>
    <t>D01438_2</t>
  </si>
  <si>
    <t>_x0007_`COD|D01438_x0005_`QTY2|2_x0005_`</t>
  </si>
  <si>
    <t>산근  25호표</t>
  </si>
  <si>
    <t>7개소-&gt;0개소</t>
  </si>
  <si>
    <t>낙차공</t>
  </si>
  <si>
    <t>5.</t>
  </si>
  <si>
    <t>4.1</t>
  </si>
  <si>
    <t>돌기슭막이(찰쌓기-&gt;메쌓기)</t>
  </si>
  <si>
    <t>H=2.0m, L=15.0m, 기초무</t>
  </si>
  <si>
    <t>B01080_2</t>
  </si>
  <si>
    <t>돌붙임공사</t>
  </si>
  <si>
    <t>6.</t>
  </si>
  <si>
    <t>5.1</t>
  </si>
  <si>
    <t>낙차공1</t>
  </si>
  <si>
    <t>H=1.0m, L=2.0m, 7개소-&gt;0개소</t>
  </si>
  <si>
    <t>B01080_1</t>
  </si>
  <si>
    <t>사방공사</t>
  </si>
  <si>
    <t>6.1</t>
  </si>
  <si>
    <t>돌붙임(메붙임)</t>
  </si>
  <si>
    <t>L3=35cm, A=40.5m2</t>
  </si>
  <si>
    <t>6.2</t>
  </si>
  <si>
    <t>돌붙임(찰붙임-&gt;메붙임)</t>
  </si>
  <si>
    <t>L3=45cm, A=33.0m2-&gt;29.0m2</t>
  </si>
  <si>
    <t>B01092_1</t>
  </si>
  <si>
    <t>_x0007_`COD|B01092_x0005_`QTY1|1_x0005_`EXI|0_x0005_`IPR|0_x0005_`BLA|F_x0005_`</t>
  </si>
  <si>
    <t>B01092_2</t>
  </si>
  <si>
    <t>_x0007_`COD|B01092_x0005_`QTY2|2_x0005_`</t>
  </si>
  <si>
    <t>대가   5호표</t>
  </si>
  <si>
    <t>7.</t>
  </si>
  <si>
    <t>부대공사</t>
  </si>
  <si>
    <t>D01441_1</t>
  </si>
  <si>
    <t>_x0007_`COD|D01441_x0005_`QTY1|1_x0005_`EXI|0_x0005_`IPR|0_x0005_`BLA|F_x0005_`</t>
  </si>
  <si>
    <t>D01441_2</t>
  </si>
  <si>
    <t>_x0007_`COD|D01441_x0005_`QTY2|2_x0005_`</t>
  </si>
  <si>
    <t>산근  27호표</t>
  </si>
  <si>
    <t>B01097_1</t>
  </si>
  <si>
    <t>_x0007_`COD|B01097_x0005_`QTY1|1_x0005_`EXI|0_x0005_`IPR|0_x0005_`BLA|F_x0005_`</t>
  </si>
  <si>
    <t>B01097_2</t>
  </si>
  <si>
    <t>_x0007_`COD|B01097_x0005_`QTY2|2_x0005_`</t>
  </si>
  <si>
    <t>대가   9호표</t>
  </si>
  <si>
    <t>B01099_1</t>
  </si>
  <si>
    <t>_x0007_`COD|B01099_x0005_`QTY1|1_x0005_`EXI|0_x0005_`IPR|0_x0005_`BLA|F_x0005_`</t>
  </si>
  <si>
    <t>B01099_2</t>
  </si>
  <si>
    <t>_x0007_`COD|B01099_x0005_`QTY2|2_x0005_`</t>
  </si>
  <si>
    <t>대가  11호표</t>
  </si>
  <si>
    <t>D01443_1</t>
  </si>
  <si>
    <t>_x0007_`COD|D01443_x0005_`QTY1|1_x0005_`EXI|0_x0005_`IPR|0_x0005_`BLA|F_x0005_`</t>
  </si>
  <si>
    <t>D01443_2</t>
  </si>
  <si>
    <t>_x0007_`COD|D01443_x0005_`QTY2|2_x0005_`</t>
  </si>
  <si>
    <t>산근  29호표</t>
  </si>
  <si>
    <t>D01442_1</t>
  </si>
  <si>
    <t>_x0007_`COD|D01442_x0005_`QTY1|1_x0005_`EXI|0_x0005_`IPR|0_x0005_`BLA|F_x0005_`</t>
  </si>
  <si>
    <t>D01442_2</t>
  </si>
  <si>
    <t>_x0007_`COD|D01442_x0005_`QTY2|2_x0005_`</t>
  </si>
  <si>
    <t>산근  28호표</t>
  </si>
  <si>
    <t>_x0007_`COD|B01080_x0005_`QTY2|2_x0005_`</t>
  </si>
  <si>
    <t>7급선떼붙이기</t>
  </si>
  <si>
    <t>단끊기무</t>
  </si>
  <si>
    <t>대가   4호표</t>
  </si>
  <si>
    <t>D01428_1</t>
  </si>
  <si>
    <t>_x0007_`COD|D01428_x0005_`QTY1|1_x0005_`EXI|0_x0005_`IPR|0_x0005_`BLA|F_x0005_`</t>
  </si>
  <si>
    <t>D01428_2</t>
  </si>
  <si>
    <t>_x0007_`COD|D01428_x0005_`QTY2|2_x0005_`</t>
  </si>
  <si>
    <t>떼붙임</t>
  </si>
  <si>
    <t>평떼</t>
  </si>
  <si>
    <t>산근  16호표</t>
  </si>
  <si>
    <t>D01429_1</t>
  </si>
  <si>
    <t>_x0007_`COD|D01429_x0005_`QTY1|1_x0005_`EXI|0_x0005_`IPR|0_x0005_`BLA|F_x0005_`</t>
  </si>
  <si>
    <t>D01429_2</t>
  </si>
  <si>
    <t>_x0007_`COD|D01429_x0005_`QTY2|2_x0005_`</t>
  </si>
  <si>
    <t>씨뿌리기</t>
  </si>
  <si>
    <t>줄파종</t>
  </si>
  <si>
    <t>산근  17호표</t>
  </si>
  <si>
    <t>8.</t>
  </si>
  <si>
    <t>운반공</t>
  </si>
  <si>
    <t>D01430_1</t>
  </si>
  <si>
    <t>_x0007_`COD|D01430_x0005_`QTY1|1_x0005_`EXI|0_x0005_`IPR|0_x0005_`BLA|F_x0005_`</t>
  </si>
  <si>
    <t>D01430_2</t>
  </si>
  <si>
    <t>_x0007_`COD|D01430_x0005_`QTY2|2_x0005_`</t>
  </si>
  <si>
    <t>중기운반</t>
  </si>
  <si>
    <t>L=35.0km</t>
  </si>
  <si>
    <t>대</t>
  </si>
  <si>
    <t>산근  18호표</t>
  </si>
  <si>
    <t>D01431_1</t>
  </si>
  <si>
    <t>_x0007_`COD|D01431_x0005_`QTY1|1_x0005_`EXI|0_x0005_`IPR|0_x0005_`BLA|F_x0005_`</t>
  </si>
  <si>
    <t>D01431_2</t>
  </si>
  <si>
    <t>_x0007_`COD|D01431_x0005_`QTY2|2_x0005_`</t>
  </si>
  <si>
    <t>기계운반</t>
  </si>
  <si>
    <t>산근  19호표</t>
  </si>
  <si>
    <t>D01432_1</t>
  </si>
  <si>
    <t>_x0007_`COD|D01432_x0005_`QTY1|1_x0005_`EXI|0_x0005_`IPR|0_x0005_`BLA|F_x0005_`</t>
  </si>
  <si>
    <t>D01432_2</t>
  </si>
  <si>
    <t>_x0007_`COD|D01432_x0005_`QTY2|2_x0005_`</t>
  </si>
  <si>
    <t>모래운반</t>
  </si>
  <si>
    <t>산근  20호표</t>
  </si>
  <si>
    <t>D01433_1</t>
  </si>
  <si>
    <t>_x0007_`COD|D01433_x0005_`QTY1|1_x0005_`EXI|0_x0005_`IPR|0_x0005_`BLA|F_x0005_`</t>
  </si>
  <si>
    <t>D01433_2</t>
  </si>
  <si>
    <t>_x0007_`COD|D01433_x0005_`QTY2|2_x0005_`</t>
  </si>
  <si>
    <t>자갈운반</t>
  </si>
  <si>
    <t>산근  21호표</t>
  </si>
  <si>
    <t>D01434_1</t>
  </si>
  <si>
    <t>_x0007_`COD|D01434_x0005_`QTY1|1_x0005_`EXI|0_x0005_`IPR|0_x0005_`BLA|F_x0005_`</t>
  </si>
  <si>
    <t>D01434_2</t>
  </si>
  <si>
    <t>_x0007_`COD|D01434_x0005_`QTY2|2_x0005_`</t>
  </si>
  <si>
    <t>막자갈운반</t>
  </si>
  <si>
    <t>산근  22호표</t>
  </si>
  <si>
    <t>D01439_1</t>
  </si>
  <si>
    <t>_x0007_`COD|D01439_x0005_`QTY1|1_x0005_`EXI|0_x0005_`IPR|0_x0005_`BLA|F_x0005_`</t>
  </si>
  <si>
    <t>D01439_2</t>
  </si>
  <si>
    <t>_x0007_`COD|D01439_x0005_`QTY2|2_x0005_`</t>
  </si>
  <si>
    <t>산근  26호표</t>
  </si>
  <si>
    <t>D01435_1</t>
  </si>
  <si>
    <t>_x0007_`COD|D01435_x0005_`QTY1|1_x0005_`EXI|0_x0005_`IPR|0_x0005_`BLA|F_x0005_`</t>
  </si>
  <si>
    <t>D01435_2</t>
  </si>
  <si>
    <t>_x0007_`COD|D01435_x0005_`QTY2|2_x0005_`</t>
  </si>
  <si>
    <t>시멘트운반</t>
  </si>
  <si>
    <t>산근  23호표</t>
  </si>
  <si>
    <t>D01436_1</t>
  </si>
  <si>
    <t>_x0007_`COD|D01436_x0005_`QTY1|1_x0005_`EXI|0_x0005_`IPR|0_x0005_`BLA|F_x0005_`</t>
  </si>
  <si>
    <t>D01436_2</t>
  </si>
  <si>
    <t>_x0007_`COD|D01436_x0005_`QTY2|2_x0005_`</t>
  </si>
  <si>
    <t>깬돌운반</t>
  </si>
  <si>
    <t>산근  24호표</t>
  </si>
  <si>
    <t>D01445_1</t>
  </si>
  <si>
    <t>_x0007_`COD|D01445_x0005_`QTY1|1_x0005_`EXI|0_x0005_`IPR|0_x0005_`BLA|F_x0005_`</t>
  </si>
  <si>
    <t>D01445_2</t>
  </si>
  <si>
    <t>_x0007_`COD|D01445_x0005_`QTY2|2_x0005_`</t>
  </si>
  <si>
    <t>산근  30호표</t>
  </si>
  <si>
    <t>D01446_1</t>
  </si>
  <si>
    <t>_x0007_`COD|D01446_x0005_`QTY1|1_x0005_`EXI|0_x0005_`IPR|0_x0005_`BLA|F_x0005_`</t>
  </si>
  <si>
    <t>D01446_2</t>
  </si>
  <si>
    <t>_x0007_`COD|D01446_x0005_`QTY2|2_x0005_`</t>
  </si>
  <si>
    <t>산근  31호표</t>
  </si>
  <si>
    <t>D01447_1</t>
  </si>
  <si>
    <t>_x0007_`COD|D01447_x0005_`QTY1|1_x0005_`EXI|0_x0005_`IPR|0_x0005_`BLA|F_x0005_`</t>
  </si>
  <si>
    <t>D01447_2</t>
  </si>
  <si>
    <t>_x0007_`COD|D01447_x0005_`QTY2|2_x0005_`</t>
  </si>
  <si>
    <t>산근  32호표</t>
  </si>
  <si>
    <t>D01455_1</t>
  </si>
  <si>
    <t>_x0007_`COD|D01455_x0005_`QTY1|1_x0005_`EXI|0_x0005_`IPR|0_x0005_`BLA|F_x0005_`</t>
  </si>
  <si>
    <t>D01455_2</t>
  </si>
  <si>
    <t>_x0007_`COD|D01455_x0005_`QTY2|2_x0005_`</t>
  </si>
  <si>
    <t>산근  35호표</t>
  </si>
  <si>
    <t>D01448_1</t>
  </si>
  <si>
    <t>_x0007_`COD|D01448_x0005_`QTY1|1_x0005_`EXI|0_x0005_`IPR|0_x0005_`BLA|F_x0005_`</t>
  </si>
  <si>
    <t>D01448_2</t>
  </si>
  <si>
    <t>_x0007_`COD|D01448_x0005_`QTY2|2_x0005_`</t>
  </si>
  <si>
    <t>산근  33호표</t>
  </si>
  <si>
    <t>9.</t>
  </si>
  <si>
    <t>자재대</t>
  </si>
  <si>
    <t>M00763_1</t>
  </si>
  <si>
    <t>_x0007_`COD|M00763_x0005_`QTY1|1_x0005_`EXI|0_x0005_`IPR|0_x0005_`KWN|0_x0005_`BLA|F_x0005_`</t>
  </si>
  <si>
    <t>M00763_2</t>
  </si>
  <si>
    <t>_x0007_`COD|M00763_x0005_`QTY2|2_x0005_`</t>
  </si>
  <si>
    <t>모 래</t>
  </si>
  <si>
    <t>M00763</t>
  </si>
  <si>
    <t>M00764_1</t>
  </si>
  <si>
    <t>_x0007_`COD|M00764_x0005_`QTY1|1_x0005_`EXI|0_x0005_`IPR|0_x0005_`KWN|0_x0005_`BLA|F_x0005_`</t>
  </si>
  <si>
    <t>M00764_2</t>
  </si>
  <si>
    <t>_x0007_`COD|M00764_x0005_`QTY2|2_x0005_`</t>
  </si>
  <si>
    <t>자 갈(40m/m)</t>
  </si>
  <si>
    <t>M00764</t>
  </si>
  <si>
    <t>M00765_1</t>
  </si>
  <si>
    <t>_x0007_`COD|M00765_x0005_`QTY1|1_x0005_`EXI|0_x0005_`IPR|0_x0005_`KWN|0_x0005_`BLA|F_x0005_`</t>
  </si>
  <si>
    <t>M00765_2</t>
  </si>
  <si>
    <t>_x0007_`COD|M00765_x0005_`QTY2|2_x0005_`</t>
  </si>
  <si>
    <t>M00765</t>
  </si>
  <si>
    <t>M00779_1</t>
  </si>
  <si>
    <t>_x0007_`COD|M00779_x0005_`QTY1|1_x0005_`EXI|0_x0005_`IPR|0_x0005_`KWN|0_x0005_`BLA|F_x0005_`</t>
  </si>
  <si>
    <t>M00779_2</t>
  </si>
  <si>
    <t>_x0007_`COD|M00779_x0005_`QTY2|2_x0005_`</t>
  </si>
  <si>
    <t>M00779</t>
  </si>
  <si>
    <t>M00766_1</t>
  </si>
  <si>
    <t>_x0007_`COD|M00766_x0005_`QTY1|1_x0005_`EXI|0_x0005_`IPR|0_x0005_`KWN|0_x0005_`BLA|F_x0005_`</t>
  </si>
  <si>
    <t>M00766_2</t>
  </si>
  <si>
    <t>_x0007_`COD|M00766_x0005_`QTY2|2_x0005_`</t>
  </si>
  <si>
    <t>시 멘 트</t>
  </si>
  <si>
    <t>40Kg/포</t>
  </si>
  <si>
    <t>M00766</t>
  </si>
  <si>
    <t>M00767_1</t>
  </si>
  <si>
    <t>_x0007_`COD|M00767_x0005_`QTY1|1_x0005_`EXI|0_x0005_`IPR|0_x0005_`KWN|0_x0005_`BLA|F_x0005_`</t>
  </si>
  <si>
    <t>M00767_2</t>
  </si>
  <si>
    <t>_x0007_`COD|M00767_x0005_`QTY2|2_x0005_`</t>
  </si>
  <si>
    <t>깬돌</t>
  </si>
  <si>
    <t>M00767</t>
  </si>
  <si>
    <t>M00768_1</t>
  </si>
  <si>
    <t>_x0007_`COD|M00768_x0005_`QTY1|1_x0005_`EXI|0_x0005_`IPR|0_x0005_`KWN|0_x0005_`BLA|F_x0005_`</t>
  </si>
  <si>
    <t>M00768_2</t>
  </si>
  <si>
    <t>_x0007_`COD|M00768_x0005_`QTY2|2_x0005_`</t>
  </si>
  <si>
    <t>떼</t>
  </si>
  <si>
    <t>M00768</t>
  </si>
  <si>
    <t>_x0007_`DTP|201_x0005_`QTY2|2_x0005_`</t>
  </si>
  <si>
    <t xml:space="preserve"> 2. 산재보험료</t>
  </si>
  <si>
    <t>_x0007_`DTP|301_x0005_`QTY1|1_x0005_`BDC|_x0005_`SRE|SA_x0005_`</t>
  </si>
  <si>
    <t>_x0007_`DTP|301_x0005_`QTY2|2_x0005_`</t>
  </si>
  <si>
    <t xml:space="preserve"> 3. 고용보험료</t>
  </si>
  <si>
    <t>_x0007_`DTP|302_x0005_`QTY1|1_x0005_`BDC|_x0005_`SRE|SA_x0005_`</t>
  </si>
  <si>
    <t>_x0007_`DTP|302_x0005_`QTY2|2_x0005_`</t>
  </si>
  <si>
    <t xml:space="preserve"> 4. 건강보험료</t>
  </si>
  <si>
    <t>_x0007_`DTP|303_x0005_`QTY1|1_x0005_`BDC|_x0005_`SRE|SA_x0005_`DRT|T_x0005_`</t>
  </si>
  <si>
    <t>_x0007_`DTP|303_x0005_`QTY2|2_x0005_`DRT|T_x0005_`CBO|2_x0005_`</t>
  </si>
  <si>
    <t xml:space="preserve"> 5. 노인장기요양보험료</t>
  </si>
  <si>
    <t>_x0007_`DTP|310_x0005_`QTY1|1_x0005_`BDC|_x0005_`SRE|SA_x0005_`DRT|T_x0005_`</t>
  </si>
  <si>
    <t>_x0007_`DTP|310_x0005_`QTY2|2_x0005_`DRT|T_x0005_`CBO|2_x0005_`</t>
  </si>
  <si>
    <t xml:space="preserve"> 6. 연금보험료</t>
  </si>
  <si>
    <t>_x0007_`DTP|304_x0005_`QTY1|1_x0005_`BDC|_x0005_`SRE|SA_x0005_`DRT|T_x0005_`</t>
  </si>
  <si>
    <t>_x0007_`DTP|304_x0005_`QTY2|2_x0005_`DRT|T_x0005_`CBO|2_x0005_`</t>
  </si>
  <si>
    <t xml:space="preserve"> 7. 산업안전보건관리비</t>
  </si>
  <si>
    <t>_x0007_`DTP|306_x0005_`QTY1|1_x0005_`BDC|_x0005_`SRE|SA_x0005_`DRT|T_x0005_`ANK|1_x0005_`</t>
  </si>
  <si>
    <t>_x0007_`DTP|306_x0005_`QTY2|2_x0005_`CBO|2_x0005_`ANK|1_x0005_`</t>
  </si>
  <si>
    <t>당초금액 + 안전관리비 증감액</t>
  </si>
  <si>
    <t xml:space="preserve"> 8. 기타경비</t>
  </si>
  <si>
    <t>_x0007_`DTP|321_x0005_`QTY1|1_x0005_`BDC|_x0005_`SRE|SA_x0005_`</t>
  </si>
  <si>
    <t>_x0007_`DTP|321_x0005_`QTY2|2_x0005_`</t>
  </si>
  <si>
    <t xml:space="preserve"> 9. 환경보전비</t>
  </si>
  <si>
    <t>_x0007_`DTP|309_x0005_`QTY1|1_x0005_`BDC|_x0005_`SRE|SA_x0005_`</t>
  </si>
  <si>
    <t>_x0007_`DTP|309_x0005_`QTY2|2_x0005_`</t>
  </si>
  <si>
    <t>10. 건설기계대여금지급보증 금액</t>
  </si>
  <si>
    <t>_x0007_`DTP|311_x0005_`QTY1|1_x0005_`BDC|_x0005_`SRE|SA_x0005_`</t>
  </si>
  <si>
    <t>_x0007_`DTP|311_x0005_`QTY2|2_x0005_`</t>
  </si>
  <si>
    <t xml:space="preserve">    나.</t>
  </si>
  <si>
    <t xml:space="preserve">    소   계</t>
  </si>
  <si>
    <t>_x0007_`DTP|400_x0005_`QTY1|1_x0005_`BDC|_x0005_`SRE|TA-F_x0005_`</t>
  </si>
  <si>
    <t>_x0007_`DTP|400_x0005_`QTY2|2_x0005_`</t>
  </si>
  <si>
    <t>11. 일반관리비</t>
  </si>
  <si>
    <t>_x0007_`DTP|401_x0005_`QTY1|1_x0005_`BDC|_x0005_`SRE|TA_x0005_`</t>
  </si>
  <si>
    <t>_x0007_`DTP|401_x0005_`QTY2|2_x0005_`</t>
  </si>
  <si>
    <t xml:space="preserve">    다.</t>
  </si>
  <si>
    <t>_x0007_`DTP|410_x0005_`QTY1|1_x0005_`BDC|_x0005_`SRE|TA-F_x0005_`</t>
  </si>
  <si>
    <t>_x0007_`DTP|410_x0005_`QTY2|2_x0005_`</t>
  </si>
  <si>
    <t>12. 이   윤</t>
  </si>
  <si>
    <t>_x0007_`DTP|402_x0005_`QTY1|1_x0005_`BDC|_x0005_`SRE|TA_x0005_`</t>
  </si>
  <si>
    <t>_x0007_`DTP|402_x0005_`QTY2|2_x0005_`</t>
  </si>
  <si>
    <t xml:space="preserve">    라.</t>
  </si>
  <si>
    <t xml:space="preserve">    공급가액</t>
  </si>
  <si>
    <t>_x0007_`DTP|500_x0005_`QTY1|1_x0005_`BDC|_x0005_`SRE|TA-F_x0005_`</t>
  </si>
  <si>
    <t>_x0007_`DTP|500_x0005_`QTY2|2_x0005_`</t>
  </si>
  <si>
    <t>13. 부가가치세</t>
  </si>
  <si>
    <t>_x0007_`DTP|502_x0005_`QTY1|1_x0005_`BDC|_x0005_`SRE|TA_x0005_`</t>
  </si>
  <si>
    <t>_x0007_`DTP|502_x0005_`QTY2|2_x0005_`</t>
  </si>
  <si>
    <t xml:space="preserve">    마.</t>
  </si>
  <si>
    <t xml:space="preserve">    도급공사비</t>
  </si>
  <si>
    <t>_x0007_`DTP|600_x0005_`QTY1|1_x0005_`BDC|_x0005_`SRE|TA-F_x0005_`</t>
  </si>
  <si>
    <t>_x0007_`DTP|600_x0005_`QTY2|2_x0005_`</t>
  </si>
  <si>
    <t>수정은 아래의 연두색 부분에</t>
  </si>
  <si>
    <t>공 사 원 가 계 산 서</t>
  </si>
  <si>
    <t xml:space="preserve">    비    목</t>
  </si>
  <si>
    <t xml:space="preserve">구    분    </t>
  </si>
  <si>
    <t>당   초</t>
  </si>
  <si>
    <t>변   경</t>
  </si>
  <si>
    <t>증   감</t>
  </si>
  <si>
    <t>구 성 비</t>
  </si>
  <si>
    <t>비    고</t>
  </si>
  <si>
    <t>직  접  재  료  비</t>
  </si>
  <si>
    <t>간  접  재  료  비</t>
  </si>
  <si>
    <t>작업설,부산물등(△)</t>
  </si>
  <si>
    <t>소              계</t>
  </si>
  <si>
    <t>직  접  노  무  비</t>
  </si>
  <si>
    <t>간  접  노  무  비</t>
  </si>
  <si>
    <t>산   출    경   비</t>
  </si>
  <si>
    <t>산  재  보  험  료</t>
  </si>
  <si>
    <t>고  용  보  험  료</t>
  </si>
  <si>
    <t>건  강  보  험  료</t>
  </si>
  <si>
    <t>노인장기요양보험료</t>
  </si>
  <si>
    <t>연  금  보  험  료</t>
  </si>
  <si>
    <t>산업안전보건관리비</t>
  </si>
  <si>
    <t>기   타    경   비</t>
  </si>
  <si>
    <t>환  경  보  전  비</t>
  </si>
  <si>
    <t>건설기계대여금지급보증 금액</t>
  </si>
  <si>
    <t>일   반   관   리   비</t>
  </si>
  <si>
    <t>이                  윤</t>
  </si>
  <si>
    <t>총        원        가</t>
  </si>
  <si>
    <t>부   가   가   치   세</t>
  </si>
  <si>
    <t>도   급   공   사   비</t>
  </si>
  <si>
    <t>총     공     사     비</t>
  </si>
  <si>
    <t>순 공 사 원 가</t>
  </si>
  <si>
    <t>경    비</t>
  </si>
  <si>
    <t>설 계 변 경 금 액 대 비 표</t>
  </si>
  <si>
    <t xml:space="preserve">현   장   대   리   인 : </t>
  </si>
  <si>
    <t xml:space="preserve">확   인   자   감   리 : </t>
  </si>
  <si>
    <t xml:space="preserve">공   사   감   독   관 : </t>
  </si>
  <si>
    <t xml:space="preserve">1. 공   사   명 : </t>
  </si>
  <si>
    <t>2025년 계류보전사업(기번1/영덕.병곡.영.산214)</t>
  </si>
  <si>
    <t xml:space="preserve">2. 당 초  금 액 : </t>
  </si>
  <si>
    <t xml:space="preserve">3. 변 경  금 액 : </t>
  </si>
  <si>
    <t xml:space="preserve">4. 변 경  내 역   </t>
  </si>
  <si>
    <t>당 초 금 액</t>
  </si>
  <si>
    <t>변 경 금 액</t>
  </si>
  <si>
    <t xml:space="preserve">    2025년 계류보전사업(기번1)</t>
  </si>
  <si>
    <t xml:space="preserve">    토공사</t>
  </si>
  <si>
    <t xml:space="preserve">    돌바닥막이공사</t>
  </si>
  <si>
    <t xml:space="preserve">    돌바닥막이1(골막이형)</t>
  </si>
  <si>
    <t xml:space="preserve">    돌바닥막이2(골막이형)</t>
  </si>
  <si>
    <t xml:space="preserve">    계간수로공사</t>
  </si>
  <si>
    <t xml:space="preserve">    계간수로1(찰)</t>
  </si>
  <si>
    <t xml:space="preserve">    계간수로2(메)</t>
  </si>
  <si>
    <t xml:space="preserve">    돌기슭막이공사</t>
  </si>
  <si>
    <t xml:space="preserve">    돌기슭막이(찰쌓기-&gt;메쌓기)</t>
  </si>
  <si>
    <t xml:space="preserve">    낙차공</t>
  </si>
  <si>
    <t xml:space="preserve">    낙차공1</t>
  </si>
  <si>
    <t xml:space="preserve">    돌붙임공사</t>
  </si>
  <si>
    <t xml:space="preserve">    돌붙임(메붙임)</t>
  </si>
  <si>
    <t xml:space="preserve">    돌붙임(찰붙임-&gt;메붙임)</t>
  </si>
  <si>
    <t xml:space="preserve">    부대공사</t>
  </si>
  <si>
    <t xml:space="preserve">    사방공사</t>
  </si>
  <si>
    <t xml:space="preserve">    운반공</t>
  </si>
  <si>
    <t xml:space="preserve">    자재대</t>
  </si>
  <si>
    <t xml:space="preserve">    순공사비계</t>
  </si>
  <si>
    <t>설 계 변 경 증 감 대 비 표</t>
  </si>
  <si>
    <t>당    초</t>
  </si>
  <si>
    <t>변    경</t>
  </si>
  <si>
    <t>증    감</t>
  </si>
  <si>
    <t>일 위 대 가 표</t>
  </si>
  <si>
    <t xml:space="preserve"> 제    5 호표</t>
  </si>
  <si>
    <t>B01092</t>
  </si>
  <si>
    <t>건설표준품셈</t>
  </si>
  <si>
    <t>7-2-1(메붙임)</t>
  </si>
  <si>
    <t>_x0007_`COD|_x0005_`EXI|1_x0005_`</t>
  </si>
  <si>
    <t>_1</t>
  </si>
  <si>
    <t xml:space="preserve">       </t>
  </si>
  <si>
    <t>_x0007_`COD|L00019_x0005_`EXI|0_x0005_`DVD|F_x0005_`BMK| _x0005_`IPR|0_x0005_`BLA|F_x0005_`</t>
  </si>
  <si>
    <t>L00019_1</t>
  </si>
  <si>
    <t xml:space="preserve">L00019 </t>
  </si>
  <si>
    <t>_x0007_`COD|L00002_x0005_`EXI|0_x0005_`DVD|F_x0005_`BMK| _x0005_`IPR|0_x0005_`BLA|F_x0005_`</t>
  </si>
  <si>
    <t>L00002_1</t>
  </si>
  <si>
    <t xml:space="preserve">L00002 </t>
  </si>
  <si>
    <t>_x0007_`COD|X00087_x0005_`EXI|0_x0005_`DVD|F_x0005_`BMK| _x0005_`IPR|0_x0005_`BLA|F_x0005_`</t>
  </si>
  <si>
    <t>X00087_1</t>
  </si>
  <si>
    <t xml:space="preserve">X00087 </t>
  </si>
  <si>
    <t>T7_1</t>
  </si>
  <si>
    <t>계</t>
  </si>
  <si>
    <t>T0_1</t>
  </si>
  <si>
    <t>계 x 낙찰율(88 %)</t>
  </si>
  <si>
    <t>B01093</t>
  </si>
  <si>
    <t>7-1-1(메쌓기)</t>
  </si>
  <si>
    <t>소계(제외금액)</t>
  </si>
  <si>
    <t>_x0007_`COD|C1_x0005_`EXI|0_x0005_`TPR|0_x0005_`</t>
  </si>
  <si>
    <t>C1_1</t>
  </si>
  <si>
    <t>_x0007_`COD|W00005_x0005_`EXI|0_x0005_`DVD|F_x0005_`BMK| _x0005_`IPR|0_x0005_`BLA|F_x0005_`</t>
  </si>
  <si>
    <t>W00005_1</t>
  </si>
  <si>
    <t xml:space="preserve">W00005 </t>
  </si>
  <si>
    <t>B01094</t>
  </si>
  <si>
    <t>B01095</t>
  </si>
  <si>
    <t>7-2-2(찰붙임)</t>
  </si>
  <si>
    <t>B01097</t>
  </si>
  <si>
    <t>_x0007_`COD|B01098_x0005_`EXI|0_x0005_`DVD|F_x0005_`BMK| _x0005_`IPR|0_x0005_`BLA|F_x0005_`</t>
  </si>
  <si>
    <t>B01098_1</t>
  </si>
  <si>
    <t>대가  10호표</t>
  </si>
  <si>
    <t>_x0007_`COD|D00150_x0005_`EXI|0_x0005_`DVD|F_x0005_`BMK| _x0005_`IPR|0_x0005_`BLA|F_x0005_`</t>
  </si>
  <si>
    <t>D00150_1</t>
  </si>
  <si>
    <t>산근   2호표</t>
  </si>
  <si>
    <t>B01098</t>
  </si>
  <si>
    <t>B01099</t>
  </si>
  <si>
    <t>_x0007_`COD|B01109_x0005_`EXI|0_x0005_`DVD|F_x0005_`BMK| _x0005_`IPR|1_x0005_`BLA|F_x0005_`</t>
  </si>
  <si>
    <t>1_01</t>
  </si>
  <si>
    <t>B01109_1</t>
  </si>
  <si>
    <t>대가  13호표</t>
  </si>
  <si>
    <t>_x0007_`COD|B01107_x0005_`EXI|0_x0005_`DVD|F_x0005_`BMK| _x0005_`IPR|1_x0005_`BLA|F_x0005_`</t>
  </si>
  <si>
    <t>B01107_1</t>
  </si>
  <si>
    <t>대가  12호표</t>
  </si>
  <si>
    <t>_x0007_`COD|D01453_x0005_`EXI|0_x0005_`DVD|F_x0005_`BMK| _x0005_`IPR|1_x0005_`BLA|F_x0005_`</t>
  </si>
  <si>
    <t>D01453_1</t>
  </si>
  <si>
    <t>산근  34호표</t>
  </si>
  <si>
    <t>산악할증</t>
  </si>
  <si>
    <t>노무비의 %</t>
  </si>
  <si>
    <t>_x0007_`COD|PR_x0005_`EXI|1_x0005_`DVD|F_x0005_`BMK| _x0005_`IPR|0_x0005_`EQC|A01_x0005_`PRI|2_x0005_`PRO|2_x0005_`UNI|%_x0005_`BLA|F_x0005_`</t>
  </si>
  <si>
    <t>PRA01_1</t>
  </si>
  <si>
    <t>B01107</t>
  </si>
  <si>
    <t>조 경 공</t>
  </si>
  <si>
    <t>3인/230주</t>
  </si>
  <si>
    <t>_x0007_`COD|L00021_x0005_`EXI|1_x0005_`DVD|F_x0005_`BMK| _x0005_`IPR|0_x0005_`BLA|F_x0005_`</t>
  </si>
  <si>
    <t>L00021_1</t>
  </si>
  <si>
    <t xml:space="preserve">L00021 </t>
  </si>
  <si>
    <t>1인/230주</t>
  </si>
  <si>
    <t>_x0007_`COD|L00002_x0005_`EXI|1_x0005_`DVD|F_x0005_`BMK| _x0005_`IPR|0_x0005_`BLA|F_x0005_`</t>
  </si>
  <si>
    <t>_x0007_`COD|M00776_x0005_`EXI|0_x0005_`DVD|F_x0005_`BMK| _x0005_`IPR|0_x0005_`KWN|0_x0005_`BLA|F_x0005_`</t>
  </si>
  <si>
    <t>M00776_1</t>
  </si>
  <si>
    <t xml:space="preserve">M00776 </t>
  </si>
  <si>
    <t>_x0007_`COD|M00775_x0005_`EXI|0_x0005_`DVD|F_x0005_`BMK| _x0005_`IPR|0_x0005_`KWN|0_x0005_`BLA|F_x0005_`</t>
  </si>
  <si>
    <t>M00775_1</t>
  </si>
  <si>
    <t xml:space="preserve">M00775 </t>
  </si>
  <si>
    <t>_x0007_`COD|M00777_x0005_`EXI|0_x0005_`DVD|F_x0005_`BMK| _x0005_`IPR|0_x0005_`KWN|0_x0005_`BLA|F_x0005_`</t>
  </si>
  <si>
    <t>M00777_1</t>
  </si>
  <si>
    <t xml:space="preserve">M00777 </t>
  </si>
  <si>
    <t>_x0007_`COD|M00778_x0005_`EXI|0_x0005_`DVD|F_x0005_`BMK| _x0005_`IPR|0_x0005_`KWN|0_x0005_`BLA|F_x0005_`</t>
  </si>
  <si>
    <t>M00778_1</t>
  </si>
  <si>
    <t xml:space="preserve">M00778 </t>
  </si>
  <si>
    <t>B01109</t>
  </si>
  <si>
    <t>3인/125주</t>
  </si>
  <si>
    <t>1인/125주</t>
  </si>
  <si>
    <t xml:space="preserve">   5</t>
  </si>
  <si>
    <t xml:space="preserve">   6</t>
  </si>
  <si>
    <t xml:space="preserve">   7</t>
  </si>
  <si>
    <t xml:space="preserve">   8</t>
  </si>
  <si>
    <t xml:space="preserve">   9</t>
  </si>
  <si>
    <t xml:space="preserve">  10</t>
  </si>
  <si>
    <t xml:space="preserve">  11</t>
  </si>
  <si>
    <t xml:space="preserve">  12</t>
  </si>
  <si>
    <t xml:space="preserve">  13</t>
  </si>
  <si>
    <t>단 가 산 출 근 거</t>
  </si>
  <si>
    <t>공  종</t>
  </si>
  <si>
    <t>산  출  내  역</t>
  </si>
  <si>
    <t>QTY</t>
  </si>
  <si>
    <t>T</t>
  </si>
  <si>
    <t>S</t>
  </si>
  <si>
    <t>고임돌채집 기계  / m3</t>
  </si>
  <si>
    <t>D00150</t>
  </si>
  <si>
    <t>_x0007_'건설표준품셈 9-3 굴삭기 적용'</t>
  </si>
  <si>
    <t xml:space="preserve"> 건설표준품셈 9-3 굴삭기 적용 </t>
  </si>
  <si>
    <t>_x0007_</t>
  </si>
  <si>
    <t>_x0007_'Q : 시간당 작업량(m3/hr)'</t>
  </si>
  <si>
    <t xml:space="preserve"> Q : 시간당 작업량(m3/hr) </t>
  </si>
  <si>
    <t>_x0007_'q : 버킷용량(m3)'</t>
  </si>
  <si>
    <t xml:space="preserve"> q : 버킷용량(m3) </t>
  </si>
  <si>
    <t>_x0007_'E : 작업효율'</t>
  </si>
  <si>
    <t xml:space="preserve"> E : 작업효율 </t>
  </si>
  <si>
    <t>_x0007_'f :  토량의 체적 환산계수'</t>
  </si>
  <si>
    <t xml:space="preserve"> f :  토량의 체적 환산계수 </t>
  </si>
  <si>
    <t>_x0007_'K : 버킷계수'</t>
  </si>
  <si>
    <t xml:space="preserve"> K : 버킷계수 </t>
  </si>
  <si>
    <t>_x0007_'Cm : 1회 사이클 시간(초)'</t>
  </si>
  <si>
    <t xml:space="preserve"> Cm : 1회 사이클 시간(초) </t>
  </si>
  <si>
    <t>_x0007_'적용기계장비 : 굴삭기(무한궤도 0.2m3 급)'</t>
  </si>
  <si>
    <t xml:space="preserve"> 적용기계장비 : 굴삭기(무한궤도 0.2m3 급) </t>
  </si>
  <si>
    <t>_x0007_'작업조건 : 계곡에 산재한 고임돌을 채집'</t>
  </si>
  <si>
    <t xml:space="preserve"> 작업조건 : 계곡에 산재한 고임돌을 채집 </t>
  </si>
  <si>
    <t>_x0007_'운반거리 : 20m(1회 10m 2단)'</t>
  </si>
  <si>
    <t xml:space="preserve"> 운반거리 : 20m(1회 10m 2단) </t>
  </si>
  <si>
    <t>_x0007_'1. 채집  '</t>
  </si>
  <si>
    <t xml:space="preserve"> 1. 채집   </t>
  </si>
  <si>
    <t>_x0007_ q = 0.2 , f = 1/1.125 =  , K = 0.55</t>
  </si>
  <si>
    <t>_x0007_ Cm = 18'sec (135˚)', E = 0.35</t>
  </si>
  <si>
    <t>=</t>
  </si>
  <si>
    <t>,</t>
  </si>
  <si>
    <t>/</t>
  </si>
  <si>
    <t>_x0007_ Q = 3600*q*K*f*E/Cm ='m3/hr'</t>
  </si>
  <si>
    <t>_x0007_'노 무 비  :'&amp;X00007L&amp; / Q  =</t>
  </si>
  <si>
    <t>*</t>
  </si>
  <si>
    <t>X00007L</t>
  </si>
  <si>
    <t>X00007_1</t>
  </si>
  <si>
    <t>1/</t>
  </si>
  <si>
    <t>_x0007_'재 료 비  :'&amp;X00007M&amp; / Q  =</t>
  </si>
  <si>
    <t>X00007M</t>
  </si>
  <si>
    <t>_x0007_'경    비  :'&amp;X00007S&amp; / Q  =</t>
  </si>
  <si>
    <t>X00007S</t>
  </si>
  <si>
    <t>_x0007_(=)</t>
  </si>
  <si>
    <t>소계</t>
  </si>
  <si>
    <t>T1_1</t>
  </si>
  <si>
    <t>_x0007_'2. 운반  '</t>
  </si>
  <si>
    <t xml:space="preserve"> 2. 운반   </t>
  </si>
  <si>
    <t>_x0007_ Cm = 18'sec (135˚)', E = 0.45</t>
  </si>
  <si>
    <t>_x0007_(==)</t>
  </si>
  <si>
    <t>T2_1</t>
  </si>
  <si>
    <t>총        계</t>
  </si>
  <si>
    <t>계약단가</t>
  </si>
  <si>
    <t>D01426</t>
  </si>
  <si>
    <t>_x0007_'건설표준품셈 3-4-4(뒤채움 및 다짐) 적용'</t>
  </si>
  <si>
    <t xml:space="preserve"> 건설표준품셈 3-4-4(뒤채움 및 다짐) 적용 </t>
  </si>
  <si>
    <t>_x0007_'설치유형 : 인력, 굴삭기0.2m3'</t>
  </si>
  <si>
    <t xml:space="preserve"> 설치유형 : 인력, 굴삭기0.2m3 </t>
  </si>
  <si>
    <t>_x0007_'작업유형 : 포설 및 고르기를 포함'</t>
  </si>
  <si>
    <t xml:space="preserve"> 작업유형 : 포설 및 고르기를 포함 </t>
  </si>
  <si>
    <t>_x0007_'1.노무비'</t>
  </si>
  <si>
    <t xml:space="preserve"> 1.노무비 </t>
  </si>
  <si>
    <t>_x0007_'특별인부 :'&amp;L00003&amp; * 1 / 110 :=A01</t>
  </si>
  <si>
    <t>L00003</t>
  </si>
  <si>
    <t>L00003_1</t>
  </si>
  <si>
    <t>1*</t>
  </si>
  <si>
    <t>_x0007_'보통인부 :'&amp;L00002&amp; * 1 / 110 :=A01</t>
  </si>
  <si>
    <t>L00002</t>
  </si>
  <si>
    <t>_x0007_'2.기계경비(굴삭기0.2m3)'</t>
  </si>
  <si>
    <t xml:space="preserve"> 2.기계경비(굴삭기0.2m3) </t>
  </si>
  <si>
    <t>_x0007_ Q = 110'm3/일'</t>
  </si>
  <si>
    <t>_x0007_'노 무 비 : '&amp;X00003L&amp; * 8 / Q =</t>
  </si>
  <si>
    <t>X00003L</t>
  </si>
  <si>
    <t>X00003_1</t>
  </si>
  <si>
    <t>_x0007_'재 료 비 : '&amp;X00003M&amp; * 8 / Q =</t>
  </si>
  <si>
    <t>X00003M</t>
  </si>
  <si>
    <t>_x0007_'경    비 : '&amp;X00003S&amp; * 8 / Q =</t>
  </si>
  <si>
    <t>X00003S</t>
  </si>
  <si>
    <t>D01427</t>
  </si>
  <si>
    <t>_x0007_'건설표준품셈 8-2-3(굴삭기) , 8-2-8(덤프트럭) 적용 '</t>
  </si>
  <si>
    <t xml:space="preserve"> 건설표준품셈 8-2-3(굴삭기) , 8-2-8(덤프트럭) 적용  </t>
  </si>
  <si>
    <t>_x0007_'&lt;굴삭기&gt; '</t>
  </si>
  <si>
    <t xml:space="preserve"> &lt;굴삭기&gt;  </t>
  </si>
  <si>
    <t>_x0007_'Q : 시간당 작업량(m2/hr) '</t>
  </si>
  <si>
    <t xml:space="preserve"> Q : 시간당 작업량(m2/hr)  </t>
  </si>
  <si>
    <t>_x0007_'q : 버킷용량(m2)  '</t>
  </si>
  <si>
    <t xml:space="preserve"> q : 버킷용량(m2)   </t>
  </si>
  <si>
    <t>_x0007_'E : 작업효율 '</t>
  </si>
  <si>
    <t xml:space="preserve"> E : 작업효율  </t>
  </si>
  <si>
    <t>_x0007_'K : 버킷계수 '</t>
  </si>
  <si>
    <t xml:space="preserve"> K : 버킷계수  </t>
  </si>
  <si>
    <t>_x0007_'Cm : 1회 사이클 시간(초) '</t>
  </si>
  <si>
    <t xml:space="preserve"> Cm : 1회 사이클 시간(초)  </t>
  </si>
  <si>
    <t>_x0007_'&lt;덤프트럭&gt;'</t>
  </si>
  <si>
    <t xml:space="preserve"> &lt;덤프트럭&gt; </t>
  </si>
  <si>
    <t>_x0007_'Q : 1시간당 작업량(m2/hr) '</t>
  </si>
  <si>
    <t xml:space="preserve"> Q : 1시간당 작업량(m2/hr)  </t>
  </si>
  <si>
    <t>_x0007_'q : 흐트러진 상태의 덤프트럭 1회 적재량(m3) '</t>
  </si>
  <si>
    <t xml:space="preserve"> q : 흐트러진 상태의 덤프트럭 1회 적재량(m3)  </t>
  </si>
  <si>
    <t>_x0007_'E : 작업효율(0.9)'</t>
  </si>
  <si>
    <t xml:space="preserve"> E : 작업효율(0.9) </t>
  </si>
  <si>
    <t>_x0007_'f :  체적 환산계수'</t>
  </si>
  <si>
    <t xml:space="preserve"> f :  체적 환산계수 </t>
  </si>
  <si>
    <t>_x0007_'Cm : 1회 사이클 시간(분) '</t>
  </si>
  <si>
    <t xml:space="preserve"> Cm : 1회 사이클 시간(분)  </t>
  </si>
  <si>
    <t>_x0007_'Cm = t1 + t2 + t3 + t4 '</t>
  </si>
  <si>
    <t xml:space="preserve"> Cm = t1 + t2 + t3 + t4  </t>
  </si>
  <si>
    <t>_x0007_'t1 : 적재시간(분)'</t>
  </si>
  <si>
    <t xml:space="preserve"> t1 : 적재시간(분) </t>
  </si>
  <si>
    <t>_x0007_'t2 : 왕복시간(분) '</t>
  </si>
  <si>
    <t xml:space="preserve"> t2 : 왕복시간(분)  </t>
  </si>
  <si>
    <t>_x0007_'t3 : 적하시간(분)'</t>
  </si>
  <si>
    <t xml:space="preserve"> t3 : 적하시간(분) </t>
  </si>
  <si>
    <t>_x0007_'t4 : 대기시간(분)'</t>
  </si>
  <si>
    <t xml:space="preserve"> t4 : 대기시간(분) </t>
  </si>
  <si>
    <t>_x0007_'적용기계장비 : 굴삭기(무한궤도 0.7m3 급), 덤프15.0톤 '</t>
  </si>
  <si>
    <t xml:space="preserve"> 적용기계장비 : 굴삭기(무한궤도 0.7m3 급), 덤프15.0톤  </t>
  </si>
  <si>
    <t>_x0007_'◇작업조건 : 절취(암)을 유용'</t>
  </si>
  <si>
    <t xml:space="preserve"> ◇작업조건 : 절취(암)을 유용 </t>
  </si>
  <si>
    <t>_x0007_ '1.0÷0.30÷0.30 = 11개/m2'</t>
  </si>
  <si>
    <t xml:space="preserve">  1.0÷0.30÷0.30 = 11개/m2 </t>
  </si>
  <si>
    <t>_x0007_ '굴삭기 버켓 적재수량 4개 적용'</t>
  </si>
  <si>
    <t xml:space="preserve">  굴삭기 버켓 적재수량 4개 적용 </t>
  </si>
  <si>
    <t xml:space="preserve">_x0007_ </t>
  </si>
  <si>
    <t>_x0007_'1) 채집(B/H 0.7㎥)'</t>
  </si>
  <si>
    <t xml:space="preserve"> 1) 채집(B/H 0.7㎥) </t>
  </si>
  <si>
    <t>_x0007_ q'(버킷용량)' = 4/11 ='m2' , f'(토량환산계수)' = 1  ,</t>
  </si>
  <si>
    <t>_x0007_ K'(버킷계수)' = 0.55</t>
  </si>
  <si>
    <t>_x0007_ Cm'(사이클)' = 20'sec (135˚)', E'(작업효율)' = 0.35</t>
  </si>
  <si>
    <t>_x0007_ Q'(시간당 작업효율)' = 3600*q*K*f*E/Cm ='m2/hr'</t>
  </si>
  <si>
    <t>_x0007_'노 무 비  :'&amp;X00009L&amp; / Q =</t>
  </si>
  <si>
    <t>X00009L</t>
  </si>
  <si>
    <t>X00009_1</t>
  </si>
  <si>
    <t>_x0007_'재 료 비  :'&amp;X00009M&amp; / Q =</t>
  </si>
  <si>
    <t>X00009M</t>
  </si>
  <si>
    <t>_x0007_'경    비  :'&amp;X00009S&amp; / Q =</t>
  </si>
  <si>
    <t>X00009S</t>
  </si>
  <si>
    <t>_x0007_'2) 상차 '</t>
  </si>
  <si>
    <t xml:space="preserve"> 2) 상차  </t>
  </si>
  <si>
    <t>_x0007_ Cm1'(사이클)' = 18'sec (90˚)', E1'(작업효율)' = 0.45</t>
  </si>
  <si>
    <t>_x0007_ Q'(시간당 작업효율)' = 3600*q*K*f*E1/Cm1 ='m2/hr'</t>
  </si>
  <si>
    <t>_x0007_'노 무 비  :'&amp;X00009L&amp; / Q  =</t>
  </si>
  <si>
    <t>_x0007_'재 료 비  :'&amp;X00009M&amp; / Q  =</t>
  </si>
  <si>
    <t>_x0007_'경    비  :'&amp;X00009S&amp; / Q  =</t>
  </si>
  <si>
    <t>_x0007_'(3) 운 반 (덤프4.5톤)'</t>
  </si>
  <si>
    <t xml:space="preserve"> (3) 운 반 (덤프4.5톤) </t>
  </si>
  <si>
    <t>_x0007_L'(거리)' = 0.20 'Km'</t>
  </si>
  <si>
    <t>_x0007_q1'(버킷용량)' = 4.5 / (0.45*0.77*2.65) = 'm2'</t>
  </si>
  <si>
    <t>_x0007_E'(작업효율)' = 0.9 , f'(토량환산계수)' = 1 ,</t>
  </si>
  <si>
    <t>/(</t>
  </si>
  <si>
    <t>)</t>
  </si>
  <si>
    <t>_x0007_k'(버킷계수)' = 0.55</t>
  </si>
  <si>
    <t>_x0007_q2'(굴삭기 버킷용량)' = 4/11 = 'm2'</t>
  </si>
  <si>
    <t>_x0007_n = q1 / (q2 * k) = '회'</t>
  </si>
  <si>
    <t>_x0007_t1 = Cm1 * n / (60 * E1) ='분'</t>
  </si>
  <si>
    <t>_x0007_t2 =(L/10+L/15) * 60 ='분'</t>
  </si>
  <si>
    <t>_x0007_t3 = 0.8'분', t4 = 0.42'분'</t>
  </si>
  <si>
    <t>(</t>
  </si>
  <si>
    <t>+</t>
  </si>
  <si>
    <t>)*</t>
  </si>
  <si>
    <t>_x0007_Cm2 = t1 + t2 + t3 + t4 ='분'</t>
  </si>
  <si>
    <t>_x0007_OH = (cm2 - t1)/cm2 =</t>
  </si>
  <si>
    <t>_x0007_Q = 60 * q1 * f * E / Cm2 ='m2/hr'</t>
  </si>
  <si>
    <t>-</t>
  </si>
  <si>
    <t>)/</t>
  </si>
  <si>
    <t>_x0007_'노 무 비  :'  &amp;X00031L&amp; / Q =</t>
  </si>
  <si>
    <t>X00031L</t>
  </si>
  <si>
    <t>X00031_1</t>
  </si>
  <si>
    <t>_x0007_'재 료 비  :'  &amp;X00031M&amp; / Q * OH=</t>
  </si>
  <si>
    <t>X00031M</t>
  </si>
  <si>
    <t>_x0007_'경    비  :'  &amp;X00031S&amp; / Q =</t>
  </si>
  <si>
    <t>X00031S</t>
  </si>
  <si>
    <t>D01438</t>
  </si>
  <si>
    <t>_x0007_'적용기계장비 : 굴삭기(무한궤도 0.7m3 급), 덤프2.5톤 '</t>
  </si>
  <si>
    <t xml:space="preserve"> 적용기계장비 : 굴삭기(무한궤도 0.7m3 급), 덤프2.5톤  </t>
  </si>
  <si>
    <t>_x0007_'◇작업조건 : '</t>
  </si>
  <si>
    <t xml:space="preserve"> ◇작업조건 :  </t>
  </si>
  <si>
    <t>_x0007_ '임도주변에 산재하여 매몰되어 있는 곳'</t>
  </si>
  <si>
    <t xml:space="preserve">  임도주변에 산재하여 매몰되어 있는 곳 </t>
  </si>
  <si>
    <t>_x0007_ q'(버킷용량)' = 5/17 ='m2' , f'(토량환산계수)' = 1  ,</t>
  </si>
  <si>
    <t>_x0007_ Cm'(사이클)' = 18'sec (90˚)', E'(작업효율)' = 0.45</t>
  </si>
  <si>
    <t>_x0007_'노 무 비  :'&amp;X00088L&amp; / Q =</t>
  </si>
  <si>
    <t>X00088L</t>
  </si>
  <si>
    <t>X00088_1</t>
  </si>
  <si>
    <t>_x0007_'재 료 비  :'&amp;X00088M&amp; / Q =</t>
  </si>
  <si>
    <t>X00088M</t>
  </si>
  <si>
    <t>_x0007_'경    비  :'&amp;X00088S&amp; / Q =</t>
  </si>
  <si>
    <t>X00088S</t>
  </si>
  <si>
    <t>_x0007_'노 무 비  :'&amp;X00088L&amp; / Q  =</t>
  </si>
  <si>
    <t>_x0007_'재 료 비  :'&amp;X00088M&amp; / Q  =</t>
  </si>
  <si>
    <t>_x0007_'경    비  :'&amp;X00088S&amp; / Q  =</t>
  </si>
  <si>
    <t>_x0007_'(3) 운 반 (덤프2.5톤)'</t>
  </si>
  <si>
    <t xml:space="preserve"> (3) 운 반 (덤프2.5톤) </t>
  </si>
  <si>
    <t>_x0007_q1'(버킷용량)' = 2500 / 720 = 'm2'</t>
  </si>
  <si>
    <t>_x0007_q2'(굴삭기 버킷용량)' = 5/23 = 'm2'</t>
  </si>
  <si>
    <t>_x0007_t3 = 1.1'분', t4 = 0.7'분'</t>
  </si>
  <si>
    <t>_x0007_Cm = t1 + t2 + t3 + t4 ='분'</t>
  </si>
  <si>
    <t>_x0007_Q = 60 * q1 * f * E / Cm ='m2/hr'</t>
  </si>
  <si>
    <t>_x0007_'노 무 비  :'  &amp;X00090L&amp; / Q =</t>
  </si>
  <si>
    <t>X00090L</t>
  </si>
  <si>
    <t>X00090_1</t>
  </si>
  <si>
    <t>_x0007_'재 료 비  :'  &amp;X00090M&amp; / Q =</t>
  </si>
  <si>
    <t>X00090M</t>
  </si>
  <si>
    <t>_x0007_'경    비  :'  &amp;X00090S&amp; / Q =</t>
  </si>
  <si>
    <t>X00090S</t>
  </si>
  <si>
    <t>계 x 낙찰율(88.000%)</t>
  </si>
  <si>
    <t>D01439</t>
  </si>
  <si>
    <t>_x0007_ ' ○혼합석 운반 '</t>
  </si>
  <si>
    <t xml:space="preserve">   ○혼합석 운반  </t>
  </si>
  <si>
    <t>_x0007_' 채석장  -------------------------&gt; 현장 '</t>
  </si>
  <si>
    <t xml:space="preserve">  채석장  -------------------------&gt; 현장  </t>
  </si>
  <si>
    <t>_x0007_'1.골재대:별도계상'</t>
  </si>
  <si>
    <t xml:space="preserve"> 1.골재대:별도계상 </t>
  </si>
  <si>
    <t>_x0007_'2.적  상: 무   대 '</t>
  </si>
  <si>
    <t xml:space="preserve"> 2.적  상: 무   대  </t>
  </si>
  <si>
    <t>_x0007_'3. 운  반 (덤프 15ton, 24ton 비교적용)  '</t>
  </si>
  <si>
    <t xml:space="preserve"> 3. 운  반 (덤프 15ton, 24ton 비교적용)   </t>
  </si>
  <si>
    <t>_x0007_'(1) 덤프 15ton'</t>
  </si>
  <si>
    <t xml:space="preserve"> (1) 덤프 15ton </t>
  </si>
  <si>
    <t>_x0007_L1'(거리)'= 27.4'km(포  장)'</t>
  </si>
  <si>
    <t>_x0007_L2'(거리)'= 0.4'km(1차선포장이하)'</t>
  </si>
  <si>
    <t>_x0007_V1'(2차로 교외 포장도로,적재)'= 30'km/hr'</t>
  </si>
  <si>
    <t>_x0007_V2'(2차로 교외 포장도로,공차)'= 35'km/hr'</t>
  </si>
  <si>
    <t>_x0007_V3'(교차가 힘든 산간지도로,적재)'= 10'km/hr'</t>
  </si>
  <si>
    <t>_x0007_V4'(교차가 힘든 산간지도로,공차)'= 15'km/hr'</t>
  </si>
  <si>
    <t>_x0007_ f'(토량 환산계수)'=1/1.15 , E'(작업효율)'=0.9 , k'(버킷계수)'=1.0</t>
  </si>
  <si>
    <t>_x0007_ q1'(적재량)' = (15/1.70) * 1.15 =</t>
  </si>
  <si>
    <t>_x0007_ n'(회수)' =q1 / (1.34 * k) = '회'</t>
  </si>
  <si>
    <t>_x0007_ Cms'(초)'=1.8*8+6+14='초'</t>
  </si>
  <si>
    <t>_x0007_ t1'(산출시간)' =Cms * n / (60 * 0.6) ='분'</t>
  </si>
  <si>
    <t>_x0007_ t2'(왕복시간)' =(L1/V1+L1/V2+L2/V3+L2/V4) * 60 ='분'</t>
  </si>
  <si>
    <t>_x0007_ t3'(적하시간)'=0.8'분' , t4'(적재시간)'=0.42'분' ,</t>
  </si>
  <si>
    <t>_x0007_ t5'(적재함 덮개 설치 및 해체시간)'=0.5</t>
  </si>
  <si>
    <t>_x0007_ Cm'(사이클)' = t1 + t2 + t3 + t4 + t5 ='분'</t>
  </si>
  <si>
    <t>_x0007_ Q'(시간당 작업량)' = 60 * q1 * F * E / Cm ='m3/hr'</t>
  </si>
  <si>
    <t>_x0007_ '노 무 비  :'  &amp;X00028L&amp; / Q =</t>
  </si>
  <si>
    <t>X00028L</t>
  </si>
  <si>
    <t>X00028_1</t>
  </si>
  <si>
    <t>_x0007_ '재 료 비  :'  &amp;X00028M&amp; / Q =</t>
  </si>
  <si>
    <t>X00028M</t>
  </si>
  <si>
    <t>_x0007_ '경    비  :'  &amp;X00028S&amp; / Q =</t>
  </si>
  <si>
    <t>X00028S</t>
  </si>
  <si>
    <t>_x0007_                &amp;X00032S&amp; / Q =</t>
  </si>
  <si>
    <t>X00032S</t>
  </si>
  <si>
    <t>X00032_1</t>
  </si>
  <si>
    <t>_x0007_(-=)</t>
  </si>
  <si>
    <t>_x0007_'(2) 덤프 24ton'</t>
  </si>
  <si>
    <t xml:space="preserve"> (2) 덤프 24ton </t>
  </si>
  <si>
    <t>_x0007_ V1'(2차로 교외포장,적재)'=30 ,</t>
  </si>
  <si>
    <t>_x0007_ V2'(2차로 교외포장,공차)'=35 ,</t>
  </si>
  <si>
    <t>_x0007_ V3'(교차가 힘든 산간지도로,적재)'=10 ,</t>
  </si>
  <si>
    <t>_x0007_ V4'(교차가 힘든 산간지도로,공차)'=15</t>
  </si>
  <si>
    <t>_x0007_ q1'(적재량)' = (24/1.60) * 1.15 =</t>
  </si>
  <si>
    <t>_x0007_ t1'(산출시간)' =Cms * n / (60 * 0.75) ='분'</t>
  </si>
  <si>
    <t>_x0007_ t2'(왕복시간)' =(L1/V1+L1/V2+L2/V3+L2/V4 ) * 60 ='분'</t>
  </si>
  <si>
    <t>_x0007_ t5'(적재함 덮개 설치 및 해체시간)'=0.5'분'</t>
  </si>
  <si>
    <t>_x0007_ '노 무 비  :'  &amp;X00085L&amp; / Q =</t>
  </si>
  <si>
    <t>X00085L</t>
  </si>
  <si>
    <t>X00085_1</t>
  </si>
  <si>
    <t>_x0007_ '재 료 비  :'  &amp;X00085M&amp; / Q =</t>
  </si>
  <si>
    <t>X00085M</t>
  </si>
  <si>
    <t>_x0007_ '경    비  :'  &amp;X00085S&amp; / Q =</t>
  </si>
  <si>
    <t>X00085S</t>
  </si>
  <si>
    <t>_x0007_                &amp;X00084S&amp; / Q =</t>
  </si>
  <si>
    <t>X00084S</t>
  </si>
  <si>
    <t>X00084_1</t>
  </si>
  <si>
    <t>계  (경비 로적용)</t>
  </si>
  <si>
    <t>D01441</t>
  </si>
  <si>
    <t>_x0007_'건설표준품셈 8-2-3 굴삭기 적용'</t>
  </si>
  <si>
    <t xml:space="preserve"> 건설표준품셈 8-2-3 굴삭기 적용 </t>
  </si>
  <si>
    <t>_x0007_'적용기계장비 : 굴삭기(무한궤도 0.7m3 급)'</t>
  </si>
  <si>
    <t xml:space="preserve"> 적용기계장비 : 굴삭기(무한궤도 0.7m3 급) </t>
  </si>
  <si>
    <t>_x0007_'t=10cm , N=1회'</t>
  </si>
  <si>
    <t xml:space="preserve"> t=10cm , N=1회 </t>
  </si>
  <si>
    <t>_x0007_q'(버킷용량)' = 0.7 , f'(체적환산계수)' = 1.0 , K'(버킷계수)' = 0.9</t>
  </si>
  <si>
    <t>_x0007_Cm'(사이클 시간)' = 20'sec (135˚)', E'(작업효율)' = 0.55</t>
  </si>
  <si>
    <t>_x0007_Q'(시간당 작업량)' = 3600*q*K*f*E/Cm ='m3/hr'</t>
  </si>
  <si>
    <t>_x0007_'노 무 비  :'&amp;X00005L&amp; / Q * 0.1 * 1 =</t>
  </si>
  <si>
    <t>X00005L</t>
  </si>
  <si>
    <t>X00005_1</t>
  </si>
  <si>
    <t>_x0007_'재 료 비  :'&amp;X00005M&amp; / Q * 0.1 * 1 =</t>
  </si>
  <si>
    <t>X00005M</t>
  </si>
  <si>
    <t>_x0007_'경    비  :'&amp;X00005S&amp; / Q * 0.1 * 1 =</t>
  </si>
  <si>
    <t>X00005S</t>
  </si>
  <si>
    <t>D01442</t>
  </si>
  <si>
    <t>_x0007_ '건설표준품셈 11-8(모터그레이터), 11-10(롤러) 적용'</t>
  </si>
  <si>
    <t xml:space="preserve">  건설표준품셈 11-8(모터그레이터), 11-10(롤러) 적용 </t>
  </si>
  <si>
    <t>_x0007_ '적용토질 : 력질토'</t>
  </si>
  <si>
    <t xml:space="preserve">  적용토질 : 력질토 </t>
  </si>
  <si>
    <t>_x0007_ '적용 기계장비 : 굴삭기 0.7m3, 진동로라 10톤'</t>
  </si>
  <si>
    <t xml:space="preserve">  적용 기계장비 : 굴삭기 0.7m3, 진동로라 10톤 </t>
  </si>
  <si>
    <t>_x0007_' 1)부설 (굴삭기 0.7m3, 무한궤도) '</t>
  </si>
  <si>
    <t xml:space="preserve">  1)부설 (굴삭기 0.7m3, 무한궤도)  </t>
  </si>
  <si>
    <t>_x0007_q'(버킷용량)' = 0.7 , k'(버킷계수)' = 0.55 , f'(체적환산계수)' =1.0</t>
  </si>
  <si>
    <t>_x0007_E'(작업효율)' = 0.35 , Cm'(사이클 시간)' = 20 'sec(135)'</t>
  </si>
  <si>
    <t>_x0007_Q'(시간당 작업량)' = 3600*q*k*E*f/Cm ='m3/hr'</t>
  </si>
  <si>
    <t>_x0007_'노 무 비  :'  &amp;X00005L&amp; / Q   =</t>
  </si>
  <si>
    <t>_x0007_'재 료 비  :'  &amp;X00005M&amp; / Q   =</t>
  </si>
  <si>
    <t>_x0007_'경    비  :'  &amp;X00005S&amp; / Q   =</t>
  </si>
  <si>
    <t>_x0007_'2)다짐 (진동로라10TON)'</t>
  </si>
  <si>
    <t xml:space="preserve"> 2)다짐 (진동로라10TON) </t>
  </si>
  <si>
    <t>_x0007_V '(다짐속도(km/hr))' = 4.0</t>
  </si>
  <si>
    <t>_x0007_W1 '(롤러의 유효폭(m))' = 1.9</t>
  </si>
  <si>
    <t>_x0007_N '(소요 다짐 횟수)' = 6</t>
  </si>
  <si>
    <t>_x0007_E '(작업효율)' = 0.4</t>
  </si>
  <si>
    <t>_x0007_f '(토량의 체적 환산계수)' = 1</t>
  </si>
  <si>
    <t>_x0007_A '(시간당 다짐 면적(m2/hr))' = 1000 * V * W1 * E * f / N =  'm2/Hr'</t>
  </si>
  <si>
    <t>_x0007_'노 무 비  :'&amp;X00094L&amp; / A * 10 =</t>
  </si>
  <si>
    <t>X00094L</t>
  </si>
  <si>
    <t>X00094_1</t>
  </si>
  <si>
    <t>_x0007_'재 료 비  :'&amp;X00094M&amp; / A * 10 =</t>
  </si>
  <si>
    <t>X00094M</t>
  </si>
  <si>
    <t>_x0007_'경    비  :'&amp;X00094S&amp; / A * 10 =</t>
  </si>
  <si>
    <t>X00094S</t>
  </si>
  <si>
    <t>D01443</t>
  </si>
  <si>
    <t>_x0007_'정비단면' A = 4.0 * 1.0 =</t>
  </si>
  <si>
    <t>_x0007_'정비두께' T = 0.2 =</t>
  </si>
  <si>
    <t>_x0007_'노 무 비  :'&amp;X00005L&amp; / Q * A * t =</t>
  </si>
  <si>
    <t>_x0007_'재 료 비  :'&amp;X00005M&amp; / Q * A * t =</t>
  </si>
  <si>
    <t>_x0007_'경    비  :'&amp;X00005S&amp; / Q * A * t =</t>
  </si>
  <si>
    <t>D01445</t>
  </si>
  <si>
    <t>_x0007_'건설표준품셈 8-2-3(굴삭기), 8-2-8(덤프트럭) 적용'</t>
  </si>
  <si>
    <t xml:space="preserve"> 건설표준품셈 8-2-3(굴삭기), 8-2-8(덤프트럭) 적용 </t>
  </si>
  <si>
    <t>_x0007_'○모 래 소 운 반'</t>
  </si>
  <si>
    <t xml:space="preserve"> ○모 래 소 운 반 </t>
  </si>
  <si>
    <t>_x0007_ '1. 상  차 : 굴삭기(0.7m3)'</t>
  </si>
  <si>
    <t xml:space="preserve">  1. 상  차 : 굴삭기(0.7m3) </t>
  </si>
  <si>
    <t>_x0007_ q2'(버킷용량)' = 0.7'm3'</t>
  </si>
  <si>
    <t>_x0007_ f'(체적환산계수)'= 1/1.15= , E'(작업효율)'=0.70 , k'(버킷계수)'=0.9</t>
  </si>
  <si>
    <t>_x0007_ Cm1 = 18 'sec(90˚)'</t>
  </si>
  <si>
    <t>_x0007_ Q'(시간당작업량)'= 3600 * q2 * k *f *E / Cm1 ='m3/hr'</t>
  </si>
  <si>
    <t>_x0007_ '노 무 비  :'  &amp;X00005L&amp; / Q =</t>
  </si>
  <si>
    <t>_x0007_ '재 료 비  :'  &amp;X00005M&amp; / Q =</t>
  </si>
  <si>
    <t>_x0007_ '경    비  :'  &amp;X00005S&amp; / Q =</t>
  </si>
  <si>
    <t>_x0007_ '2. 운  반 (덤프 4.5ton)'</t>
  </si>
  <si>
    <t xml:space="preserve">  2. 운  반 (덤프 4.5ton) </t>
  </si>
  <si>
    <t>_x0007_L'(운반거리)' = 0.1 'Km',E'(작업효율)' = 0.9 , f'(환산계수)' = 1/1.15 =</t>
  </si>
  <si>
    <t>_x0007_q1'(덤프트럭1회적재량)' = (4.5/1.60) * 1.15 =</t>
  </si>
  <si>
    <t>_x0007_n =q1 / (0.7 * k) = '회'</t>
  </si>
  <si>
    <t>_x0007_t1 = Cm1 * n / (60 * 0.7) ='분'</t>
  </si>
  <si>
    <t>_x0007_t2 =(L/7+L/8)* 60 ='분'</t>
  </si>
  <si>
    <t>_x0007_Q1 = 60 * q1 * f * E / Cm ='m3/hr'</t>
  </si>
  <si>
    <t>_x0007_'노 무 비  :'  &amp;X00024L&amp; / Q1 =</t>
  </si>
  <si>
    <t>X00024L</t>
  </si>
  <si>
    <t>X00024_1</t>
  </si>
  <si>
    <t>_x0007_'재 료 비  :'  &amp;X00024M&amp; / Q1 =</t>
  </si>
  <si>
    <t>X00024M</t>
  </si>
  <si>
    <t>_x0007_'경    비  :'  &amp;X00024S&amp; / Q1 =</t>
  </si>
  <si>
    <t>X00024S</t>
  </si>
  <si>
    <t>D01446</t>
  </si>
  <si>
    <t>_x0007_'건설표준품셈 11-9(덤프트럭) 적용'</t>
  </si>
  <si>
    <t xml:space="preserve"> 건설표준품셈 11-9(덤프트럭) 적용 </t>
  </si>
  <si>
    <t>_x0007_'○자 갈 소 운 반 '</t>
  </si>
  <si>
    <t xml:space="preserve"> ○자 갈 소 운 반  </t>
  </si>
  <si>
    <t>_x0007_ f'(체적환산계수)'= 1/1.15= , E'(작업효율)'=0.65 , k'(버킷계수)'=0.7</t>
  </si>
  <si>
    <t>_x0007_q1'(덤프트럭1회적재량)' = (4.5/1.70) * 1.15 =</t>
  </si>
  <si>
    <t>_x0007_n =q1 / (1.34 * k) = '회'</t>
  </si>
  <si>
    <t>D01447</t>
  </si>
  <si>
    <t>_x0007_' ○막 자 갈 소 운 반 '</t>
  </si>
  <si>
    <t xml:space="preserve">  ○막 자 갈 소 운 반  </t>
  </si>
  <si>
    <t>_x0007_ f'(체적환산계수)'= 1/1.125= , E'(작업효율)'=0.65 , k'(버킷계수)'=0.7</t>
  </si>
  <si>
    <t>_x0007_L'(운반거리)' = 0.1 'Km',E'(작업효율)' = 0.9 , f'(환산계수)' = 1/1.125 =</t>
  </si>
  <si>
    <t>_x0007_q1'(덤프트럭1회적재량)' = (4.5/1.70) * 1.125 =</t>
  </si>
  <si>
    <t>_x0007_n =q1 / (0.70 * k) = '회'</t>
  </si>
  <si>
    <t>_x0007_t1 = Cm1 * n / (60 * 0.50) ='분'</t>
  </si>
  <si>
    <t>D01448</t>
  </si>
  <si>
    <t>_x0007_' 파쇄암 소운반 '</t>
  </si>
  <si>
    <t xml:space="preserve">  파쇄암 소운반  </t>
  </si>
  <si>
    <t>_x0007_         ' 포  장 :' L1 =  0.0'km'</t>
  </si>
  <si>
    <t>_x0007_' 골재장  -------------------------&gt; 현장 '</t>
  </si>
  <si>
    <t xml:space="preserve">  골재장  -------------------------&gt; 현장  </t>
  </si>
  <si>
    <t>_x0007_         ' 비포장 :' L2 =  0.1'km'</t>
  </si>
  <si>
    <t>_x0007_  '1. 상  차 : 굴삭기(0.7m3)'</t>
  </si>
  <si>
    <t xml:space="preserve">   1. 상  차 : 굴삭기(0.7m3) </t>
  </si>
  <si>
    <t>_x0007_ q2'(버킷용량)' = 1.43 'ton'</t>
  </si>
  <si>
    <t>_x0007_ f'(체적환산계수)'= 1 , E'(작업효율)'=0.45 , k'(버킷계수)'=0.55</t>
  </si>
  <si>
    <t>_x0007_ '노 무 비  :'  &amp;X00009L&amp; / Q =</t>
  </si>
  <si>
    <t>_x0007_ '재 료 비  :'  &amp;X00009M&amp; / Q =</t>
  </si>
  <si>
    <t>_x0007_ '경    비  :'  &amp;X00009S&amp; / Q =</t>
  </si>
  <si>
    <t>_x0007_ (=)</t>
  </si>
  <si>
    <t>_x0007_ f'(체적환산계수)'=1.0 , E'(작업효율)'=0.9 , k'(버킷계수)'=0.55</t>
  </si>
  <si>
    <t>_x0007_ V1=30 , V2=35 , V3=7 , V4=8</t>
  </si>
  <si>
    <t>_x0007_ q1'(덤프1대적재량)' = 4.5'톤'</t>
  </si>
  <si>
    <t>_x0007_ n'(덤프1대 적재시 적재기계의 사이클횟수)' =q1 / (q2 * k) = '회'</t>
  </si>
  <si>
    <t>_x0007_ t1'(상차시간)' =Cm1 * n / (60 * 0.35) ='분'</t>
  </si>
  <si>
    <t>_x0007_ t2'(운반시간)' =(L1/V1+L1/V2+L2/V3+L2/V4 ) * 60 ='분'</t>
  </si>
  <si>
    <t>_x0007_ t3'(적하시간)'=0.8'분' , t4'(적재 대기시간)'=0.7'분'</t>
  </si>
  <si>
    <t>_x0007_ Cm'(사이클시간)' = t1 + t2 + t3 + t4 ='분'</t>
  </si>
  <si>
    <t>_x0007_ Q'(시간당운반량)' = 60 * q1 * F * E / Cm ='ton/hr'</t>
  </si>
  <si>
    <t>_x0007_ '노 무 비  :'  &amp;X00092L&amp; / Q =</t>
  </si>
  <si>
    <t>X00092L</t>
  </si>
  <si>
    <t>X00092_1</t>
  </si>
  <si>
    <t>_x0007_ '재 료 비  :'  &amp;X00092M&amp; / Q =</t>
  </si>
  <si>
    <t>X00092M</t>
  </si>
  <si>
    <t>_x0007_ '경    비  :'  &amp;X00092S&amp; / Q =</t>
  </si>
  <si>
    <t>X00092S</t>
  </si>
  <si>
    <t>_x0007_ (==)</t>
  </si>
  <si>
    <t>D01453</t>
  </si>
  <si>
    <t>_x0007_ '인력운반'</t>
  </si>
  <si>
    <t xml:space="preserve">  인력운반 </t>
  </si>
  <si>
    <t>_x0007_ '평균 운반거리 L = 100m'</t>
  </si>
  <si>
    <t xml:space="preserve">  평균 운반거리 L = 100m </t>
  </si>
  <si>
    <t>_x0007_'1). 인력운반(L=100M)'</t>
  </si>
  <si>
    <t xml:space="preserve"> 1). 인력운반(L=100M) </t>
  </si>
  <si>
    <t>_x0007_L=100, V=2000, T1=1, T=480-30=</t>
  </si>
  <si>
    <t>_x0007_N=V*T/(120*L+V*T1)='회/일'</t>
  </si>
  <si>
    <t>_x0007_Q=N*0.025'ton'='ton/일'</t>
  </si>
  <si>
    <t>_x0007_'보통인부 :'&amp;L00002&amp; / Q ='원/ton'</t>
  </si>
  <si>
    <t>D01455</t>
  </si>
  <si>
    <t>단가산출근거 수량,금액 집계표</t>
  </si>
  <si>
    <t xml:space="preserve">   2</t>
  </si>
  <si>
    <t xml:space="preserve">  14</t>
  </si>
  <si>
    <t xml:space="preserve">  15</t>
  </si>
  <si>
    <t xml:space="preserve">  25</t>
  </si>
  <si>
    <t xml:space="preserve">  26</t>
  </si>
  <si>
    <t xml:space="preserve">  27</t>
  </si>
  <si>
    <t xml:space="preserve">  28</t>
  </si>
  <si>
    <t xml:space="preserve">  29</t>
  </si>
  <si>
    <t xml:space="preserve">  30</t>
  </si>
  <si>
    <t xml:space="preserve">  31</t>
  </si>
  <si>
    <t xml:space="preserve">  32</t>
  </si>
  <si>
    <t xml:space="preserve">  33</t>
  </si>
  <si>
    <t xml:space="preserve">  34</t>
  </si>
  <si>
    <t xml:space="preserve">  35</t>
  </si>
  <si>
    <t>중 기 사 용 료</t>
  </si>
  <si>
    <t>제 1 호표</t>
  </si>
  <si>
    <t>X00003</t>
  </si>
  <si>
    <t>_x0007_`COD|S00003_x0005_`EXI|0_x0005_`DVD|F_x0005_`BMK| _x0005_`IPR|0_x0005_`BLA|F_x0005_`</t>
  </si>
  <si>
    <t>S00003_1</t>
  </si>
  <si>
    <t xml:space="preserve">S00003 </t>
  </si>
  <si>
    <t>_x0007_`COD|L00024_x0005_`EXI|0_x0005_`DVD|F_x0005_`BMK| _x0005_`IPR|0_x0005_`BLA|F_x0005_`</t>
  </si>
  <si>
    <t>L00024_1</t>
  </si>
  <si>
    <t xml:space="preserve">L00024 </t>
  </si>
  <si>
    <t>_x0007_`COD|M00758_x0005_`EXI|0_x0005_`DVD|F_x0005_`BMK| _x0005_`IPR|1_x0005_`KWN|0_x0005_`BLA|F_x0005_`</t>
  </si>
  <si>
    <t>M00758_1</t>
  </si>
  <si>
    <t xml:space="preserve">M00758 </t>
  </si>
  <si>
    <t>주연료의%</t>
  </si>
  <si>
    <t>_x0007_`COD|PR_x0005_`EXI|1_x0005_`DVD|F_x0005_`BMK| _x0005_`IPR|0_x0005_`EQC|A01_x0005_`PRI|1_x0005_`PRO|1_x0005_`UNI|%_x0005_`BLA|F_x0005_`</t>
  </si>
  <si>
    <t>X00005</t>
  </si>
  <si>
    <t>_x0007_`COD|S00005_x0005_`EXI|0_x0005_`DVD|F_x0005_`BMK| _x0005_`IPR|0_x0005_`BLA|F_x0005_`</t>
  </si>
  <si>
    <t>S00005_1</t>
  </si>
  <si>
    <t xml:space="preserve">S00005 </t>
  </si>
  <si>
    <t>X00007</t>
  </si>
  <si>
    <t>X00009</t>
  </si>
  <si>
    <t>X00024</t>
  </si>
  <si>
    <t>_x0007_`COD|S00017_x0005_`EXI|0_x0005_`DVD|F_x0005_`BMK| _x0005_`IPR|0_x0005_`BLA|F_x0005_`</t>
  </si>
  <si>
    <t>S00017_1</t>
  </si>
  <si>
    <t xml:space="preserve">S00017 </t>
  </si>
  <si>
    <t>_x0007_`COD|L00026_x0005_`EXI|0_x0005_`DVD|F_x0005_`BMK| _x0005_`IPR|0_x0005_`BLA|F_x0005_`</t>
  </si>
  <si>
    <t>L00026_1</t>
  </si>
  <si>
    <t xml:space="preserve">L00026 </t>
  </si>
  <si>
    <t>X00028</t>
  </si>
  <si>
    <t>_x0007_`COD|S00021_x0005_`EXI|0_x0005_`DVD|F_x0005_`BMK| _x0005_`IPR|0_x0005_`BLA|F_x0005_`</t>
  </si>
  <si>
    <t>S00021_1</t>
  </si>
  <si>
    <t xml:space="preserve">S00021 </t>
  </si>
  <si>
    <t>X00031</t>
  </si>
  <si>
    <t>X00032</t>
  </si>
  <si>
    <t>_x0007_`COD|S00022_x0005_`EXI|0_x0005_`DVD|F_x0005_`BMK| _x0005_`IPR|0_x0005_`BLA|F_x0005_`</t>
  </si>
  <si>
    <t>S00022_1</t>
  </si>
  <si>
    <t xml:space="preserve">S00022 </t>
  </si>
  <si>
    <t>X00084</t>
  </si>
  <si>
    <t>_x0007_`COD|S00165_x0005_`EXI|0_x0005_`DVD|F_x0005_`BMK| _x0005_`IPR|0_x0005_`BLA|F_x0005_`</t>
  </si>
  <si>
    <t>S00165_1</t>
  </si>
  <si>
    <t xml:space="preserve">S00165 </t>
  </si>
  <si>
    <t>X00085</t>
  </si>
  <si>
    <t>_x0007_`COD|S00145_x0005_`EXI|0_x0005_`DVD|F_x0005_`BMK| _x0005_`IPR|0_x0005_`BLA|F_x0005_`</t>
  </si>
  <si>
    <t>S00145_1</t>
  </si>
  <si>
    <t xml:space="preserve">S00145 </t>
  </si>
  <si>
    <t>X00087</t>
  </si>
  <si>
    <t>_x0007_`COD|S00151_x0005_`EXI|0_x0005_`DVD|F_x0005_`BMK| _x0005_`IPR|0_x0005_`BLA|F_x0005_`</t>
  </si>
  <si>
    <t>S00151_1</t>
  </si>
  <si>
    <t xml:space="preserve">S00151 </t>
  </si>
  <si>
    <t>_x0007_`COD|S00138_x0005_`EXI|0_x0005_`DVD|F_x0005_`BMK| _x0005_`IPR|0_x0005_`BLA|F_x0005_`</t>
  </si>
  <si>
    <t>S00138_1</t>
  </si>
  <si>
    <t xml:space="preserve">S00138 </t>
  </si>
  <si>
    <t>X00088</t>
  </si>
  <si>
    <t>_x0007_`COD|M00758_x0005_`EXI|0_x0005_`DVD|F_x0005_`BMK| _x0005_`IPR|0_x0005_`KWN|0_x0005_`BLA|F_x0005_`</t>
  </si>
  <si>
    <t>_x0007_`COD|M00770_x0005_`EXI|0_x0005_`DVD|F_x0005_`BMK| _x0005_`IPR|0_x0005_`KWN|0_x0005_`BLA|F_x0005_`</t>
  </si>
  <si>
    <t>M00770_1</t>
  </si>
  <si>
    <t xml:space="preserve">M00770 </t>
  </si>
  <si>
    <t>X00090</t>
  </si>
  <si>
    <t>_x0007_`COD|S00170_x0005_`EXI|0_x0005_`DVD|F_x0005_`BMK| _x0005_`IPR|0_x0005_`BLA|F_x0005_`</t>
  </si>
  <si>
    <t>S00170_1</t>
  </si>
  <si>
    <t xml:space="preserve">S00170 </t>
  </si>
  <si>
    <t>X00092</t>
  </si>
  <si>
    <t>X00094</t>
  </si>
  <si>
    <t>_x0007_`COD|S00169_x0005_`EXI|0_x0005_`DVD|F_x0005_`BMK| _x0005_`IPR|0_x0005_`BLA|F_x0005_`</t>
  </si>
  <si>
    <t>S00169_1</t>
  </si>
  <si>
    <t xml:space="preserve">S00169 </t>
  </si>
  <si>
    <t>노무비 수량,금액 집계표</t>
  </si>
  <si>
    <t>중기 시간,금액 집계표</t>
  </si>
  <si>
    <t>=== 엑셀파일에 작성에 대한 안내문(반드시 읽어보세요) ===</t>
  </si>
  <si>
    <t>엑셀파일 수정후 계산식 반영이 안될경우 :【 Ctrl+Alt(+Shift)+F9 】</t>
  </si>
  <si>
    <t>◈ 엑셀파일내의 산식은 기초단가, 복합단가, 내역서 및 총괄내역서까지 연결됩니다.</t>
  </si>
  <si>
    <t xml:space="preserve">    (모든산식은 단가만을 불러오며, 명칭, 규격, 단위, 비고.. 등은 TEXT로 입력됩니다)</t>
  </si>
  <si>
    <t>◈ 각 Sheet우측에는 해당 항목을 찾아가는 위치이동(→) 링크가 있으며, 클릭하면 이동됩니다.</t>
  </si>
  <si>
    <t xml:space="preserve">    (Alt + ← 키를 이용하여 찾아갔던 항목을 되돌아 올 수 있습니다.)</t>
  </si>
  <si>
    <t>◈ 자재단가 대비표의 적용단가는 수식이 적용되지 않았으나, 우측에 최소단가 수식을 입력하였습니다.</t>
  </si>
  <si>
    <t>◈ 일위대가표 및 중기사용료 및 총괄내역서의 양식은 일반양식을 적용합니다.</t>
  </si>
  <si>
    <t>◈ [목차] 및 [안내] Sheet의 이름을 변경하지 마시고, Sheet이름을 변경할때 공백문자 및 특수문자를 사용하지 마십시요.</t>
  </si>
  <si>
    <t>※※※     아래의 내용(안내 및 오류)을 확인/검토 하세요     ※※※</t>
  </si>
  <si>
    <t>【환율및기초자료】8번째줄 에서 사용된【L00027】코드는 '노무비목록표'에서 찾을수 없어 단가를 수량으로 입력하였습니다.(사용되지않은 코드)</t>
  </si>
  <si>
    <t>【환율및기초자료】14번째줄 에서 사용된【L00027】코드는 '노무비목록표'에서 찾을수 없어 단가를 수량으로 입력하였습니다.(사용되지않은 코드)</t>
  </si>
  <si>
    <t>【총괄내역서】70번째줄의 I열 이윤보정액은 총공사비 금액이 다를경우 임의조정(±α) 하십시요.</t>
  </si>
  <si>
    <t>【총괄내역서】71번째줄의 I열 이윤보정액은 총공사비 금액이 다를경우 임의조정(±α) 하십시요.</t>
  </si>
  <si>
    <t>【총괄내역서】76번째줄의 D열에 계산된 총공사비 금액을 확인하십시요.</t>
  </si>
  <si>
    <t>【총괄내역서】77번째줄의 D열에 계산된 총공사비 금액을 확인하십시요.</t>
  </si>
  <si>
    <t>【일위대가표】20번째줄 에서 사용된【W00005】코드의 %단위(T%) 는 산식을 입력할 수 없으니 손료계산 형식으로 변경하십시요.</t>
  </si>
  <si>
    <t>【일위대가표】53번째줄 에서 사용된【W00005】코드의 %단위(T%) 는 산식을 입력할 수 없으니 손료계산 형식으로 변경하십시요.</t>
  </si>
  <si>
    <t>목    차</t>
  </si>
  <si>
    <t>1. ※※안내※※</t>
  </si>
  <si>
    <t>2. 공사원가계산서</t>
  </si>
  <si>
    <t>3. 총괄내역서</t>
  </si>
  <si>
    <t>4. 설계변경내역서</t>
  </si>
  <si>
    <t>5. 설계변경금액대비표</t>
  </si>
  <si>
    <t>6. 설계변경증감대비표</t>
  </si>
  <si>
    <t>7. 일위대가목록표</t>
  </si>
  <si>
    <t>8. 일위대가표</t>
  </si>
  <si>
    <t>9. 일위대가수량금액집계표</t>
  </si>
  <si>
    <t>10. 단가산출근거목록표</t>
  </si>
  <si>
    <t>11. 단가산출근거</t>
  </si>
  <si>
    <t>12. 단가산출근거수량금액집계표</t>
  </si>
  <si>
    <t>13. 환율및기초자료</t>
  </si>
  <si>
    <t>14. 중기목록표</t>
  </si>
  <si>
    <t>15. 중기사용료</t>
  </si>
  <si>
    <t>16. 재료비목록표</t>
  </si>
  <si>
    <t>17. 노무비목록표</t>
  </si>
  <si>
    <t>18. 경비목록표</t>
  </si>
  <si>
    <t>19. 일식견적목록표</t>
  </si>
  <si>
    <t>20. 자재단가대비표</t>
  </si>
  <si>
    <t>21. 재료비수량금액집계표</t>
  </si>
  <si>
    <t>22. 노무비수량금액집계표</t>
  </si>
  <si>
    <t>23. 중기시간금액집계표</t>
  </si>
  <si>
    <t>※※ 현재 Sheet를 수정 또는 삭제하지 마십시요[수정/삭제시 STmate 데이타로 변환할 수 없습니다] ※※</t>
  </si>
  <si>
    <t>[Sheet정보]</t>
  </si>
  <si>
    <t>목차</t>
  </si>
  <si>
    <t>Sheet</t>
  </si>
  <si>
    <t>FPos</t>
  </si>
  <si>
    <t>ITNAME</t>
  </si>
  <si>
    <t>NAME</t>
  </si>
  <si>
    <t>SIZE</t>
  </si>
  <si>
    <t>UNIT</t>
  </si>
  <si>
    <t>SPOS</t>
  </si>
  <si>
    <t>EPOS</t>
  </si>
  <si>
    <t>TAMT</t>
  </si>
  <si>
    <t>TAMOUNT</t>
  </si>
  <si>
    <t>MAMT</t>
  </si>
  <si>
    <t>MAMOUNT</t>
  </si>
  <si>
    <t>LAMT</t>
  </si>
  <si>
    <t>LAMOUNT</t>
  </si>
  <si>
    <t>SAMT</t>
  </si>
  <si>
    <t>SAMOUNT</t>
  </si>
  <si>
    <t>AAMT</t>
  </si>
  <si>
    <t>AAMOUNT</t>
  </si>
  <si>
    <t>NAMT</t>
  </si>
  <si>
    <t>NAMOUNT</t>
  </si>
  <si>
    <t>INFO</t>
  </si>
  <si>
    <t>1. 재료비목록표</t>
  </si>
  <si>
    <t>2. 노무비목록표</t>
  </si>
  <si>
    <t>3. 경비목록표</t>
  </si>
  <si>
    <t>4. 일식목록표</t>
  </si>
  <si>
    <t>5. 환율 및 기초자료</t>
  </si>
  <si>
    <t>6. 중기목록표</t>
  </si>
  <si>
    <t>7. 실적단가표</t>
  </si>
  <si>
    <t>8. 일위대가목록표</t>
  </si>
  <si>
    <t>9. 산출근거목록표</t>
  </si>
  <si>
    <t>10. 자재단가대비표</t>
  </si>
  <si>
    <t>11. 내역서</t>
  </si>
  <si>
    <t>12. 총괄내역서</t>
  </si>
  <si>
    <t>13. 중기사용료</t>
  </si>
  <si>
    <t>14. 일위대가표</t>
  </si>
  <si>
    <t>15. 단가산출근거</t>
  </si>
  <si>
    <t xml:space="preserve">16. </t>
  </si>
  <si>
    <t xml:space="preserve">17. </t>
  </si>
  <si>
    <t>18. 표준시장목록표</t>
  </si>
  <si>
    <t>[공사정보]</t>
  </si>
  <si>
    <t>M_VER</t>
  </si>
  <si>
    <t>25.05</t>
  </si>
  <si>
    <t>PNAME</t>
  </si>
  <si>
    <t>PCLAS</t>
  </si>
  <si>
    <t>SCLAS</t>
  </si>
  <si>
    <t>0</t>
  </si>
  <si>
    <t>K_ORD</t>
  </si>
  <si>
    <t>PRIPR</t>
  </si>
  <si>
    <t>True</t>
  </si>
  <si>
    <t>ACTYP</t>
  </si>
  <si>
    <t>ACTOP</t>
  </si>
  <si>
    <t>[초기값]</t>
  </si>
  <si>
    <t>P_ORD</t>
  </si>
  <si>
    <t>EXNM_</t>
  </si>
  <si>
    <t>EXRNM</t>
  </si>
  <si>
    <t>False</t>
  </si>
  <si>
    <t>RXNM_</t>
  </si>
  <si>
    <t>1/8*16/12*25/20</t>
  </si>
  <si>
    <t>COND_</t>
  </si>
  <si>
    <t>L00024L00026L00027</t>
  </si>
  <si>
    <t>KCDNM</t>
  </si>
  <si>
    <t>JCDNM</t>
  </si>
  <si>
    <t>ECDNM</t>
  </si>
  <si>
    <t>ACDNM</t>
  </si>
  <si>
    <t>BPNNM</t>
  </si>
  <si>
    <t>ZCDNM</t>
  </si>
  <si>
    <t>CHGNM</t>
  </si>
  <si>
    <t>CHBNM</t>
  </si>
  <si>
    <t>CHNNM</t>
  </si>
  <si>
    <t>CUTNM</t>
  </si>
  <si>
    <t>OPTNM</t>
  </si>
  <si>
    <t>SML</t>
  </si>
  <si>
    <t>S_JDA</t>
  </si>
  <si>
    <t>SUBNM</t>
  </si>
  <si>
    <t>[인쇄정보]</t>
  </si>
  <si>
    <t>BMSTR</t>
  </si>
  <si>
    <t>BMKNM</t>
  </si>
  <si>
    <t>TLMS</t>
  </si>
  <si>
    <t>JEMNM</t>
  </si>
  <si>
    <t>123456</t>
  </si>
  <si>
    <t>JMKN1</t>
  </si>
  <si>
    <t>JMKN2</t>
  </si>
  <si>
    <t>JMKN3</t>
  </si>
  <si>
    <t>JMKN4</t>
  </si>
  <si>
    <t>JMKN5</t>
  </si>
  <si>
    <t>JMKN6</t>
  </si>
  <si>
    <t>CAP_CODE</t>
  </si>
  <si>
    <t>코드번호</t>
  </si>
  <si>
    <t>CAP_NO</t>
  </si>
  <si>
    <t>CAP_IBRD</t>
  </si>
  <si>
    <t>분류번호</t>
  </si>
  <si>
    <t>CAP_EQCOD</t>
  </si>
  <si>
    <t>시설코드</t>
  </si>
  <si>
    <t>CAP_ITNUM</t>
  </si>
  <si>
    <t>CAP_NAME</t>
  </si>
  <si>
    <t>CAP_SIZE</t>
  </si>
  <si>
    <t>CAP_QTY</t>
  </si>
  <si>
    <t>CAP_SUNIT</t>
  </si>
  <si>
    <t>CAP_AMT</t>
  </si>
  <si>
    <t>CAP_PAGE</t>
  </si>
  <si>
    <t>CAP_AMOUNT</t>
  </si>
  <si>
    <t>CAP_BIGO</t>
  </si>
  <si>
    <t>[PREPARE]</t>
  </si>
  <si>
    <t>PREP_VER</t>
  </si>
  <si>
    <t>w25.05</t>
  </si>
  <si>
    <t>PREP_COP</t>
  </si>
  <si>
    <t>송맥산림기술사사무소 #01</t>
  </si>
  <si>
    <t>PREP_DATE</t>
  </si>
  <si>
    <t>2025-05-27 18:28</t>
  </si>
  <si>
    <t>[.끝.]</t>
  </si>
  <si>
    <t>※ 본 엑셀자료는 【STmate w25.05】버전 이상에서 STmate 자료로 다시 등록할 수 있습니다.</t>
  </si>
  <si>
    <t xml:space="preserve">   단, 임의로 수정한 내용(Sheet삭제, 산근내용변경, 기타계산식변경..)은 반영되지 않을 수 있습니다.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</si>
</sst>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76" formatCode="#,###"/>
    <numFmt numFmtId="177" formatCode="#,##0.#######;\-#,##0.#######;#"/>
    <numFmt numFmtId="178" formatCode="#,##0.00#"/>
    <numFmt numFmtId="179" formatCode="#,##0.00\ &quot;(원/$)&quot;"/>
    <numFmt numFmtId="180" formatCode="#,##0.00\ &quot;(원/€)&quot;"/>
    <numFmt numFmtId="181" formatCode="#,##0.00\ &quot;(원/100￥)&quot;"/>
    <numFmt numFmtId="182" formatCode="#,##0.00#\ "/>
    <numFmt numFmtId="183" formatCode="#,##0;\-#,##0;#"/>
    <numFmt numFmtId="184" formatCode="#,##0.00#;\-#,##0.00#;#"/>
    <numFmt numFmtId="185" formatCode="#,##0.####;\-#,##0.####;#"/>
    <numFmt numFmtId="186" formatCode="#,##0.###;\-#,##0.###;#"/>
    <numFmt numFmtId="187" formatCode="#,##0.######;\-#,##0.######;#"/>
    <numFmt numFmtId="188" formatCode="#,##0.#######"/>
    <numFmt numFmtId="189" formatCode="\ #,##0;\-\ #,##0;#"/>
    <numFmt numFmtId="190" formatCode="0.000\ &quot;%&quot;;;#"/>
    <numFmt numFmtId="191" formatCode="&quot;금 &quot;#,###&quot;원정&quot;"/>
    <numFmt numFmtId="192" formatCode="\(&quot;₩&quot;###,###\)"/>
    <numFmt numFmtId="193" formatCode="\ #,##0.####;\-\ #,##0.####;#"/>
    <numFmt numFmtId="194" formatCode="0.#######;\-0.#######;#"/>
    <numFmt numFmtId="195" formatCode="#,##0.#;\-#,##0.#;#"/>
    <numFmt numFmtId="196" formatCode="#,##0.0#"/>
    <numFmt numFmtId="197" formatCode="0.######;\-0.######;#"/>
    <numFmt numFmtId="198" formatCode="#,##0.0#;\-#,##0.0#;#"/>
  </numFmts>
  <fonts count="27" x14ac:knownFonts="1">
    <font>
      <sz val="11"/>
      <color theme="1"/>
      <name val="맑은 고딕"/>
      <family val="2"/>
      <charset val="129"/>
      <scheme val="minor"/>
    </font>
    <font>
      <b/>
      <u/>
      <sz val="15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indexed="22"/>
      <name val="굴림체"/>
      <family val="3"/>
      <charset val="129"/>
    </font>
    <font>
      <sz val="10"/>
      <color indexed="22"/>
      <name val="맑은 고딕"/>
      <family val="3"/>
      <charset val="129"/>
      <scheme val="minor"/>
    </font>
    <font>
      <sz val="9"/>
      <color indexed="12"/>
      <name val="굴림체"/>
      <family val="3"/>
      <charset val="129"/>
    </font>
    <font>
      <sz val="9"/>
      <name val="맑은 고딕"/>
      <family val="3"/>
      <charset val="129"/>
      <scheme val="minor"/>
    </font>
    <font>
      <u/>
      <sz val="9"/>
      <color indexed="22"/>
      <name val="굴림체"/>
      <family val="3"/>
      <charset val="129"/>
    </font>
    <font>
      <sz val="11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indexed="10"/>
      <name val="굴림체"/>
      <family val="3"/>
      <charset val="129"/>
    </font>
    <font>
      <sz val="9"/>
      <color indexed="9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9"/>
      <color indexed="22"/>
      <name val="맑은 고딕"/>
      <family val="3"/>
      <charset val="129"/>
      <scheme val="minor"/>
    </font>
    <font>
      <sz val="10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9"/>
      <color indexed="17"/>
      <name val="굴림체"/>
      <family val="3"/>
      <charset val="129"/>
    </font>
    <font>
      <b/>
      <sz val="12"/>
      <color indexed="12"/>
      <name val="굴림체"/>
      <family val="3"/>
      <charset val="129"/>
    </font>
    <font>
      <b/>
      <sz val="14"/>
      <color indexed="12"/>
      <name val="굴림체"/>
      <family val="3"/>
      <charset val="129"/>
    </font>
    <font>
      <sz val="10"/>
      <color indexed="12"/>
      <name val="굴림체"/>
      <family val="3"/>
      <charset val="129"/>
    </font>
    <font>
      <sz val="10"/>
      <color indexed="9"/>
      <name val="굴림체"/>
      <family val="3"/>
      <charset val="129"/>
    </font>
    <font>
      <b/>
      <sz val="10"/>
      <color indexed="10"/>
      <name val="굴림체"/>
      <family val="3"/>
      <charset val="129"/>
    </font>
    <font>
      <b/>
      <sz val="9"/>
      <color indexed="12"/>
      <name val="굴림체"/>
      <family val="3"/>
      <charset val="129"/>
    </font>
    <font>
      <sz val="20"/>
      <color indexed="8"/>
      <name val="굴림체"/>
      <family val="3"/>
      <charset val="129"/>
    </font>
    <font>
      <b/>
      <sz val="15"/>
      <color indexed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9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9" fontId="2" fillId="0" borderId="0" xfId="0" applyNumberFormat="1" applyFont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49" fontId="3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shrinkToFit="1"/>
    </xf>
    <xf numFmtId="0" fontId="7" fillId="0" borderId="0" xfId="0" applyFont="1" applyAlignment="1">
      <alignment horizontal="center" vertical="center" shrinkToFit="1"/>
    </xf>
    <xf numFmtId="177" fontId="3" fillId="0" borderId="0" xfId="0" applyNumberFormat="1" applyFont="1" applyAlignment="1">
      <alignment horizontal="left" vertical="center" shrinkToFit="1"/>
    </xf>
    <xf numFmtId="178" fontId="2" fillId="0" borderId="2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shrinkToFit="1"/>
    </xf>
    <xf numFmtId="179" fontId="2" fillId="0" borderId="7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left" vertical="center" shrinkToFit="1"/>
    </xf>
    <xf numFmtId="49" fontId="2" fillId="0" borderId="7" xfId="0" applyNumberFormat="1" applyFont="1" applyBorder="1" applyAlignment="1">
      <alignment horizontal="left" vertical="center" shrinkToFit="1"/>
    </xf>
    <xf numFmtId="182" fontId="2" fillId="0" borderId="5" xfId="0" applyNumberFormat="1" applyFont="1" applyBorder="1" applyAlignment="1">
      <alignment horizontal="right" vertical="center" shrinkToFit="1"/>
    </xf>
    <xf numFmtId="182" fontId="2" fillId="0" borderId="7" xfId="0" applyNumberFormat="1" applyFont="1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184" fontId="2" fillId="0" borderId="2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183" fontId="2" fillId="0" borderId="0" xfId="0" applyNumberFormat="1" applyFont="1" applyAlignment="1">
      <alignment horizontal="center" vertical="center" shrinkToFit="1"/>
    </xf>
    <xf numFmtId="177" fontId="2" fillId="0" borderId="0" xfId="0" applyNumberFormat="1" applyFont="1" applyAlignment="1">
      <alignment horizontal="right" vertical="center" shrinkToFit="1"/>
    </xf>
    <xf numFmtId="177" fontId="2" fillId="0" borderId="0" xfId="0" applyNumberFormat="1" applyFont="1" applyAlignment="1">
      <alignment horizontal="center" vertical="center" shrinkToFit="1"/>
    </xf>
    <xf numFmtId="49" fontId="9" fillId="0" borderId="17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49" fontId="2" fillId="0" borderId="17" xfId="0" applyNumberFormat="1" applyFont="1" applyBorder="1" applyAlignment="1">
      <alignment horizontal="left" vertical="center" shrinkToFit="1"/>
    </xf>
    <xf numFmtId="49" fontId="10" fillId="0" borderId="9" xfId="0" applyNumberFormat="1" applyFont="1" applyBorder="1" applyAlignment="1">
      <alignment horizontal="right" vertical="center" shrinkToFit="1"/>
    </xf>
    <xf numFmtId="49" fontId="2" fillId="0" borderId="10" xfId="0" applyNumberFormat="1" applyFont="1" applyBorder="1" applyAlignment="1">
      <alignment horizontal="right" vertical="center" shrinkToFit="1"/>
    </xf>
    <xf numFmtId="185" fontId="10" fillId="0" borderId="9" xfId="0" applyNumberFormat="1" applyFont="1" applyBorder="1" applyAlignment="1">
      <alignment horizontal="right" vertical="center" shrinkToFit="1"/>
    </xf>
    <xf numFmtId="185" fontId="2" fillId="0" borderId="10" xfId="0" applyNumberFormat="1" applyFont="1" applyBorder="1" applyAlignment="1">
      <alignment horizontal="right" vertical="center" shrinkToFit="1"/>
    </xf>
    <xf numFmtId="49" fontId="10" fillId="0" borderId="18" xfId="0" applyNumberFormat="1" applyFont="1" applyBorder="1" applyAlignment="1">
      <alignment horizontal="right" vertical="center" shrinkToFit="1"/>
    </xf>
    <xf numFmtId="49" fontId="2" fillId="0" borderId="12" xfId="0" applyNumberFormat="1" applyFont="1" applyBorder="1" applyAlignment="1">
      <alignment horizontal="right" vertical="center" shrinkToFit="1"/>
    </xf>
    <xf numFmtId="176" fontId="10" fillId="0" borderId="13" xfId="0" applyNumberFormat="1" applyFont="1" applyBorder="1" applyAlignment="1">
      <alignment horizontal="right"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187" fontId="10" fillId="0" borderId="9" xfId="0" applyNumberFormat="1" applyFont="1" applyBorder="1" applyAlignment="1">
      <alignment horizontal="right" vertical="center" shrinkToFit="1"/>
    </xf>
    <xf numFmtId="187" fontId="2" fillId="0" borderId="10" xfId="0" applyNumberFormat="1" applyFont="1" applyBorder="1" applyAlignment="1">
      <alignment horizontal="right" vertical="center" shrinkToFit="1"/>
    </xf>
    <xf numFmtId="49" fontId="10" fillId="0" borderId="16" xfId="0" applyNumberFormat="1" applyFont="1" applyBorder="1" applyAlignment="1">
      <alignment horizontal="right" vertical="center" shrinkToFit="1"/>
    </xf>
    <xf numFmtId="49" fontId="2" fillId="0" borderId="11" xfId="0" applyNumberFormat="1" applyFont="1" applyBorder="1" applyAlignment="1">
      <alignment horizontal="right" vertical="center" shrinkToFit="1"/>
    </xf>
    <xf numFmtId="183" fontId="10" fillId="0" borderId="13" xfId="0" applyNumberFormat="1" applyFont="1" applyBorder="1" applyAlignment="1">
      <alignment horizontal="right" vertical="center" shrinkToFit="1"/>
    </xf>
    <xf numFmtId="183" fontId="2" fillId="0" borderId="14" xfId="0" applyNumberFormat="1" applyFont="1" applyBorder="1" applyAlignment="1">
      <alignment horizontal="right" vertical="center" shrinkToFit="1"/>
    </xf>
    <xf numFmtId="0" fontId="0" fillId="0" borderId="13" xfId="0" applyBorder="1" applyAlignment="1">
      <alignment shrinkToFit="1"/>
    </xf>
    <xf numFmtId="0" fontId="0" fillId="0" borderId="14" xfId="0" applyBorder="1" applyAlignment="1">
      <alignment shrinkToFit="1"/>
    </xf>
    <xf numFmtId="183" fontId="10" fillId="0" borderId="19" xfId="0" applyNumberFormat="1" applyFont="1" applyBorder="1" applyAlignment="1">
      <alignment horizontal="right" vertical="center" shrinkToFit="1"/>
    </xf>
    <xf numFmtId="183" fontId="2" fillId="0" borderId="12" xfId="0" applyNumberFormat="1" applyFont="1" applyBorder="1" applyAlignment="1">
      <alignment horizontal="right" vertical="center" shrinkToFit="1"/>
    </xf>
    <xf numFmtId="183" fontId="10" fillId="0" borderId="0" xfId="0" applyNumberFormat="1" applyFont="1" applyAlignment="1">
      <alignment horizontal="right" vertical="center" shrinkToFit="1"/>
    </xf>
    <xf numFmtId="183" fontId="2" fillId="0" borderId="0" xfId="0" applyNumberFormat="1" applyFont="1" applyAlignment="1">
      <alignment horizontal="right" vertical="center" shrinkToFit="1"/>
    </xf>
    <xf numFmtId="176" fontId="10" fillId="0" borderId="9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0" fontId="0" fillId="0" borderId="19" xfId="0" applyBorder="1" applyAlignment="1">
      <alignment shrinkToFit="1"/>
    </xf>
    <xf numFmtId="0" fontId="0" fillId="0" borderId="12" xfId="0" applyBorder="1" applyAlignment="1">
      <alignment shrinkToFit="1"/>
    </xf>
    <xf numFmtId="186" fontId="10" fillId="0" borderId="9" xfId="0" applyNumberFormat="1" applyFont="1" applyBorder="1" applyAlignment="1">
      <alignment horizontal="right" vertical="center" shrinkToFit="1"/>
    </xf>
    <xf numFmtId="186" fontId="2" fillId="0" borderId="10" xfId="0" applyNumberFormat="1" applyFont="1" applyBorder="1" applyAlignment="1">
      <alignment horizontal="right" vertical="center" shrinkToFit="1"/>
    </xf>
    <xf numFmtId="187" fontId="10" fillId="0" borderId="13" xfId="0" applyNumberFormat="1" applyFont="1" applyBorder="1" applyAlignment="1">
      <alignment horizontal="right" vertical="center" shrinkToFit="1"/>
    </xf>
    <xf numFmtId="187" fontId="2" fillId="0" borderId="14" xfId="0" applyNumberFormat="1" applyFont="1" applyBorder="1" applyAlignment="1">
      <alignment horizontal="right" vertical="center" shrinkToFit="1"/>
    </xf>
    <xf numFmtId="176" fontId="10" fillId="0" borderId="19" xfId="0" applyNumberFormat="1" applyFont="1" applyBorder="1" applyAlignment="1">
      <alignment horizontal="right" vertical="center" shrinkToFit="1"/>
    </xf>
    <xf numFmtId="176" fontId="2" fillId="0" borderId="12" xfId="0" applyNumberFormat="1" applyFont="1" applyBorder="1" applyAlignment="1">
      <alignment horizontal="right" vertical="center" shrinkToFit="1"/>
    </xf>
    <xf numFmtId="176" fontId="10" fillId="0" borderId="21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187" fontId="10" fillId="0" borderId="19" xfId="0" applyNumberFormat="1" applyFont="1" applyBorder="1" applyAlignment="1">
      <alignment horizontal="right" vertical="center" shrinkToFit="1"/>
    </xf>
    <xf numFmtId="187" fontId="2" fillId="0" borderId="12" xfId="0" applyNumberFormat="1" applyFont="1" applyBorder="1" applyAlignment="1">
      <alignment horizontal="right" vertical="center" shrinkToFit="1"/>
    </xf>
    <xf numFmtId="183" fontId="10" fillId="0" borderId="21" xfId="0" applyNumberFormat="1" applyFont="1" applyBorder="1" applyAlignment="1">
      <alignment horizontal="right" vertical="center" shrinkToFit="1"/>
    </xf>
    <xf numFmtId="183" fontId="2" fillId="0" borderId="11" xfId="0" applyNumberFormat="1" applyFont="1" applyBorder="1" applyAlignment="1">
      <alignment horizontal="right" vertical="center" shrinkToFit="1"/>
    </xf>
    <xf numFmtId="186" fontId="10" fillId="0" borderId="21" xfId="0" applyNumberFormat="1" applyFont="1" applyBorder="1" applyAlignment="1">
      <alignment horizontal="right" vertical="center" shrinkToFit="1"/>
    </xf>
    <xf numFmtId="186" fontId="2" fillId="0" borderId="11" xfId="0" applyNumberFormat="1" applyFont="1" applyBorder="1" applyAlignment="1">
      <alignment horizontal="right" vertical="center" shrinkToFit="1"/>
    </xf>
    <xf numFmtId="187" fontId="10" fillId="0" borderId="21" xfId="0" applyNumberFormat="1" applyFont="1" applyBorder="1" applyAlignment="1">
      <alignment horizontal="right" vertical="center" shrinkToFit="1"/>
    </xf>
    <xf numFmtId="187" fontId="2" fillId="0" borderId="11" xfId="0" applyNumberFormat="1" applyFont="1" applyBorder="1" applyAlignment="1">
      <alignment horizontal="right" vertical="center" shrinkToFit="1"/>
    </xf>
    <xf numFmtId="0" fontId="0" fillId="0" borderId="21" xfId="0" applyBorder="1" applyAlignment="1">
      <alignment shrinkToFit="1"/>
    </xf>
    <xf numFmtId="0" fontId="0" fillId="0" borderId="11" xfId="0" applyBorder="1" applyAlignment="1">
      <alignment shrinkToFit="1"/>
    </xf>
    <xf numFmtId="49" fontId="2" fillId="0" borderId="17" xfId="0" applyNumberFormat="1" applyFont="1" applyBorder="1" applyAlignment="1">
      <alignment horizontal="center" vertical="center" shrinkToFit="1"/>
    </xf>
    <xf numFmtId="183" fontId="10" fillId="0" borderId="9" xfId="0" applyNumberFormat="1" applyFont="1" applyBorder="1" applyAlignment="1">
      <alignment horizontal="right" vertical="center" shrinkToFit="1"/>
    </xf>
    <xf numFmtId="183" fontId="2" fillId="0" borderId="10" xfId="0" applyNumberFormat="1" applyFont="1" applyBorder="1" applyAlignment="1">
      <alignment horizontal="right" vertical="center" shrinkToFit="1"/>
    </xf>
    <xf numFmtId="183" fontId="2" fillId="3" borderId="0" xfId="0" applyNumberFormat="1" applyFont="1" applyFill="1" applyAlignment="1">
      <alignment horizontal="right" vertical="center" shrinkToFit="1"/>
    </xf>
    <xf numFmtId="176" fontId="2" fillId="3" borderId="0" xfId="0" applyNumberFormat="1" applyFont="1" applyFill="1" applyAlignment="1">
      <alignment horizontal="right" vertical="center" shrinkToFit="1"/>
    </xf>
    <xf numFmtId="188" fontId="2" fillId="3" borderId="0" xfId="0" applyNumberFormat="1" applyFont="1" applyFill="1" applyAlignment="1">
      <alignment horizontal="right" vertical="center" shrinkToFit="1"/>
    </xf>
    <xf numFmtId="188" fontId="2" fillId="0" borderId="0" xfId="0" applyNumberFormat="1" applyFont="1" applyAlignment="1">
      <alignment horizontal="right" vertical="center" shrinkToFit="1"/>
    </xf>
    <xf numFmtId="49" fontId="2" fillId="0" borderId="22" xfId="0" applyNumberFormat="1" applyFont="1" applyBorder="1" applyAlignment="1">
      <alignment horizontal="center" vertical="center" shrinkToFit="1"/>
    </xf>
    <xf numFmtId="183" fontId="10" fillId="0" borderId="17" xfId="0" applyNumberFormat="1" applyFont="1" applyBorder="1" applyAlignment="1">
      <alignment horizontal="right" vertical="center" shrinkToFit="1"/>
    </xf>
    <xf numFmtId="176" fontId="10" fillId="0" borderId="17" xfId="0" applyNumberFormat="1" applyFont="1" applyBorder="1" applyAlignment="1">
      <alignment horizontal="right" vertical="center" shrinkToFit="1"/>
    </xf>
    <xf numFmtId="183" fontId="10" fillId="0" borderId="6" xfId="0" applyNumberFormat="1" applyFont="1" applyBorder="1" applyAlignment="1">
      <alignment horizontal="right" vertical="center" shrinkToFit="1"/>
    </xf>
    <xf numFmtId="183" fontId="10" fillId="0" borderId="2" xfId="0" applyNumberFormat="1" applyFont="1" applyBorder="1" applyAlignment="1">
      <alignment horizontal="right" vertical="center" shrinkToFit="1"/>
    </xf>
    <xf numFmtId="183" fontId="2" fillId="0" borderId="17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183" fontId="2" fillId="0" borderId="6" xfId="0" applyNumberFormat="1" applyFont="1" applyBorder="1" applyAlignment="1">
      <alignment horizontal="right" vertical="center" shrinkToFit="1"/>
    </xf>
    <xf numFmtId="183" fontId="2" fillId="0" borderId="3" xfId="0" applyNumberFormat="1" applyFont="1" applyBorder="1" applyAlignment="1">
      <alignment horizontal="right" vertical="center" shrinkToFit="1"/>
    </xf>
    <xf numFmtId="176" fontId="10" fillId="0" borderId="6" xfId="0" applyNumberFormat="1" applyFont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right" vertical="center" shrinkToFit="1"/>
    </xf>
    <xf numFmtId="176" fontId="10" fillId="0" borderId="5" xfId="0" applyNumberFormat="1" applyFont="1" applyBorder="1" applyAlignment="1">
      <alignment horizontal="right" vertical="center" shrinkToFit="1"/>
    </xf>
    <xf numFmtId="190" fontId="2" fillId="0" borderId="17" xfId="0" applyNumberFormat="1" applyFont="1" applyBorder="1" applyAlignment="1">
      <alignment horizontal="right" vertical="center" shrinkToFit="1"/>
    </xf>
    <xf numFmtId="190" fontId="2" fillId="0" borderId="6" xfId="0" applyNumberFormat="1" applyFont="1" applyBorder="1" applyAlignment="1">
      <alignment horizontal="right" vertical="center" shrinkToFit="1"/>
    </xf>
    <xf numFmtId="190" fontId="2" fillId="0" borderId="2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0" fontId="0" fillId="0" borderId="17" xfId="0" applyBorder="1" applyAlignment="1">
      <alignment shrinkToFit="1"/>
    </xf>
    <xf numFmtId="49" fontId="2" fillId="0" borderId="6" xfId="0" applyNumberFormat="1" applyFont="1" applyBorder="1" applyAlignment="1">
      <alignment horizontal="left" vertical="center" shrinkToFit="1"/>
    </xf>
    <xf numFmtId="177" fontId="2" fillId="0" borderId="17" xfId="0" applyNumberFormat="1" applyFont="1" applyBorder="1" applyAlignment="1">
      <alignment horizontal="left" vertical="center" shrinkToFit="1"/>
    </xf>
    <xf numFmtId="177" fontId="2" fillId="0" borderId="3" xfId="0" applyNumberFormat="1" applyFont="1" applyBorder="1" applyAlignment="1">
      <alignment horizontal="left" vertical="center" shrinkToFit="1"/>
    </xf>
    <xf numFmtId="183" fontId="2" fillId="0" borderId="2" xfId="0" applyNumberFormat="1" applyFont="1" applyBorder="1" applyAlignment="1">
      <alignment horizontal="right" vertical="center" shrinkToFit="1"/>
    </xf>
    <xf numFmtId="189" fontId="10" fillId="0" borderId="2" xfId="0" applyNumberFormat="1" applyFont="1" applyBorder="1" applyAlignment="1">
      <alignment horizontal="right" vertical="center" shrinkToFit="1"/>
    </xf>
    <xf numFmtId="189" fontId="2" fillId="0" borderId="2" xfId="0" applyNumberFormat="1" applyFont="1" applyBorder="1" applyAlignment="1">
      <alignment horizontal="right" vertical="center" shrinkToFit="1"/>
    </xf>
    <xf numFmtId="49" fontId="9" fillId="0" borderId="2" xfId="0" applyNumberFormat="1" applyFont="1" applyBorder="1" applyAlignment="1">
      <alignment horizontal="left" vertical="center" shrinkToFit="1"/>
    </xf>
    <xf numFmtId="176" fontId="10" fillId="0" borderId="2" xfId="0" applyNumberFormat="1" applyFont="1" applyBorder="1" applyAlignment="1">
      <alignment horizontal="right" vertical="center" shrinkToFit="1"/>
    </xf>
    <xf numFmtId="188" fontId="10" fillId="0" borderId="2" xfId="0" applyNumberFormat="1" applyFont="1" applyBorder="1" applyAlignment="1">
      <alignment horizontal="right" vertical="center" shrinkToFit="1"/>
    </xf>
    <xf numFmtId="188" fontId="2" fillId="0" borderId="2" xfId="0" applyNumberFormat="1" applyFont="1" applyBorder="1" applyAlignment="1">
      <alignment horizontal="right" vertical="center" shrinkToFit="1"/>
    </xf>
    <xf numFmtId="193" fontId="2" fillId="0" borderId="3" xfId="0" applyNumberFormat="1" applyFont="1" applyBorder="1" applyAlignment="1">
      <alignment horizontal="right" vertical="center" shrinkToFit="1"/>
    </xf>
    <xf numFmtId="193" fontId="10" fillId="0" borderId="3" xfId="0" applyNumberFormat="1" applyFont="1" applyBorder="1" applyAlignment="1">
      <alignment horizontal="right" vertical="center" shrinkToFit="1"/>
    </xf>
    <xf numFmtId="183" fontId="2" fillId="0" borderId="5" xfId="0" applyNumberFormat="1" applyFont="1" applyBorder="1" applyAlignment="1">
      <alignment horizontal="right" vertical="center" shrinkToFit="1"/>
    </xf>
    <xf numFmtId="183" fontId="2" fillId="0" borderId="4" xfId="0" applyNumberFormat="1" applyFont="1" applyBorder="1" applyAlignment="1">
      <alignment horizontal="right" vertical="center" shrinkToFit="1"/>
    </xf>
    <xf numFmtId="49" fontId="9" fillId="0" borderId="3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shrinkToFit="1"/>
    </xf>
    <xf numFmtId="0" fontId="12" fillId="0" borderId="17" xfId="0" applyFont="1" applyBorder="1" applyAlignment="1">
      <alignment shrinkToFit="1"/>
    </xf>
    <xf numFmtId="0" fontId="12" fillId="0" borderId="3" xfId="0" applyFont="1" applyBorder="1" applyAlignment="1">
      <alignment shrinkToFit="1"/>
    </xf>
    <xf numFmtId="194" fontId="2" fillId="0" borderId="3" xfId="0" applyNumberFormat="1" applyFont="1" applyBorder="1" applyAlignment="1">
      <alignment horizontal="right" vertical="center" shrinkToFit="1"/>
    </xf>
    <xf numFmtId="185" fontId="11" fillId="0" borderId="6" xfId="0" applyNumberFormat="1" applyFont="1" applyBorder="1" applyAlignment="1">
      <alignment horizontal="right" vertical="center" shrinkToFit="1"/>
    </xf>
    <xf numFmtId="49" fontId="9" fillId="0" borderId="3" xfId="0" applyNumberFormat="1" applyFont="1" applyBorder="1" applyAlignment="1">
      <alignment horizontal="center" vertical="center" shrinkToFit="1"/>
    </xf>
    <xf numFmtId="186" fontId="2" fillId="0" borderId="2" xfId="0" applyNumberFormat="1" applyFont="1" applyBorder="1" applyAlignment="1">
      <alignment horizontal="right" vertical="center" shrinkToFit="1"/>
    </xf>
    <xf numFmtId="0" fontId="0" fillId="0" borderId="6" xfId="0" applyBorder="1" applyAlignment="1">
      <alignment shrinkToFit="1"/>
    </xf>
    <xf numFmtId="195" fontId="2" fillId="0" borderId="2" xfId="0" applyNumberFormat="1" applyFont="1" applyBorder="1" applyAlignment="1">
      <alignment horizontal="right" vertical="center" shrinkToFit="1"/>
    </xf>
    <xf numFmtId="195" fontId="2" fillId="0" borderId="3" xfId="0" applyNumberFormat="1" applyFont="1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right" vertical="center" shrinkToFit="1"/>
    </xf>
    <xf numFmtId="177" fontId="2" fillId="0" borderId="3" xfId="0" applyNumberFormat="1" applyFont="1" applyBorder="1" applyAlignment="1">
      <alignment horizontal="right" vertical="center" shrinkToFit="1"/>
    </xf>
    <xf numFmtId="186" fontId="2" fillId="0" borderId="5" xfId="0" applyNumberFormat="1" applyFont="1" applyBorder="1" applyAlignment="1">
      <alignment horizontal="right" vertical="center" shrinkToFit="1"/>
    </xf>
    <xf numFmtId="177" fontId="2" fillId="0" borderId="5" xfId="0" applyNumberFormat="1" applyFont="1" applyBorder="1" applyAlignment="1">
      <alignment horizontal="right" vertical="center" shrinkToFit="1"/>
    </xf>
    <xf numFmtId="195" fontId="2" fillId="0" borderId="4" xfId="0" applyNumberFormat="1" applyFont="1" applyBorder="1" applyAlignment="1">
      <alignment horizontal="right" vertical="center" shrinkToFit="1"/>
    </xf>
    <xf numFmtId="195" fontId="2" fillId="0" borderId="5" xfId="0" applyNumberFormat="1" applyFont="1" applyBorder="1" applyAlignment="1">
      <alignment horizontal="right" vertical="center" shrinkToFit="1"/>
    </xf>
    <xf numFmtId="49" fontId="2" fillId="0" borderId="2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left" vertical="center" shrinkToFit="1"/>
    </xf>
    <xf numFmtId="196" fontId="2" fillId="0" borderId="12" xfId="0" applyNumberFormat="1" applyFont="1" applyBorder="1" applyAlignment="1">
      <alignment horizontal="right" vertical="center" shrinkToFit="1"/>
    </xf>
    <xf numFmtId="49" fontId="14" fillId="0" borderId="0" xfId="0" applyNumberFormat="1" applyFont="1" applyAlignment="1">
      <alignment horizontal="left" vertical="center"/>
    </xf>
    <xf numFmtId="49" fontId="15" fillId="0" borderId="17" xfId="0" applyNumberFormat="1" applyFont="1" applyBorder="1" applyAlignment="1">
      <alignment horizontal="center" vertical="center" shrinkToFit="1"/>
    </xf>
    <xf numFmtId="49" fontId="15" fillId="0" borderId="17" xfId="0" applyNumberFormat="1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0" fillId="0" borderId="22" xfId="0" applyBorder="1" applyAlignment="1">
      <alignment shrinkToFit="1"/>
    </xf>
    <xf numFmtId="198" fontId="2" fillId="0" borderId="17" xfId="0" applyNumberFormat="1" applyFont="1" applyBorder="1" applyAlignment="1">
      <alignment horizontal="right" vertical="center" shrinkToFit="1"/>
    </xf>
    <xf numFmtId="198" fontId="2" fillId="0" borderId="3" xfId="0" applyNumberFormat="1" applyFont="1" applyBorder="1" applyAlignment="1">
      <alignment horizontal="right" vertical="center" shrinkToFit="1"/>
    </xf>
    <xf numFmtId="198" fontId="2" fillId="0" borderId="19" xfId="0" applyNumberFormat="1" applyFont="1" applyBorder="1" applyAlignment="1">
      <alignment horizontal="right" vertical="center" shrinkToFit="1"/>
    </xf>
    <xf numFmtId="0" fontId="0" fillId="0" borderId="23" xfId="0" applyBorder="1" applyAlignment="1">
      <alignment shrinkToFit="1"/>
    </xf>
    <xf numFmtId="197" fontId="2" fillId="0" borderId="0" xfId="0" applyNumberFormat="1" applyFont="1" applyAlignment="1">
      <alignment horizontal="right" vertical="center" shrinkToFit="1"/>
    </xf>
    <xf numFmtId="198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center" shrinkToFit="1"/>
    </xf>
    <xf numFmtId="188" fontId="16" fillId="3" borderId="0" xfId="0" applyNumberFormat="1" applyFont="1" applyFill="1" applyAlignment="1">
      <alignment horizontal="center" vertical="center" shrinkToFit="1"/>
    </xf>
    <xf numFmtId="176" fontId="16" fillId="3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9" fontId="2" fillId="4" borderId="0" xfId="0" applyNumberFormat="1" applyFont="1" applyFill="1" applyAlignment="1">
      <alignment horizontal="center" vertical="center" shrinkToFit="1"/>
    </xf>
    <xf numFmtId="184" fontId="10" fillId="0" borderId="21" xfId="0" applyNumberFormat="1" applyFont="1" applyBorder="1" applyAlignment="1">
      <alignment horizontal="right" vertical="center" shrinkToFit="1"/>
    </xf>
    <xf numFmtId="184" fontId="2" fillId="0" borderId="11" xfId="0" applyNumberFormat="1" applyFont="1" applyBorder="1" applyAlignment="1">
      <alignment horizontal="right" vertical="center" shrinkToFit="1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0" fontId="0" fillId="0" borderId="0" xfId="0" applyAlignment="1" applyProtection="1">
      <alignment shrinkToFit="1"/>
      <protection hidden="1"/>
    </xf>
    <xf numFmtId="49" fontId="2" fillId="6" borderId="0" xfId="0" applyNumberFormat="1" applyFont="1" applyFill="1" applyAlignment="1" applyProtection="1">
      <alignment horizontal="left" vertical="center" shrinkToFit="1"/>
      <protection hidden="1"/>
    </xf>
    <xf numFmtId="49" fontId="2" fillId="0" borderId="0" xfId="0" applyNumberFormat="1" applyFont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0" fontId="2" fillId="0" borderId="0" xfId="0" applyNumberFormat="1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1" fontId="2" fillId="0" borderId="0" xfId="0" applyNumberFormat="1" applyFont="1" applyAlignment="1" applyProtection="1">
      <alignment horizontal="left" vertical="center" shrinkToFit="1"/>
      <protection hidden="1"/>
    </xf>
    <xf numFmtId="0" fontId="17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0" fillId="0" borderId="0" xfId="0"/>
    <xf numFmtId="49" fontId="1" fillId="0" borderId="0" xfId="0" applyNumberFormat="1" applyFont="1" applyAlignment="1">
      <alignment horizontal="center" vertical="center" shrinkToFit="1"/>
    </xf>
    <xf numFmtId="49" fontId="2" fillId="0" borderId="22" xfId="0" applyNumberFormat="1" applyFont="1" applyBorder="1" applyAlignment="1">
      <alignment horizontal="right" vertical="center" shrinkToFit="1"/>
    </xf>
    <xf numFmtId="0" fontId="0" fillId="0" borderId="22" xfId="0" applyBorder="1"/>
    <xf numFmtId="49" fontId="2" fillId="0" borderId="6" xfId="0" applyNumberFormat="1" applyFont="1" applyBorder="1" applyAlignment="1">
      <alignment horizontal="center" vertical="center" shrinkToFit="1"/>
    </xf>
    <xf numFmtId="0" fontId="0" fillId="0" borderId="6" xfId="0" applyBorder="1"/>
    <xf numFmtId="49" fontId="2" fillId="0" borderId="3" xfId="0" applyNumberFormat="1" applyFont="1" applyBorder="1" applyAlignment="1">
      <alignment horizontal="left" vertical="center" shrinkToFit="1"/>
    </xf>
    <xf numFmtId="0" fontId="0" fillId="0" borderId="3" xfId="0" applyBorder="1"/>
    <xf numFmtId="49" fontId="2" fillId="0" borderId="17" xfId="0" applyNumberFormat="1" applyFont="1" applyBorder="1" applyAlignment="1">
      <alignment horizontal="center" vertical="center" textRotation="255" shrinkToFit="1"/>
    </xf>
    <xf numFmtId="0" fontId="0" fillId="0" borderId="17" xfId="0" applyBorder="1"/>
    <xf numFmtId="0" fontId="0" fillId="0" borderId="1" xfId="0" applyBorder="1"/>
    <xf numFmtId="49" fontId="2" fillId="0" borderId="2" xfId="0" applyNumberFormat="1" applyFont="1" applyBorder="1" applyAlignment="1">
      <alignment horizontal="center" vertical="center" shrinkToFit="1"/>
    </xf>
    <xf numFmtId="0" fontId="0" fillId="0" borderId="5" xfId="0" applyBorder="1"/>
    <xf numFmtId="49" fontId="11" fillId="2" borderId="0" xfId="0" applyNumberFormat="1" applyFont="1" applyFill="1" applyAlignment="1">
      <alignment horizontal="center" vertical="center" shrinkToFit="1"/>
    </xf>
    <xf numFmtId="49" fontId="2" fillId="0" borderId="15" xfId="0" applyNumberFormat="1" applyFont="1" applyBorder="1" applyAlignment="1">
      <alignment horizontal="left" vertical="center" shrinkToFit="1"/>
    </xf>
    <xf numFmtId="0" fontId="0" fillId="0" borderId="2" xfId="0" applyBorder="1"/>
    <xf numFmtId="177" fontId="10" fillId="0" borderId="9" xfId="0" applyNumberFormat="1" applyFont="1" applyBorder="1" applyAlignment="1">
      <alignment horizontal="left" vertical="center" shrinkToFit="1"/>
    </xf>
    <xf numFmtId="0" fontId="0" fillId="0" borderId="9" xfId="0" applyBorder="1"/>
    <xf numFmtId="0" fontId="0" fillId="0" borderId="13" xfId="0" applyBorder="1"/>
    <xf numFmtId="177" fontId="2" fillId="0" borderId="10" xfId="0" applyNumberFormat="1" applyFont="1" applyBorder="1" applyAlignment="1">
      <alignment horizontal="left" vertical="center" shrinkToFit="1"/>
    </xf>
    <xf numFmtId="0" fontId="0" fillId="0" borderId="10" xfId="0" applyBorder="1"/>
    <xf numFmtId="0" fontId="0" fillId="0" borderId="14" xfId="0" applyBorder="1"/>
    <xf numFmtId="49" fontId="10" fillId="0" borderId="9" xfId="0" applyNumberFormat="1" applyFont="1" applyBorder="1" applyAlignment="1">
      <alignment horizontal="left" vertical="center" shrinkToFit="1"/>
    </xf>
    <xf numFmtId="49" fontId="2" fillId="0" borderId="10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9" fillId="0" borderId="15" xfId="0" applyNumberFormat="1" applyFont="1" applyBorder="1" applyAlignment="1">
      <alignment horizontal="left" vertical="center" shrinkToFit="1"/>
    </xf>
    <xf numFmtId="0" fontId="9" fillId="0" borderId="2" xfId="0" applyFont="1" applyBorder="1"/>
    <xf numFmtId="49" fontId="9" fillId="0" borderId="17" xfId="0" applyNumberFormat="1" applyFont="1" applyBorder="1" applyAlignment="1">
      <alignment horizontal="left" vertical="center" shrinkToFit="1"/>
    </xf>
    <xf numFmtId="0" fontId="9" fillId="0" borderId="3" xfId="0" applyFont="1" applyBorder="1"/>
    <xf numFmtId="49" fontId="2" fillId="0" borderId="19" xfId="0" applyNumberFormat="1" applyFont="1" applyBorder="1" applyAlignment="1">
      <alignment horizontal="center" vertical="center" shrinkToFit="1"/>
    </xf>
    <xf numFmtId="0" fontId="0" fillId="0" borderId="12" xfId="0" applyBorder="1"/>
    <xf numFmtId="49" fontId="2" fillId="0" borderId="17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shrinkToFit="1"/>
    </xf>
    <xf numFmtId="49" fontId="2" fillId="0" borderId="17" xfId="0" applyNumberFormat="1" applyFont="1" applyBorder="1" applyAlignment="1">
      <alignment horizontal="left" vertical="center" shrinkToFit="1"/>
    </xf>
    <xf numFmtId="49" fontId="2" fillId="0" borderId="16" xfId="0" applyNumberFormat="1" applyFont="1" applyBorder="1" applyAlignment="1">
      <alignment horizontal="left" vertical="center" shrinkToFit="1"/>
    </xf>
    <xf numFmtId="0" fontId="0" fillId="0" borderId="11" xfId="0" applyBorder="1"/>
    <xf numFmtId="49" fontId="2" fillId="0" borderId="20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shrinkToFit="1"/>
    </xf>
    <xf numFmtId="49" fontId="2" fillId="0" borderId="0" xfId="0" applyNumberFormat="1" applyFont="1" applyAlignment="1">
      <alignment horizontal="right" vertical="center" shrinkToFit="1"/>
    </xf>
    <xf numFmtId="191" fontId="10" fillId="0" borderId="0" xfId="0" applyNumberFormat="1" applyFont="1" applyAlignment="1">
      <alignment horizontal="left" vertical="center" shrinkToFit="1"/>
    </xf>
    <xf numFmtId="192" fontId="10" fillId="0" borderId="0" xfId="0" applyNumberFormat="1" applyFont="1" applyAlignment="1">
      <alignment horizontal="left" vertical="center" shrinkToFit="1"/>
    </xf>
    <xf numFmtId="191" fontId="2" fillId="0" borderId="0" xfId="0" applyNumberFormat="1" applyFont="1" applyAlignment="1">
      <alignment horizontal="left" vertical="center" shrinkToFit="1"/>
    </xf>
    <xf numFmtId="192" fontId="2" fillId="0" borderId="0" xfId="0" applyNumberFormat="1" applyFont="1" applyAlignment="1">
      <alignment horizontal="left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0" fontId="0" fillId="0" borderId="7" xfId="0" applyBorder="1"/>
    <xf numFmtId="49" fontId="2" fillId="0" borderId="21" xfId="0" applyNumberFormat="1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left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183" fontId="2" fillId="0" borderId="17" xfId="0" applyNumberFormat="1" applyFont="1" applyBorder="1" applyAlignment="1">
      <alignment horizontal="right" vertical="center" shrinkToFit="1"/>
    </xf>
    <xf numFmtId="49" fontId="8" fillId="0" borderId="0" xfId="0" applyNumberFormat="1" applyFont="1" applyAlignment="1">
      <alignment horizontal="left" vertical="center" shrinkToFit="1"/>
    </xf>
    <xf numFmtId="180" fontId="2" fillId="0" borderId="7" xfId="0" applyNumberFormat="1" applyFont="1" applyBorder="1" applyAlignment="1">
      <alignment horizontal="center" vertical="center" shrinkToFit="1"/>
    </xf>
    <xf numFmtId="181" fontId="2" fillId="0" borderId="7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 shrinkToFit="1"/>
    </xf>
    <xf numFmtId="0" fontId="0" fillId="0" borderId="4" xfId="0" applyBorder="1"/>
    <xf numFmtId="49" fontId="24" fillId="0" borderId="0" xfId="0" applyNumberFormat="1" applyFont="1" applyAlignment="1" applyProtection="1">
      <alignment horizontal="left" vertical="center" shrinkToFit="1"/>
      <protection hidden="1"/>
    </xf>
    <xf numFmtId="49" fontId="2" fillId="0" borderId="3" xfId="0" applyNumberFormat="1" applyFont="1" applyBorder="1" applyAlignment="1">
      <alignment horizontal="distributed" vertical="center" indent="2" shrinkToFit="1"/>
    </xf>
    <xf numFmtId="0" fontId="0" fillId="0" borderId="3" xfId="0" applyBorder="1" applyAlignment="1">
      <alignment horizontal="distributed" indent="2"/>
    </xf>
    <xf numFmtId="0" fontId="0" fillId="0" borderId="1" xfId="0" applyBorder="1" applyAlignment="1">
      <alignment horizontal="distributed" indent="2"/>
    </xf>
    <xf numFmtId="49" fontId="2" fillId="0" borderId="2" xfId="0" applyNumberFormat="1" applyFont="1" applyBorder="1" applyAlignment="1">
      <alignment horizontal="distributed" vertical="center" indent="2" shrinkToFit="1"/>
    </xf>
    <xf numFmtId="0" fontId="0" fillId="0" borderId="5" xfId="0" applyBorder="1" applyAlignment="1">
      <alignment horizontal="distributed" indent="2"/>
    </xf>
    <xf numFmtId="49" fontId="9" fillId="0" borderId="2" xfId="0" applyNumberFormat="1" applyFont="1" applyBorder="1" applyAlignment="1">
      <alignment horizontal="distributed" vertical="center" indent="2" shrinkToFit="1"/>
    </xf>
    <xf numFmtId="192" fontId="0" fillId="0" borderId="0" xfId="0" applyNumberFormat="1"/>
  </cellXfs>
  <cellStyles count="1">
    <cellStyle name="표준" xfId="0" builtinId="0"/>
  </cellStyles>
  <dxfs count="10">
    <dxf>
      <numFmt numFmtId="176" formatCode="#,###"/>
    </dxf>
    <dxf>
      <numFmt numFmtId="176" formatCode="#,###"/>
    </dxf>
    <dxf>
      <numFmt numFmtId="176" formatCode="#,###"/>
    </dxf>
    <dxf>
      <fill>
        <patternFill>
          <bgColor rgb="FFC0C0C0"/>
        </patternFill>
      </fill>
    </dxf>
    <dxf>
      <fill>
        <patternFill>
          <bgColor rgb="FFFF0000"/>
        </patternFill>
      </fill>
    </dxf>
    <dxf>
      <fill>
        <patternFill>
          <bgColor rgb="FFC0C0C0"/>
        </patternFill>
      </fill>
    </dxf>
    <dxf>
      <fill>
        <patternFill>
          <bgColor rgb="FFFF0000"/>
        </patternFill>
      </fill>
    </dxf>
    <dxf>
      <numFmt numFmtId="176" formatCode="#,###"/>
    </dxf>
    <dxf>
      <numFmt numFmtId="176" formatCode="#,###"/>
    </dxf>
    <dxf>
      <fill>
        <patternFill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cxnSp macro="">
      <xdr:nvCxnSpPr>
        <xdr:cNvPr id="2" name="직선 연결선 1"/>
        <xdr:cNvCxnSpPr/>
      </xdr:nvCxnSpPr>
      <xdr:spPr>
        <a:xfrm>
          <a:off x="0" y="542925"/>
          <a:ext cx="2514600" cy="4572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8.xml"/><Relationship Id="rId4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9.xm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0.xml"/><Relationship Id="rId4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1.xml"/><Relationship Id="rId4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2.xml"/><Relationship Id="rId4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3.xml"/><Relationship Id="rId4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tma.co.kr/" TargetMode="Externa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tma.co.kr/" TargetMode="Externa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B1:D26"/>
  <sheetViews>
    <sheetView tabSelected="1" workbookViewId="0"/>
  </sheetViews>
  <sheetFormatPr defaultRowHeight="16.5" x14ac:dyDescent="0.3"/>
  <cols>
    <col min="2" max="2" width="31.625" customWidth="1"/>
    <col min="4" max="4" width="29.625" customWidth="1"/>
  </cols>
  <sheetData>
    <row r="1" spans="2:4" ht="24.95" customHeight="1" x14ac:dyDescent="0.3">
      <c r="D1" s="179" t="str">
        <f ca="1">IF('〓 INITIAL 〓'!C4,"※※ 기본정보의 일부가 삭제되어 Stmate로 변환할 수 없습니다 ※※","")</f>
        <v/>
      </c>
    </row>
    <row r="2" spans="2:4" ht="16.5" customHeight="1" x14ac:dyDescent="0.3">
      <c r="B2" s="167" t="s">
        <v>1350</v>
      </c>
      <c r="D2" s="180" t="s">
        <v>1487</v>
      </c>
    </row>
    <row r="3" spans="2:4" ht="16.5" customHeight="1" x14ac:dyDescent="0.3">
      <c r="D3" s="180" t="s">
        <v>1488</v>
      </c>
    </row>
    <row r="4" spans="2:4" ht="16.5" customHeight="1" x14ac:dyDescent="0.3">
      <c r="B4" s="24" t="s">
        <v>1351</v>
      </c>
      <c r="D4" s="3" t="str">
        <f>HYPERLINK("#'※※안내※※'!A1","※※안내※※ →")</f>
        <v>※※안내※※ →</v>
      </c>
    </row>
    <row r="5" spans="2:4" ht="16.5" customHeight="1" x14ac:dyDescent="0.3">
      <c r="B5" s="24" t="s">
        <v>1352</v>
      </c>
      <c r="D5" s="3" t="str">
        <f ca="1">HYPERLINK("#"&amp;공사원가계산서!I2&amp;"!A1","공사원가계산서 →")</f>
        <v>공사원가계산서 →</v>
      </c>
    </row>
    <row r="6" spans="2:4" ht="16.5" customHeight="1" x14ac:dyDescent="0.3">
      <c r="B6" s="24" t="s">
        <v>1353</v>
      </c>
      <c r="D6" s="3" t="str">
        <f ca="1">HYPERLINK("#"&amp;총괄내역서!H2&amp;"!A1","총괄내역서 →")</f>
        <v>총괄내역서 →</v>
      </c>
    </row>
    <row r="7" spans="2:4" ht="16.5" customHeight="1" x14ac:dyDescent="0.3">
      <c r="B7" s="24" t="s">
        <v>1354</v>
      </c>
      <c r="D7" s="3" t="str">
        <f ca="1">HYPERLINK("#"&amp;설계변경내역서!O2&amp;"!A1","설계변경내역서 →")</f>
        <v>설계변경내역서 →</v>
      </c>
    </row>
    <row r="8" spans="2:4" ht="16.5" customHeight="1" x14ac:dyDescent="0.3">
      <c r="B8" s="24" t="s">
        <v>1355</v>
      </c>
      <c r="D8" s="3" t="str">
        <f ca="1">HYPERLINK("#"&amp;설계변경금액대비표!H2&amp;"!A1","설계변경금액대비표 →")</f>
        <v>설계변경금액대비표 →</v>
      </c>
    </row>
    <row r="9" spans="2:4" ht="16.5" customHeight="1" x14ac:dyDescent="0.3">
      <c r="B9" s="24" t="s">
        <v>1356</v>
      </c>
      <c r="D9" s="3" t="str">
        <f ca="1">HYPERLINK("#"&amp;설계변경증감대비표!L2&amp;"!A1","설계변경증감대비표 →")</f>
        <v>설계변경증감대비표 →</v>
      </c>
    </row>
    <row r="10" spans="2:4" ht="16.5" customHeight="1" x14ac:dyDescent="0.3">
      <c r="B10" s="24" t="s">
        <v>1357</v>
      </c>
      <c r="D10" s="3" t="str">
        <f ca="1">HYPERLINK("#"&amp;일위대가목록표!J2&amp;"!A1","일위대가목록표 →")</f>
        <v>일위대가목록표 →</v>
      </c>
    </row>
    <row r="11" spans="2:4" ht="16.5" customHeight="1" x14ac:dyDescent="0.3">
      <c r="B11" s="24" t="s">
        <v>1358</v>
      </c>
      <c r="D11" s="3" t="str">
        <f ca="1">HYPERLINK("#"&amp;일위대가표!N2&amp;"!A1","일위대가표 →")</f>
        <v>일위대가표 →</v>
      </c>
    </row>
    <row r="12" spans="2:4" ht="16.5" customHeight="1" x14ac:dyDescent="0.3">
      <c r="B12" s="24" t="s">
        <v>1359</v>
      </c>
      <c r="D12" s="3" t="str">
        <f ca="1">HYPERLINK("#"&amp;일위대가수량금액집계표!K2&amp;"!A1","일위대가수량금액집계표 →")</f>
        <v>일위대가수량금액집계표 →</v>
      </c>
    </row>
    <row r="13" spans="2:4" ht="16.5" customHeight="1" x14ac:dyDescent="0.3">
      <c r="B13" s="24" t="s">
        <v>1360</v>
      </c>
      <c r="D13" s="3" t="str">
        <f ca="1">HYPERLINK("#"&amp;단가산출근거목록표!J2&amp;"!A1","단가산출근거목록표 →")</f>
        <v>단가산출근거목록표 →</v>
      </c>
    </row>
    <row r="14" spans="2:4" ht="16.5" customHeight="1" x14ac:dyDescent="0.3">
      <c r="B14" s="24" t="s">
        <v>1361</v>
      </c>
      <c r="D14" s="3" t="str">
        <f ca="1">HYPERLINK("#"&amp;단가산출근거!G2&amp;"!A1","단가산출근거 →")</f>
        <v>단가산출근거 →</v>
      </c>
    </row>
    <row r="15" spans="2:4" ht="16.5" customHeight="1" x14ac:dyDescent="0.3">
      <c r="B15" s="24" t="s">
        <v>1362</v>
      </c>
      <c r="D15" s="3" t="str">
        <f ca="1">HYPERLINK("#"&amp;단가산출근거수량금액집계표!K2&amp;"!A1","단가산출근거수량금액집계표 →")</f>
        <v>단가산출근거수량금액집계표 →</v>
      </c>
    </row>
    <row r="16" spans="2:4" ht="16.5" customHeight="1" x14ac:dyDescent="0.3">
      <c r="B16" s="24" t="s">
        <v>1363</v>
      </c>
      <c r="D16" s="3" t="str">
        <f ca="1">HYPERLINK("#"&amp;환율및기초자료!I2&amp;"!A1","환율및기초자료 →")</f>
        <v>환율및기초자료 →</v>
      </c>
    </row>
    <row r="17" spans="2:4" ht="16.5" customHeight="1" x14ac:dyDescent="0.3">
      <c r="B17" s="24" t="s">
        <v>1364</v>
      </c>
      <c r="D17" s="3" t="str">
        <f ca="1">HYPERLINK("#"&amp;중기목록표!J2&amp;"!A1","중기목록표 →")</f>
        <v>중기목록표 →</v>
      </c>
    </row>
    <row r="18" spans="2:4" ht="16.5" customHeight="1" x14ac:dyDescent="0.3">
      <c r="B18" s="24" t="s">
        <v>1365</v>
      </c>
      <c r="D18" s="3" t="str">
        <f ca="1">HYPERLINK("#"&amp;중기사용료!N2&amp;"!A1","중기사용료 →")</f>
        <v>중기사용료 →</v>
      </c>
    </row>
    <row r="19" spans="2:4" ht="16.5" customHeight="1" x14ac:dyDescent="0.3">
      <c r="B19" s="24" t="s">
        <v>1366</v>
      </c>
      <c r="D19" s="3" t="str">
        <f ca="1">HYPERLINK("#"&amp;재료비목록표!G2&amp;"!A1","재료비목록표 →")</f>
        <v>재료비목록표 →</v>
      </c>
    </row>
    <row r="20" spans="2:4" ht="16.5" customHeight="1" x14ac:dyDescent="0.3">
      <c r="B20" s="24" t="s">
        <v>1367</v>
      </c>
      <c r="D20" s="3" t="str">
        <f ca="1">HYPERLINK("#"&amp;노무비목록표!G2&amp;"!A1","노무비목록표 →")</f>
        <v>노무비목록표 →</v>
      </c>
    </row>
    <row r="21" spans="2:4" ht="16.5" customHeight="1" x14ac:dyDescent="0.3">
      <c r="B21" s="24" t="s">
        <v>1368</v>
      </c>
      <c r="D21" s="3" t="str">
        <f ca="1">HYPERLINK("#"&amp;경비목록표!G2&amp;"!A1","경비목록표 →")</f>
        <v>경비목록표 →</v>
      </c>
    </row>
    <row r="22" spans="2:4" ht="16.5" customHeight="1" x14ac:dyDescent="0.3">
      <c r="B22" s="24" t="s">
        <v>1369</v>
      </c>
      <c r="D22" s="3" t="str">
        <f ca="1">HYPERLINK("#"&amp;일식견적목록표!J2&amp;"!A1","일식견적목록표 →")</f>
        <v>일식견적목록표 →</v>
      </c>
    </row>
    <row r="23" spans="2:4" ht="16.5" customHeight="1" x14ac:dyDescent="0.3">
      <c r="B23" s="24" t="s">
        <v>1370</v>
      </c>
      <c r="D23" s="3" t="str">
        <f ca="1">HYPERLINK("#"&amp;자재단가대비표!R2&amp;"!A1","자재단가대비표 →")</f>
        <v>자재단가대비표 →</v>
      </c>
    </row>
    <row r="24" spans="2:4" ht="16.5" customHeight="1" x14ac:dyDescent="0.3">
      <c r="B24" s="24" t="s">
        <v>1371</v>
      </c>
      <c r="D24" s="3" t="str">
        <f ca="1">HYPERLINK("#"&amp;재료비수량금액집계표!I2&amp;"!A1","재료비수량금액집계표 →")</f>
        <v>재료비수량금액집계표 →</v>
      </c>
    </row>
    <row r="25" spans="2:4" ht="16.5" customHeight="1" x14ac:dyDescent="0.3">
      <c r="B25" s="24" t="s">
        <v>1372</v>
      </c>
      <c r="D25" s="3" t="str">
        <f ca="1">HYPERLINK("#"&amp;노무비수량금액집계표!I2&amp;"!A1","노무비수량금액집계표 →")</f>
        <v>노무비수량금액집계표 →</v>
      </c>
    </row>
    <row r="26" spans="2:4" ht="16.5" customHeight="1" x14ac:dyDescent="0.3">
      <c r="B26" s="24" t="s">
        <v>1373</v>
      </c>
      <c r="D26" s="3" t="str">
        <f ca="1">HYPERLINK("#"&amp;중기시간금액집계표!K2&amp;"!A1","중기시간금액집계표 →")</f>
        <v>중기시간금액집계표 →</v>
      </c>
    </row>
  </sheetData>
  <phoneticPr fontId="25" type="noConversion"/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workbookViewId="0">
      <pane ySplit="3" topLeftCell="A4" activePane="bottomLeft" state="frozenSplit"/>
      <selection pane="bottomLeft" activeCell="A4" sqref="A4:A5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9" width="13" style="6" customWidth="1"/>
    <col min="10" max="10" width="10" style="6" customWidth="1"/>
    <col min="11" max="11" width="9.125" style="6" hidden="1" customWidth="1"/>
    <col min="12" max="12" width="9.125" style="18" customWidth="1"/>
    <col min="13" max="16384" width="9.125" style="6"/>
  </cols>
  <sheetData>
    <row r="1" spans="1:12" ht="24.95" customHeight="1" x14ac:dyDescent="0.3">
      <c r="A1" s="183" t="s">
        <v>46</v>
      </c>
      <c r="B1" s="182"/>
      <c r="C1" s="182"/>
      <c r="D1" s="182"/>
      <c r="E1" s="182"/>
      <c r="F1" s="182"/>
      <c r="G1" s="182"/>
      <c r="H1" s="182"/>
      <c r="I1" s="182"/>
      <c r="J1" s="182"/>
      <c r="K1" s="5" t="s">
        <v>47</v>
      </c>
      <c r="L1" s="19" t="s">
        <v>47</v>
      </c>
    </row>
    <row r="2" spans="1:12" ht="24.95" customHeight="1" x14ac:dyDescent="0.3">
      <c r="A2" s="1" t="s">
        <v>1</v>
      </c>
      <c r="K2" s="20" t="str">
        <f ca="1">MID(CELL("filename",$A$1),FIND("]",CELL("filename",$A$1))+1,LEN(CELL("filename",$A$1)))</f>
        <v>일위대가수량금액집계표</v>
      </c>
    </row>
    <row r="3" spans="1:12" ht="24.95" customHeight="1" x14ac:dyDescent="0.3">
      <c r="A3" s="8" t="s">
        <v>2</v>
      </c>
      <c r="B3" s="8" t="s">
        <v>3</v>
      </c>
      <c r="C3" s="8" t="s">
        <v>4</v>
      </c>
      <c r="D3" s="8" t="s">
        <v>255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4" t="s">
        <v>10</v>
      </c>
      <c r="L3" s="3" t="str">
        <f>HYPERLINK("#'〓 목 차 〓'!B2","목차 →")</f>
        <v>목차 →</v>
      </c>
    </row>
    <row r="4" spans="1:12" ht="24.95" customHeight="1" x14ac:dyDescent="0.3">
      <c r="A4" s="227" t="s">
        <v>829</v>
      </c>
      <c r="B4" s="228" t="s">
        <v>12</v>
      </c>
      <c r="C4" s="228" t="s">
        <v>13</v>
      </c>
      <c r="D4" s="70">
        <v>0</v>
      </c>
      <c r="E4" s="229" t="s">
        <v>14</v>
      </c>
      <c r="F4" s="58">
        <f t="shared" ref="F4:F21" si="0">H4+G4+I4</f>
        <v>0</v>
      </c>
      <c r="G4" s="54">
        <f>ROUND(D4*일위대가목록표!F4,0)</f>
        <v>0</v>
      </c>
      <c r="H4" s="85">
        <f>ROUND(D4*일위대가목록표!G4,0)</f>
        <v>0</v>
      </c>
      <c r="I4" s="58">
        <f>ROUND(D4*일위대가목록표!H4,0)</f>
        <v>0</v>
      </c>
      <c r="J4" s="230" t="s">
        <v>829</v>
      </c>
      <c r="L4" s="3" t="str">
        <f ca="1">HYPERLINK("#"&amp;일위대가목록표!J2&amp;"!A"&amp;ROW(일위대가목록표!A4),"B01092 →")</f>
        <v>B01092 →</v>
      </c>
    </row>
    <row r="5" spans="1:12" ht="24.95" customHeight="1" x14ac:dyDescent="0.3">
      <c r="A5" s="217"/>
      <c r="B5" s="217"/>
      <c r="C5" s="217"/>
      <c r="D5" s="142">
        <v>29</v>
      </c>
      <c r="E5" s="202"/>
      <c r="F5" s="59">
        <f t="shared" si="0"/>
        <v>1602685</v>
      </c>
      <c r="G5" s="55">
        <f>ROUND(D5*일위대가목록표!F4,0)</f>
        <v>1294908</v>
      </c>
      <c r="H5" s="86">
        <f>ROUND(D5*일위대가목록표!G4,0)</f>
        <v>111070</v>
      </c>
      <c r="I5" s="59">
        <f>ROUND(D5*일위대가목록표!H4,0)</f>
        <v>196707</v>
      </c>
      <c r="J5" s="203"/>
    </row>
    <row r="6" spans="1:12" ht="24.95" customHeight="1" x14ac:dyDescent="0.3">
      <c r="A6" s="227" t="s">
        <v>830</v>
      </c>
      <c r="B6" s="228" t="s">
        <v>17</v>
      </c>
      <c r="C6" s="228" t="s">
        <v>18</v>
      </c>
      <c r="D6" s="70">
        <v>0</v>
      </c>
      <c r="E6" s="229" t="s">
        <v>14</v>
      </c>
      <c r="F6" s="58">
        <f t="shared" si="0"/>
        <v>0</v>
      </c>
      <c r="G6" s="54">
        <f>ROUND(D6*일위대가목록표!F5,0)</f>
        <v>0</v>
      </c>
      <c r="H6" s="85">
        <f>ROUND(D6*일위대가목록표!G5,0)</f>
        <v>0</v>
      </c>
      <c r="I6" s="58">
        <f>ROUND(D6*일위대가목록표!H5,0)</f>
        <v>0</v>
      </c>
      <c r="J6" s="230" t="s">
        <v>830</v>
      </c>
      <c r="L6" s="3" t="str">
        <f ca="1">HYPERLINK("#"&amp;일위대가목록표!J2&amp;"!A"&amp;ROW(일위대가목록표!A5),"B01093 →")</f>
        <v>B01093 →</v>
      </c>
    </row>
    <row r="7" spans="1:12" ht="24.95" customHeight="1" x14ac:dyDescent="0.3">
      <c r="A7" s="217"/>
      <c r="B7" s="217"/>
      <c r="C7" s="217"/>
      <c r="D7" s="142">
        <v>265.60000000000002</v>
      </c>
      <c r="E7" s="202"/>
      <c r="F7" s="59">
        <f t="shared" si="0"/>
        <v>14822604</v>
      </c>
      <c r="G7" s="55">
        <f>ROUND(D7*일위대가목록표!F5,0)</f>
        <v>10911379</v>
      </c>
      <c r="H7" s="86">
        <f>ROUND(D7*일위대가목록표!G5,0)</f>
        <v>1411398</v>
      </c>
      <c r="I7" s="59">
        <f>ROUND(D7*일위대가목록표!H5,0)</f>
        <v>2499827</v>
      </c>
      <c r="J7" s="203"/>
    </row>
    <row r="8" spans="1:12" ht="24.95" customHeight="1" x14ac:dyDescent="0.3">
      <c r="A8" s="227" t="s">
        <v>831</v>
      </c>
      <c r="B8" s="228" t="s">
        <v>12</v>
      </c>
      <c r="C8" s="228" t="s">
        <v>21</v>
      </c>
      <c r="D8" s="70">
        <v>0</v>
      </c>
      <c r="E8" s="229" t="s">
        <v>14</v>
      </c>
      <c r="F8" s="58">
        <f t="shared" si="0"/>
        <v>0</v>
      </c>
      <c r="G8" s="54">
        <f>ROUND(D8*일위대가목록표!F6,0)</f>
        <v>0</v>
      </c>
      <c r="H8" s="85">
        <f>ROUND(D8*일위대가목록표!G6,0)</f>
        <v>0</v>
      </c>
      <c r="I8" s="58">
        <f>ROUND(D8*일위대가목록표!H6,0)</f>
        <v>0</v>
      </c>
      <c r="J8" s="230" t="s">
        <v>831</v>
      </c>
      <c r="L8" s="3" t="str">
        <f ca="1">HYPERLINK("#"&amp;일위대가목록표!J2&amp;"!A"&amp;ROW(일위대가목록표!A6),"B01094 →")</f>
        <v>B01094 →</v>
      </c>
    </row>
    <row r="9" spans="1:12" ht="24.95" customHeight="1" x14ac:dyDescent="0.3">
      <c r="A9" s="217"/>
      <c r="B9" s="217"/>
      <c r="C9" s="217"/>
      <c r="D9" s="142">
        <v>195.9</v>
      </c>
      <c r="E9" s="202"/>
      <c r="F9" s="59">
        <f t="shared" si="0"/>
        <v>11763207</v>
      </c>
      <c r="G9" s="55">
        <f>ROUND(D9*일위대가목록표!F6,0)</f>
        <v>9597533</v>
      </c>
      <c r="H9" s="86">
        <f>ROUND(D9*일위대가목록표!G6,0)</f>
        <v>781445</v>
      </c>
      <c r="I9" s="59">
        <f>ROUND(D9*일위대가목록표!H6,0)</f>
        <v>1384229</v>
      </c>
      <c r="J9" s="203"/>
    </row>
    <row r="10" spans="1:12" ht="24.95" customHeight="1" x14ac:dyDescent="0.3">
      <c r="A10" s="227" t="s">
        <v>832</v>
      </c>
      <c r="B10" s="228" t="s">
        <v>12</v>
      </c>
      <c r="C10" s="228" t="s">
        <v>24</v>
      </c>
      <c r="D10" s="70">
        <v>0</v>
      </c>
      <c r="E10" s="229" t="s">
        <v>14</v>
      </c>
      <c r="F10" s="58">
        <f t="shared" si="0"/>
        <v>0</v>
      </c>
      <c r="G10" s="54">
        <f>ROUND(D10*일위대가목록표!F7,0)</f>
        <v>0</v>
      </c>
      <c r="H10" s="85">
        <f>ROUND(D10*일위대가목록표!G7,0)</f>
        <v>0</v>
      </c>
      <c r="I10" s="58">
        <f>ROUND(D10*일위대가목록표!H7,0)</f>
        <v>0</v>
      </c>
      <c r="J10" s="230" t="s">
        <v>832</v>
      </c>
      <c r="L10" s="3" t="str">
        <f ca="1">HYPERLINK("#"&amp;일위대가목록표!J2&amp;"!A"&amp;ROW(일위대가목록표!A7),"B01095 →")</f>
        <v>B01095 →</v>
      </c>
    </row>
    <row r="11" spans="1:12" ht="24.95" customHeight="1" x14ac:dyDescent="0.3">
      <c r="A11" s="217"/>
      <c r="B11" s="217"/>
      <c r="C11" s="217"/>
      <c r="D11" s="142">
        <v>72.8</v>
      </c>
      <c r="E11" s="202"/>
      <c r="F11" s="59">
        <f t="shared" si="0"/>
        <v>3824038</v>
      </c>
      <c r="G11" s="55">
        <f>ROUND(D11*일위대가목록표!F7,0)</f>
        <v>3115767</v>
      </c>
      <c r="H11" s="86">
        <f>ROUND(D11*일위대가목록표!G7,0)</f>
        <v>255601</v>
      </c>
      <c r="I11" s="59">
        <f>ROUND(D11*일위대가목록표!H7,0)</f>
        <v>452670</v>
      </c>
      <c r="J11" s="203"/>
    </row>
    <row r="12" spans="1:12" ht="24.95" customHeight="1" x14ac:dyDescent="0.3">
      <c r="A12" s="227" t="s">
        <v>833</v>
      </c>
      <c r="B12" s="228" t="s">
        <v>27</v>
      </c>
      <c r="C12" s="228" t="s">
        <v>28</v>
      </c>
      <c r="D12" s="70">
        <v>0</v>
      </c>
      <c r="E12" s="229" t="s">
        <v>29</v>
      </c>
      <c r="F12" s="58">
        <f t="shared" si="0"/>
        <v>0</v>
      </c>
      <c r="G12" s="54">
        <f>ROUND(D12*일위대가목록표!F8,0)</f>
        <v>0</v>
      </c>
      <c r="H12" s="85">
        <f>ROUND(D12*일위대가목록표!G8,0)</f>
        <v>0</v>
      </c>
      <c r="I12" s="58">
        <f>ROUND(D12*일위대가목록표!H8,0)</f>
        <v>0</v>
      </c>
      <c r="J12" s="230" t="s">
        <v>833</v>
      </c>
      <c r="L12" s="3" t="str">
        <f ca="1">HYPERLINK("#"&amp;일위대가목록표!J2&amp;"!A"&amp;ROW(일위대가목록표!A8),"B01097 →")</f>
        <v>B01097 →</v>
      </c>
    </row>
    <row r="13" spans="1:12" ht="24.95" customHeight="1" x14ac:dyDescent="0.3">
      <c r="A13" s="217"/>
      <c r="B13" s="217"/>
      <c r="C13" s="217"/>
      <c r="D13" s="142">
        <v>46</v>
      </c>
      <c r="E13" s="202"/>
      <c r="F13" s="59">
        <f t="shared" si="0"/>
        <v>577576</v>
      </c>
      <c r="G13" s="55">
        <f>ROUND(D13*일위대가목록표!F8,0)</f>
        <v>430008</v>
      </c>
      <c r="H13" s="86">
        <f>ROUND(D13*일위대가목록표!G8,0)</f>
        <v>53084</v>
      </c>
      <c r="I13" s="59">
        <f>ROUND(D13*일위대가목록표!H8,0)</f>
        <v>94484</v>
      </c>
      <c r="J13" s="203"/>
    </row>
    <row r="14" spans="1:12" ht="24.95" customHeight="1" x14ac:dyDescent="0.3">
      <c r="A14" s="227" t="s">
        <v>834</v>
      </c>
      <c r="B14" s="228" t="s">
        <v>32</v>
      </c>
      <c r="C14" s="228" t="s">
        <v>28</v>
      </c>
      <c r="D14" s="70">
        <v>0</v>
      </c>
      <c r="E14" s="229" t="s">
        <v>14</v>
      </c>
      <c r="F14" s="58">
        <f t="shared" si="0"/>
        <v>0</v>
      </c>
      <c r="G14" s="54">
        <f>ROUND(D14*일위대가목록표!F9,0)</f>
        <v>0</v>
      </c>
      <c r="H14" s="85">
        <f>ROUND(D14*일위대가목록표!G9,0)</f>
        <v>0</v>
      </c>
      <c r="I14" s="58">
        <f>ROUND(D14*일위대가목록표!H9,0)</f>
        <v>0</v>
      </c>
      <c r="J14" s="230" t="s">
        <v>834</v>
      </c>
      <c r="L14" s="3" t="str">
        <f ca="1">HYPERLINK("#"&amp;일위대가목록표!J2&amp;"!A"&amp;ROW(일위대가목록표!A9),"B01098 →")</f>
        <v>B01098 →</v>
      </c>
    </row>
    <row r="15" spans="1:12" ht="24.95" customHeight="1" x14ac:dyDescent="0.3">
      <c r="A15" s="217"/>
      <c r="B15" s="217"/>
      <c r="C15" s="217"/>
      <c r="D15" s="142">
        <v>9.1999999999999993</v>
      </c>
      <c r="E15" s="202"/>
      <c r="F15" s="59">
        <f t="shared" si="0"/>
        <v>637348</v>
      </c>
      <c r="G15" s="55">
        <f>ROUND(D15*일위대가목록표!F9,0)</f>
        <v>475060</v>
      </c>
      <c r="H15" s="86">
        <f>ROUND(D15*일위대가목록표!G9,0)</f>
        <v>58567</v>
      </c>
      <c r="I15" s="59">
        <f>ROUND(D15*일위대가목록표!H9,0)</f>
        <v>103721</v>
      </c>
      <c r="J15" s="203"/>
    </row>
    <row r="16" spans="1:12" ht="24.95" customHeight="1" x14ac:dyDescent="0.3">
      <c r="A16" s="227" t="s">
        <v>835</v>
      </c>
      <c r="B16" s="228" t="s">
        <v>35</v>
      </c>
      <c r="C16" s="228" t="s">
        <v>36</v>
      </c>
      <c r="D16" s="70">
        <v>0</v>
      </c>
      <c r="E16" s="229" t="s">
        <v>37</v>
      </c>
      <c r="F16" s="58">
        <f t="shared" si="0"/>
        <v>0</v>
      </c>
      <c r="G16" s="54">
        <f>ROUND(D16*일위대가목록표!F10,0)</f>
        <v>0</v>
      </c>
      <c r="H16" s="85">
        <f>ROUND(D16*일위대가목록표!G10,0)</f>
        <v>0</v>
      </c>
      <c r="I16" s="58">
        <f>ROUND(D16*일위대가목록표!H10,0)</f>
        <v>0</v>
      </c>
      <c r="J16" s="230" t="s">
        <v>835</v>
      </c>
      <c r="L16" s="3" t="str">
        <f ca="1">HYPERLINK("#"&amp;일위대가목록표!J2&amp;"!A"&amp;ROW(일위대가목록표!A10),"B01099 →")</f>
        <v>B01099 →</v>
      </c>
    </row>
    <row r="17" spans="1:12" ht="24.95" customHeight="1" x14ac:dyDescent="0.3">
      <c r="A17" s="217"/>
      <c r="B17" s="217"/>
      <c r="C17" s="217"/>
      <c r="D17" s="142">
        <v>150</v>
      </c>
      <c r="E17" s="202"/>
      <c r="F17" s="59">
        <f t="shared" si="0"/>
        <v>5554350</v>
      </c>
      <c r="G17" s="55">
        <f>ROUND(D17*일위대가목록표!F10,0)</f>
        <v>5480550</v>
      </c>
      <c r="H17" s="86">
        <f>ROUND(D17*일위대가목록표!G10,0)</f>
        <v>73800</v>
      </c>
      <c r="I17" s="59">
        <f>ROUND(D17*일위대가목록표!H10,0)</f>
        <v>0</v>
      </c>
      <c r="J17" s="203"/>
    </row>
    <row r="18" spans="1:12" ht="24.95" customHeight="1" x14ac:dyDescent="0.3">
      <c r="A18" s="227" t="s">
        <v>836</v>
      </c>
      <c r="B18" s="228" t="s">
        <v>40</v>
      </c>
      <c r="C18" s="228" t="s">
        <v>41</v>
      </c>
      <c r="D18" s="70">
        <v>0</v>
      </c>
      <c r="E18" s="229" t="s">
        <v>42</v>
      </c>
      <c r="F18" s="58">
        <f t="shared" si="0"/>
        <v>0</v>
      </c>
      <c r="G18" s="54">
        <f>ROUND(D18*일위대가목록표!F11,0)</f>
        <v>0</v>
      </c>
      <c r="H18" s="85">
        <f>ROUND(D18*일위대가목록표!G11,0)</f>
        <v>0</v>
      </c>
      <c r="I18" s="58">
        <f>ROUND(D18*일위대가목록표!H11,0)</f>
        <v>0</v>
      </c>
      <c r="J18" s="230" t="s">
        <v>836</v>
      </c>
      <c r="L18" s="3" t="str">
        <f ca="1">HYPERLINK("#"&amp;일위대가목록표!J2&amp;"!A"&amp;ROW(일위대가목록표!A11),"B01107 →")</f>
        <v>B01107 →</v>
      </c>
    </row>
    <row r="19" spans="1:12" ht="24.95" customHeight="1" x14ac:dyDescent="0.3">
      <c r="A19" s="217"/>
      <c r="B19" s="217"/>
      <c r="C19" s="217"/>
      <c r="D19" s="142">
        <v>600</v>
      </c>
      <c r="E19" s="202"/>
      <c r="F19" s="59">
        <f t="shared" si="0"/>
        <v>2269800</v>
      </c>
      <c r="G19" s="55">
        <f>ROUND(D19*일위대가목록표!F11,0)</f>
        <v>2185800</v>
      </c>
      <c r="H19" s="86">
        <f>ROUND(D19*일위대가목록표!G11,0)</f>
        <v>84000</v>
      </c>
      <c r="I19" s="59">
        <f>ROUND(D19*일위대가목록표!H11,0)</f>
        <v>0</v>
      </c>
      <c r="J19" s="203"/>
    </row>
    <row r="20" spans="1:12" ht="24.95" customHeight="1" x14ac:dyDescent="0.3">
      <c r="A20" s="227" t="s">
        <v>837</v>
      </c>
      <c r="B20" s="228" t="s">
        <v>45</v>
      </c>
      <c r="C20" s="228" t="s">
        <v>41</v>
      </c>
      <c r="D20" s="70">
        <v>0</v>
      </c>
      <c r="E20" s="229" t="s">
        <v>42</v>
      </c>
      <c r="F20" s="58">
        <f t="shared" si="0"/>
        <v>0</v>
      </c>
      <c r="G20" s="54">
        <f>ROUND(D20*일위대가목록표!F12,0)</f>
        <v>0</v>
      </c>
      <c r="H20" s="85">
        <f>ROUND(D20*일위대가목록표!G12,0)</f>
        <v>0</v>
      </c>
      <c r="I20" s="58">
        <f>ROUND(D20*일위대가목록표!H12,0)</f>
        <v>0</v>
      </c>
      <c r="J20" s="230" t="s">
        <v>837</v>
      </c>
      <c r="L20" s="3" t="str">
        <f ca="1">HYPERLINK("#"&amp;일위대가목록표!J2&amp;"!A"&amp;ROW(일위대가목록표!A12),"B01109 →")</f>
        <v>B01109 →</v>
      </c>
    </row>
    <row r="21" spans="1:12" ht="24.95" customHeight="1" x14ac:dyDescent="0.3">
      <c r="A21" s="217"/>
      <c r="B21" s="217"/>
      <c r="C21" s="217"/>
      <c r="D21" s="142">
        <v>600</v>
      </c>
      <c r="E21" s="202"/>
      <c r="F21" s="59">
        <f t="shared" si="0"/>
        <v>4042200</v>
      </c>
      <c r="G21" s="55">
        <f>ROUND(D21*일위대가목록표!F12,0)</f>
        <v>4042200</v>
      </c>
      <c r="H21" s="86">
        <f>ROUND(D21*일위대가목록표!G12,0)</f>
        <v>0</v>
      </c>
      <c r="I21" s="59">
        <f>ROUND(D21*일위대가목록표!H12,0)</f>
        <v>0</v>
      </c>
      <c r="J21" s="203"/>
    </row>
  </sheetData>
  <mergeCells count="46">
    <mergeCell ref="A18:A19"/>
    <mergeCell ref="B18:B19"/>
    <mergeCell ref="C18:C19"/>
    <mergeCell ref="E18:E19"/>
    <mergeCell ref="J18:J19"/>
    <mergeCell ref="A20:A21"/>
    <mergeCell ref="B20:B21"/>
    <mergeCell ref="C20:C21"/>
    <mergeCell ref="E20:E21"/>
    <mergeCell ref="J20:J21"/>
    <mergeCell ref="A14:A15"/>
    <mergeCell ref="B14:B15"/>
    <mergeCell ref="C14:C15"/>
    <mergeCell ref="E14:E15"/>
    <mergeCell ref="J14:J15"/>
    <mergeCell ref="A16:A17"/>
    <mergeCell ref="B16:B17"/>
    <mergeCell ref="C16:C17"/>
    <mergeCell ref="E16:E17"/>
    <mergeCell ref="J16:J17"/>
    <mergeCell ref="A10:A11"/>
    <mergeCell ref="B10:B11"/>
    <mergeCell ref="C10:C11"/>
    <mergeCell ref="E10:E11"/>
    <mergeCell ref="J10:J11"/>
    <mergeCell ref="A12:A13"/>
    <mergeCell ref="B12:B13"/>
    <mergeCell ref="C12:C13"/>
    <mergeCell ref="E12:E13"/>
    <mergeCell ref="J12:J13"/>
    <mergeCell ref="A6:A7"/>
    <mergeCell ref="B6:B7"/>
    <mergeCell ref="C6:C7"/>
    <mergeCell ref="E6:E7"/>
    <mergeCell ref="J6:J7"/>
    <mergeCell ref="A8:A9"/>
    <mergeCell ref="B8:B9"/>
    <mergeCell ref="C8:C9"/>
    <mergeCell ref="E8:E9"/>
    <mergeCell ref="J8:J9"/>
    <mergeCell ref="A1:J1"/>
    <mergeCell ref="A4:A5"/>
    <mergeCell ref="B4:B5"/>
    <mergeCell ref="C4:C5"/>
    <mergeCell ref="E4:E5"/>
    <mergeCell ref="J4:J5"/>
  </mergeCells>
  <phoneticPr fontId="25" type="noConversion"/>
  <hyperlinks>
    <hyperlink ref="L1" r:id="rId1" tooltip="설계예산시스템(STmate w25.05)으로 작성 하였으며,_x000a_엑셀 인쇄품질 600 dpi에 최적화 되어 있습니다._x000a_경영정보(주) http://www.stma.co.kr_x000a_Tel) 070-4350-0040_x000a_Fax) 0505-300-3948"/>
    <hyperlink ref="K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87" fitToWidth="0" fitToHeight="0" orientation="landscape" r:id="rId3"/>
  <headerFooter alignWithMargins="0">
    <oddFooter>&amp;L&amp;"굴림체,"&amp;9 ( 상단:당초 , 하단:변경 )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8" width="11.5" style="6" customWidth="1"/>
    <col min="9" max="9" width="10" style="6" customWidth="1"/>
    <col min="10" max="10" width="9.125" style="16" hidden="1" customWidth="1"/>
    <col min="11" max="11" width="9.125" style="18" customWidth="1"/>
    <col min="12" max="16384" width="9.125" style="6"/>
  </cols>
  <sheetData>
    <row r="1" spans="1:11" ht="24.95" customHeight="1" x14ac:dyDescent="0.3">
      <c r="A1" s="183" t="s">
        <v>48</v>
      </c>
      <c r="B1" s="182"/>
      <c r="C1" s="182"/>
      <c r="D1" s="182"/>
      <c r="E1" s="182"/>
      <c r="F1" s="182"/>
      <c r="G1" s="182"/>
      <c r="H1" s="182"/>
      <c r="I1" s="182"/>
      <c r="J1" s="5" t="s">
        <v>47</v>
      </c>
      <c r="K1" s="19" t="s">
        <v>47</v>
      </c>
    </row>
    <row r="2" spans="1:11" ht="22.35" customHeight="1" x14ac:dyDescent="0.3">
      <c r="A2" s="1" t="s">
        <v>1</v>
      </c>
      <c r="J2" s="20" t="str">
        <f ca="1">MID(CELL("filename",$A$1),FIND("]",CELL("filename",$A$1))+1,LEN(CELL("filename",$A$1)))</f>
        <v>단가산출근거목록표</v>
      </c>
    </row>
    <row r="3" spans="1:11" ht="22.3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K3" s="3" t="str">
        <f>HYPERLINK("#'〓 목 차 〓'!B2","목차 →")</f>
        <v>목차 →</v>
      </c>
    </row>
    <row r="4" spans="1:11" ht="22.35" customHeight="1" x14ac:dyDescent="0.3">
      <c r="A4" s="9" t="s">
        <v>49</v>
      </c>
      <c r="B4" s="10" t="s">
        <v>50</v>
      </c>
      <c r="C4" s="10" t="s">
        <v>51</v>
      </c>
      <c r="D4" s="9" t="s">
        <v>52</v>
      </c>
      <c r="E4" s="99">
        <f>단가산출근거!C74</f>
        <v>20800</v>
      </c>
      <c r="F4" s="121">
        <f>단가산출근거!D74</f>
        <v>14811</v>
      </c>
      <c r="G4" s="120">
        <f>단가산출근거!E74</f>
        <v>1979</v>
      </c>
      <c r="H4" s="99">
        <f>단가산출근거!F74</f>
        <v>4010</v>
      </c>
      <c r="I4" s="15" t="s">
        <v>49</v>
      </c>
      <c r="J4" s="17" t="str">
        <f>"_x0007_`COD|D00150_x0005_`QTY1|1_x0005_`BQC|_x0005_`EQC|_x0005_`JDC|_x0005_`WQC|_x0005_`EDT|_x0005_`ADJ|F_x0005_`NAG|0_x0005_`UC|F_x0005_`DET|"&amp;ROW(단가산출근거!A5)&amp;"_x0005_`"</f>
        <v>_x0007_`COD|D00150_x0005_`QTY1|1_x0005_`BQC|_x0005_`EQC|_x0005_`JDC|_x0005_`WQC|_x0005_`EDT|_x0005_`ADJ|F_x0005_`NAG|0_x0005_`UC|F_x0005_`DET|5_x0005_`</v>
      </c>
      <c r="K4" s="3" t="str">
        <f ca="1">HYPERLINK("#"&amp;단가산출근거!G2&amp;"!A"&amp;ROW(단가산출근거!A5),"D00150 →")</f>
        <v>D00150 →</v>
      </c>
    </row>
    <row r="5" spans="1:11" ht="22.35" customHeight="1" x14ac:dyDescent="0.3">
      <c r="A5" s="9" t="s">
        <v>44</v>
      </c>
      <c r="B5" s="10" t="s">
        <v>50</v>
      </c>
      <c r="C5" s="10" t="s">
        <v>51</v>
      </c>
      <c r="D5" s="9" t="s">
        <v>52</v>
      </c>
      <c r="E5" s="99">
        <f>단가산출근거!C143</f>
        <v>18302</v>
      </c>
      <c r="F5" s="121">
        <f>단가산출근거!D143</f>
        <v>13033</v>
      </c>
      <c r="G5" s="120">
        <f>단가산출근거!E143</f>
        <v>1741</v>
      </c>
      <c r="H5" s="99">
        <f>단가산출근거!F143</f>
        <v>3528</v>
      </c>
      <c r="I5" s="15" t="s">
        <v>44</v>
      </c>
      <c r="J5" s="17" t="str">
        <f>"_x0007_`COD|D01425_x0005_`QTY1|1_x0005_`BQC|_x0005_`EQC|_x0005_`JDC|_x0005_`WQC|_x0005_`EDT|_x0005_`ADJ|F_x0005_`NAG|88_x0005_`UC|T_x0005_`DET|"&amp;ROW(단가산출근거!A75)&amp;"_x0005_`"</f>
        <v>_x0007_`COD|D01425_x0005_`QTY1|1_x0005_`BQC|_x0005_`EQC|_x0005_`JDC|_x0005_`WQC|_x0005_`EDT|_x0005_`ADJ|F_x0005_`NAG|88_x0005_`UC|T_x0005_`DET|75_x0005_`</v>
      </c>
      <c r="K5" s="3" t="str">
        <f ca="1">HYPERLINK("#"&amp;단가산출근거!G2&amp;"!A"&amp;ROW(단가산출근거!A75),"D01425 →")</f>
        <v>D01425 →</v>
      </c>
    </row>
    <row r="6" spans="1:11" ht="22.35" customHeight="1" x14ac:dyDescent="0.3">
      <c r="A6" s="9" t="s">
        <v>55</v>
      </c>
      <c r="B6" s="10" t="s">
        <v>56</v>
      </c>
      <c r="C6" s="10" t="s">
        <v>57</v>
      </c>
      <c r="D6" s="9" t="s">
        <v>52</v>
      </c>
      <c r="E6" s="99">
        <f>단가산출근거!C177</f>
        <v>8127</v>
      </c>
      <c r="F6" s="121">
        <f>단가산출근거!D177</f>
        <v>6783</v>
      </c>
      <c r="G6" s="120">
        <f>단가산출근거!E177</f>
        <v>487</v>
      </c>
      <c r="H6" s="99">
        <f>단가산출근거!F177</f>
        <v>857</v>
      </c>
      <c r="I6" s="15" t="s">
        <v>55</v>
      </c>
      <c r="J6" s="17" t="str">
        <f>"_x0007_`COD|D01426_x0005_`QTY1|1_x0005_`BQC|2025년 개정_x0005_`EQC|_x0005_`JDC|_x0005_`WQC|_x0005_`EDT|_x0005_`ADJ|F_x0005_`NAG|88_x0005_`UC|T_x0005_`DET|"&amp;ROW(단가산출근거!A144)&amp;"_x0005_`"</f>
        <v>_x0007_`COD|D01426_x0005_`QTY1|1_x0005_`BQC|2025년 개정_x0005_`EQC|_x0005_`JDC|_x0005_`WQC|_x0005_`EDT|_x0005_`ADJ|F_x0005_`NAG|88_x0005_`UC|T_x0005_`DET|144_x0005_`</v>
      </c>
      <c r="K6" s="3" t="str">
        <f ca="1">HYPERLINK("#"&amp;단가산출근거!G2&amp;"!A"&amp;ROW(단가산출근거!A144),"D01426 →")</f>
        <v>D01426 →</v>
      </c>
    </row>
    <row r="7" spans="1:11" ht="22.35" customHeight="1" x14ac:dyDescent="0.3">
      <c r="A7" s="9" t="s">
        <v>59</v>
      </c>
      <c r="B7" s="10" t="s">
        <v>60</v>
      </c>
      <c r="C7" s="10" t="s">
        <v>61</v>
      </c>
      <c r="D7" s="9" t="s">
        <v>14</v>
      </c>
      <c r="E7" s="99">
        <f>단가산출근거!C316</f>
        <v>17902</v>
      </c>
      <c r="F7" s="121">
        <f>단가산출근거!D316</f>
        <v>10589</v>
      </c>
      <c r="G7" s="120">
        <f>단가산출근거!E316</f>
        <v>2430</v>
      </c>
      <c r="H7" s="99">
        <f>단가산출근거!F316</f>
        <v>4883</v>
      </c>
      <c r="I7" s="15" t="s">
        <v>59</v>
      </c>
      <c r="J7" s="17" t="str">
        <f>"_x0007_`COD|D01427_x0005_`QTY1|1_x0005_`BQC|_x0005_`EQC|_x0005_`JDC|_x0005_`WQC|_x0005_`EDT|_x0005_`ADJ|F_x0005_`NAG|88_x0005_`UC|T_x0005_`DET|"&amp;ROW(단가산출근거!A178)&amp;"_x0005_`"</f>
        <v>_x0007_`COD|D01427_x0005_`QTY1|1_x0005_`BQC|_x0005_`EQC|_x0005_`JDC|_x0005_`WQC|_x0005_`EDT|_x0005_`ADJ|F_x0005_`NAG|88_x0005_`UC|T_x0005_`DET|178_x0005_`</v>
      </c>
      <c r="K7" s="3" t="str">
        <f ca="1">HYPERLINK("#"&amp;단가산출근거!G2&amp;"!A"&amp;ROW(단가산출근거!A178),"D01427 →")</f>
        <v>D01427 →</v>
      </c>
    </row>
    <row r="8" spans="1:11" ht="22.35" customHeight="1" x14ac:dyDescent="0.3">
      <c r="A8" s="9" t="s">
        <v>63</v>
      </c>
      <c r="B8" s="10" t="s">
        <v>60</v>
      </c>
      <c r="C8" s="10" t="s">
        <v>64</v>
      </c>
      <c r="D8" s="9" t="s">
        <v>14</v>
      </c>
      <c r="E8" s="99">
        <f>단가산출근거!C455</f>
        <v>19259</v>
      </c>
      <c r="F8" s="121">
        <f>단가산출근거!D455</f>
        <v>12318</v>
      </c>
      <c r="G8" s="120">
        <f>단가산출근거!E455</f>
        <v>2729</v>
      </c>
      <c r="H8" s="99">
        <f>단가산출근거!F455</f>
        <v>4212</v>
      </c>
      <c r="I8" s="15" t="s">
        <v>63</v>
      </c>
      <c r="J8" s="17" t="str">
        <f>"_x0007_`COD|D01438_x0005_`QTY1|1_x0005_`BQC|_x0005_`EQC|_x0005_`JDC|_x0005_`WQC|_x0005_`EDT|_x0005_`ADJ|F_x0005_`NAG|88_x0005_`UC|T_x0005_`DET|"&amp;ROW(단가산출근거!A317)&amp;"_x0005_`"</f>
        <v>_x0007_`COD|D01438_x0005_`QTY1|1_x0005_`BQC|_x0005_`EQC|_x0005_`JDC|_x0005_`WQC|_x0005_`EDT|_x0005_`ADJ|F_x0005_`NAG|88_x0005_`UC|T_x0005_`DET|317_x0005_`</v>
      </c>
      <c r="K8" s="3" t="str">
        <f ca="1">HYPERLINK("#"&amp;단가산출근거!G2&amp;"!A"&amp;ROW(단가산출근거!A317),"D01438 →")</f>
        <v>D01438 →</v>
      </c>
    </row>
    <row r="9" spans="1:11" ht="22.35" customHeight="1" x14ac:dyDescent="0.3">
      <c r="A9" s="9" t="s">
        <v>66</v>
      </c>
      <c r="B9" s="10" t="s">
        <v>67</v>
      </c>
      <c r="C9" s="10" t="s">
        <v>68</v>
      </c>
      <c r="D9" s="9" t="s">
        <v>52</v>
      </c>
      <c r="E9" s="99">
        <f>단가산출근거!C594</f>
        <v>16568</v>
      </c>
      <c r="F9" s="121">
        <f>단가산출근거!D594</f>
        <v>0</v>
      </c>
      <c r="G9" s="120">
        <f>단가산출근거!E594</f>
        <v>0</v>
      </c>
      <c r="H9" s="99">
        <f>단가산출근거!F594</f>
        <v>16568</v>
      </c>
      <c r="I9" s="15" t="s">
        <v>66</v>
      </c>
      <c r="J9" s="17" t="str">
        <f>"_x0007_`COD|D01439_x0005_`QTY1|1_x0005_`BQC|영덕 영리_x0005_`EQC|_x0005_`JDC|_x0005_`WQC|_x0005_`EDT|_x0005_`ADJ|T_x0005_`SBM|S_x0005_`ADJM|1_x0005_`ADJL|1_x0005_`ADJS|1_x0005_`NAG|88_x0005_`UC|T_x0005_`DET|"&amp;ROW(단가산출근거!A456)&amp;"_x0005_`"</f>
        <v>_x0007_`COD|D01439_x0005_`QTY1|1_x0005_`BQC|영덕 영리_x0005_`EQC|_x0005_`JDC|_x0005_`WQC|_x0005_`EDT|_x0005_`ADJ|T_x0005_`SBM|S_x0005_`ADJM|1_x0005_`ADJL|1_x0005_`ADJS|1_x0005_`NAG|88_x0005_`UC|T_x0005_`DET|456_x0005_`</v>
      </c>
      <c r="K9" s="3" t="str">
        <f ca="1">HYPERLINK("#"&amp;단가산출근거!G2&amp;"!A"&amp;ROW(단가산출근거!A456),"D01439 →")</f>
        <v>D01439 →</v>
      </c>
    </row>
    <row r="10" spans="1:11" ht="22.35" customHeight="1" x14ac:dyDescent="0.3">
      <c r="A10" s="9" t="s">
        <v>70</v>
      </c>
      <c r="B10" s="10" t="s">
        <v>71</v>
      </c>
      <c r="C10" s="10"/>
      <c r="D10" s="9" t="s">
        <v>14</v>
      </c>
      <c r="E10" s="99">
        <f>단가산출근거!C628</f>
        <v>137</v>
      </c>
      <c r="F10" s="121">
        <f>단가산출근거!D628</f>
        <v>80</v>
      </c>
      <c r="G10" s="120">
        <f>단가산출근거!E628</f>
        <v>24</v>
      </c>
      <c r="H10" s="99">
        <f>단가산출근거!F628</f>
        <v>33</v>
      </c>
      <c r="I10" s="15" t="s">
        <v>70</v>
      </c>
      <c r="J10" s="17" t="str">
        <f>"_x0007_`COD|D01441_x0005_`QTY1|1_x0005_`BQC|_x0005_`EQC|_x0005_`JDC|_x0005_`WQC|_x0005_`EDT|_x0005_`ADJ|F_x0005_`NAG|88_x0005_`UC|T_x0005_`DET|"&amp;ROW(단가산출근거!A595)&amp;"_x0005_`"</f>
        <v>_x0007_`COD|D01441_x0005_`QTY1|1_x0005_`BQC|_x0005_`EQC|_x0005_`JDC|_x0005_`WQC|_x0005_`EDT|_x0005_`ADJ|F_x0005_`NAG|88_x0005_`UC|T_x0005_`DET|595_x0005_`</v>
      </c>
      <c r="K10" s="3" t="str">
        <f ca="1">HYPERLINK("#"&amp;단가산출근거!G2&amp;"!A"&amp;ROW(단가산출근거!A595),"D01441 →")</f>
        <v>D01441 →</v>
      </c>
    </row>
    <row r="11" spans="1:11" ht="22.35" customHeight="1" x14ac:dyDescent="0.3">
      <c r="A11" s="9" t="s">
        <v>73</v>
      </c>
      <c r="B11" s="10" t="s">
        <v>74</v>
      </c>
      <c r="C11" s="10" t="s">
        <v>75</v>
      </c>
      <c r="D11" s="9" t="s">
        <v>52</v>
      </c>
      <c r="E11" s="99">
        <f>단가산출근거!C697</f>
        <v>5442</v>
      </c>
      <c r="F11" s="121">
        <f>단가산출근거!D697</f>
        <v>3061</v>
      </c>
      <c r="G11" s="120">
        <f>단가산출근거!E697</f>
        <v>1056</v>
      </c>
      <c r="H11" s="99">
        <f>단가산출근거!F697</f>
        <v>1325</v>
      </c>
      <c r="I11" s="15" t="s">
        <v>73</v>
      </c>
      <c r="J11" s="17" t="str">
        <f>"_x0007_`COD|D01442_x0005_`QTY1|1_x0005_`BQC|_x0005_`EQC|_x0005_`JDC|_x0005_`WQC|_x0005_`EDT|_x0005_`ADJ|F_x0005_`NAG|88_x0005_`UC|T_x0005_`DET|"&amp;ROW(단가산출근거!A629)&amp;"_x0005_`"</f>
        <v>_x0007_`COD|D01442_x0005_`QTY1|1_x0005_`BQC|_x0005_`EQC|_x0005_`JDC|_x0005_`WQC|_x0005_`EDT|_x0005_`ADJ|F_x0005_`NAG|88_x0005_`UC|T_x0005_`DET|629_x0005_`</v>
      </c>
      <c r="K11" s="3" t="str">
        <f ca="1">HYPERLINK("#"&amp;단가산출근거!G2&amp;"!A"&amp;ROW(단가산출근거!A629),"D01442 →")</f>
        <v>D01442 →</v>
      </c>
    </row>
    <row r="12" spans="1:11" ht="22.35" customHeight="1" x14ac:dyDescent="0.3">
      <c r="A12" s="9" t="s">
        <v>77</v>
      </c>
      <c r="B12" s="10" t="s">
        <v>78</v>
      </c>
      <c r="C12" s="10"/>
      <c r="D12" s="9" t="s">
        <v>29</v>
      </c>
      <c r="E12" s="99">
        <f>단가산출근거!C731</f>
        <v>1114</v>
      </c>
      <c r="F12" s="121">
        <f>단가산출근거!D731</f>
        <v>644</v>
      </c>
      <c r="G12" s="120">
        <f>단가산출근거!E731</f>
        <v>200</v>
      </c>
      <c r="H12" s="99">
        <f>단가산출근거!F731</f>
        <v>270</v>
      </c>
      <c r="I12" s="15" t="s">
        <v>77</v>
      </c>
      <c r="J12" s="17" t="str">
        <f>"_x0007_`COD|D01443_x0005_`QTY1|1_x0005_`BQC|_x0005_`EQC|_x0005_`JDC|_x0005_`WQC|_x0005_`EDT|_x0005_`ADJ|F_x0005_`NAG|88_x0005_`UC|T_x0005_`DET|"&amp;ROW(단가산출근거!A698)&amp;"_x0005_`"</f>
        <v>_x0007_`COD|D01443_x0005_`QTY1|1_x0005_`BQC|_x0005_`EQC|_x0005_`JDC|_x0005_`WQC|_x0005_`EDT|_x0005_`ADJ|F_x0005_`NAG|88_x0005_`UC|T_x0005_`DET|698_x0005_`</v>
      </c>
      <c r="K12" s="3" t="str">
        <f ca="1">HYPERLINK("#"&amp;단가산출근거!G2&amp;"!A"&amp;ROW(단가산출근거!A698),"D01443 →")</f>
        <v>D01443 →</v>
      </c>
    </row>
    <row r="13" spans="1:11" ht="22.35" customHeight="1" x14ac:dyDescent="0.3">
      <c r="A13" s="9" t="s">
        <v>80</v>
      </c>
      <c r="B13" s="10" t="s">
        <v>81</v>
      </c>
      <c r="C13" s="10" t="s">
        <v>82</v>
      </c>
      <c r="D13" s="9" t="s">
        <v>52</v>
      </c>
      <c r="E13" s="99">
        <f>단가산출근거!C800</f>
        <v>3268</v>
      </c>
      <c r="F13" s="121">
        <f>단가산출근거!D800</f>
        <v>0</v>
      </c>
      <c r="G13" s="120">
        <f>단가산출근거!E800</f>
        <v>0</v>
      </c>
      <c r="H13" s="99">
        <f>단가산출근거!F800</f>
        <v>3268</v>
      </c>
      <c r="I13" s="15" t="s">
        <v>80</v>
      </c>
      <c r="J13" s="17" t="str">
        <f>"_x0007_`COD|D01445_x0005_`QTY1|1_x0005_`BQC|_x0005_`EQC|_x0005_`JDC|_x0005_`WQC|_x0005_`EDT|_x0005_`ADJ|T_x0005_`SBM|S_x0005_`ADJM|1_x0005_`ADJL|1_x0005_`ADJS|1_x0005_`NAG|88_x0005_`UC|T_x0005_`DET|"&amp;ROW(단가산출근거!A732)&amp;"_x0005_`"</f>
        <v>_x0007_`COD|D01445_x0005_`QTY1|1_x0005_`BQC|_x0005_`EQC|_x0005_`JDC|_x0005_`WQC|_x0005_`EDT|_x0005_`ADJ|T_x0005_`SBM|S_x0005_`ADJM|1_x0005_`ADJL|1_x0005_`ADJS|1_x0005_`NAG|88_x0005_`UC|T_x0005_`DET|732_x0005_`</v>
      </c>
      <c r="K13" s="3" t="str">
        <f ca="1">HYPERLINK("#"&amp;단가산출근거!G2&amp;"!A"&amp;ROW(단가산출근거!A732),"D01445 →")</f>
        <v>D01445 →</v>
      </c>
    </row>
    <row r="14" spans="1:11" ht="22.35" customHeight="1" x14ac:dyDescent="0.3">
      <c r="A14" s="9" t="s">
        <v>84</v>
      </c>
      <c r="B14" s="10" t="s">
        <v>85</v>
      </c>
      <c r="C14" s="10" t="s">
        <v>82</v>
      </c>
      <c r="D14" s="9" t="s">
        <v>52</v>
      </c>
      <c r="E14" s="99">
        <f>단가산출근거!C869</f>
        <v>3511</v>
      </c>
      <c r="F14" s="121">
        <f>단가산출근거!D869</f>
        <v>0</v>
      </c>
      <c r="G14" s="120">
        <f>단가산출근거!E869</f>
        <v>0</v>
      </c>
      <c r="H14" s="99">
        <f>단가산출근거!F869</f>
        <v>3511</v>
      </c>
      <c r="I14" s="15" t="s">
        <v>84</v>
      </c>
      <c r="J14" s="17" t="str">
        <f>"_x0007_`COD|D01446_x0005_`QTY1|1_x0005_`BQC|_x0005_`EQC|_x0005_`JDC|_x0005_`WQC|_x0005_`EDT|_x0005_`ADJ|T_x0005_`SBM|S_x0005_`ADJM|1_x0005_`ADJL|1_x0005_`ADJS|1_x0005_`NAG|88_x0005_`UC|T_x0005_`DET|"&amp;ROW(단가산출근거!A801)&amp;"_x0005_`"</f>
        <v>_x0007_`COD|D01446_x0005_`QTY1|1_x0005_`BQC|_x0005_`EQC|_x0005_`JDC|_x0005_`WQC|_x0005_`EDT|_x0005_`ADJ|T_x0005_`SBM|S_x0005_`ADJM|1_x0005_`ADJL|1_x0005_`ADJS|1_x0005_`NAG|88_x0005_`UC|T_x0005_`DET|801_x0005_`</v>
      </c>
      <c r="K14" s="3" t="str">
        <f ca="1">HYPERLINK("#"&amp;단가산출근거!G2&amp;"!A"&amp;ROW(단가산출근거!A801),"D01446 →")</f>
        <v>D01446 →</v>
      </c>
    </row>
    <row r="15" spans="1:11" ht="22.35" customHeight="1" x14ac:dyDescent="0.3">
      <c r="A15" s="9" t="s">
        <v>87</v>
      </c>
      <c r="B15" s="10" t="s">
        <v>88</v>
      </c>
      <c r="C15" s="10" t="s">
        <v>82</v>
      </c>
      <c r="D15" s="9" t="s">
        <v>52</v>
      </c>
      <c r="E15" s="99">
        <f>단가산출근거!C938</f>
        <v>4381</v>
      </c>
      <c r="F15" s="121">
        <f>단가산출근거!D938</f>
        <v>0</v>
      </c>
      <c r="G15" s="120">
        <f>단가산출근거!E938</f>
        <v>0</v>
      </c>
      <c r="H15" s="99">
        <f>단가산출근거!F938</f>
        <v>4381</v>
      </c>
      <c r="I15" s="15" t="s">
        <v>87</v>
      </c>
      <c r="J15" s="17" t="str">
        <f>"_x0007_`COD|D01447_x0005_`QTY1|1_x0005_`BQC|_x0005_`EQC|_x0005_`JDC|_x0005_`WQC|_x0005_`EDT|_x0005_`ADJ|T_x0005_`SBM|S_x0005_`ADJM|1_x0005_`ADJL|1_x0005_`ADJS|1_x0005_`NAG|88_x0005_`UC|T_x0005_`DET|"&amp;ROW(단가산출근거!A870)&amp;"_x0005_`"</f>
        <v>_x0007_`COD|D01447_x0005_`QTY1|1_x0005_`BQC|_x0005_`EQC|_x0005_`JDC|_x0005_`WQC|_x0005_`EDT|_x0005_`ADJ|T_x0005_`SBM|S_x0005_`ADJM|1_x0005_`ADJL|1_x0005_`ADJS|1_x0005_`NAG|88_x0005_`UC|T_x0005_`DET|870_x0005_`</v>
      </c>
      <c r="K15" s="3" t="str">
        <f ca="1">HYPERLINK("#"&amp;단가산출근거!G2&amp;"!A"&amp;ROW(단가산출근거!A870),"D01447 →")</f>
        <v>D01447 →</v>
      </c>
    </row>
    <row r="16" spans="1:11" ht="22.35" customHeight="1" x14ac:dyDescent="0.3">
      <c r="A16" s="9" t="s">
        <v>90</v>
      </c>
      <c r="B16" s="10" t="s">
        <v>91</v>
      </c>
      <c r="C16" s="10" t="s">
        <v>82</v>
      </c>
      <c r="D16" s="9" t="s">
        <v>92</v>
      </c>
      <c r="E16" s="99">
        <f>단가산출근거!C1007</f>
        <v>3219</v>
      </c>
      <c r="F16" s="121">
        <f>단가산출근거!D1007</f>
        <v>0</v>
      </c>
      <c r="G16" s="120">
        <f>단가산출근거!E1007</f>
        <v>0</v>
      </c>
      <c r="H16" s="99">
        <f>단가산출근거!F1007</f>
        <v>3219</v>
      </c>
      <c r="I16" s="15" t="s">
        <v>90</v>
      </c>
      <c r="J16" s="17" t="str">
        <f>"_x0007_`COD|D01448_x0005_`QTY1|1_x0005_`BQC|_x0005_`EQC|_x0005_`JDC|_x0005_`WQC|_x0005_`EDT|_x0005_`ADJ|T_x0005_`SBM|S_x0005_`ADJM|1_x0005_`ADJL|1_x0005_`ADJS|1_x0005_`NAG|88_x0005_`UC|T_x0005_`DET|"&amp;ROW(단가산출근거!A939)&amp;"_x0005_`"</f>
        <v>_x0007_`COD|D01448_x0005_`QTY1|1_x0005_`BQC|_x0005_`EQC|_x0005_`JDC|_x0005_`WQC|_x0005_`EDT|_x0005_`ADJ|T_x0005_`SBM|S_x0005_`ADJM|1_x0005_`ADJL|1_x0005_`ADJS|1_x0005_`NAG|88_x0005_`UC|T_x0005_`DET|939_x0005_`</v>
      </c>
      <c r="K16" s="3" t="str">
        <f ca="1">HYPERLINK("#"&amp;단가산출근거!G2&amp;"!A"&amp;ROW(단가산출근거!A939),"D01448 →")</f>
        <v>D01448 →</v>
      </c>
    </row>
    <row r="17" spans="1:11" ht="22.35" customHeight="1" x14ac:dyDescent="0.3">
      <c r="A17" s="9" t="s">
        <v>94</v>
      </c>
      <c r="B17" s="10" t="s">
        <v>95</v>
      </c>
      <c r="C17" s="10" t="s">
        <v>96</v>
      </c>
      <c r="D17" s="9" t="s">
        <v>92</v>
      </c>
      <c r="E17" s="99">
        <f>단가산출근거!C1042</f>
        <v>105468</v>
      </c>
      <c r="F17" s="121">
        <f>단가산출근거!D1042</f>
        <v>105468</v>
      </c>
      <c r="G17" s="120">
        <f>단가산출근거!E1042</f>
        <v>0</v>
      </c>
      <c r="H17" s="99">
        <f>단가산출근거!F1042</f>
        <v>0</v>
      </c>
      <c r="I17" s="15" t="s">
        <v>94</v>
      </c>
      <c r="J17" s="17" t="str">
        <f>"_x0007_`COD|D01453_x0005_`QTY1|1_x0005_`BQC|_x0005_`EQC|_x0005_`JDC|_x0005_`WQC|_x0005_`EDT|_x0005_`ADJ|F_x0005_`NAG|0_x0005_`UC|F_x0005_`DET|"&amp;ROW(단가산출근거!A1008)&amp;"_x0005_`"</f>
        <v>_x0007_`COD|D01453_x0005_`QTY1|1_x0005_`BQC|_x0005_`EQC|_x0005_`JDC|_x0005_`WQC|_x0005_`EDT|_x0005_`ADJ|F_x0005_`NAG|0_x0005_`UC|F_x0005_`DET|1008_x0005_`</v>
      </c>
      <c r="K17" s="3" t="str">
        <f ca="1">HYPERLINK("#"&amp;단가산출근거!G2&amp;"!A"&amp;ROW(단가산출근거!A1008),"D01453 →")</f>
        <v>D01453 →</v>
      </c>
    </row>
    <row r="18" spans="1:11" ht="22.35" customHeight="1" x14ac:dyDescent="0.3">
      <c r="A18" s="9" t="s">
        <v>98</v>
      </c>
      <c r="B18" s="10" t="s">
        <v>99</v>
      </c>
      <c r="C18" s="10" t="s">
        <v>82</v>
      </c>
      <c r="D18" s="9" t="s">
        <v>52</v>
      </c>
      <c r="E18" s="99">
        <f>단가산출근거!C1111</f>
        <v>3511</v>
      </c>
      <c r="F18" s="121">
        <f>단가산출근거!D1111</f>
        <v>0</v>
      </c>
      <c r="G18" s="120">
        <f>단가산출근거!E1111</f>
        <v>0</v>
      </c>
      <c r="H18" s="99">
        <f>단가산출근거!F1111</f>
        <v>3511</v>
      </c>
      <c r="I18" s="15" t="s">
        <v>98</v>
      </c>
      <c r="J18" s="17" t="str">
        <f>"_x0007_`COD|D01455_x0005_`QTY1|1_x0005_`BQC|_x0005_`EQC|_x0005_`JDC|_x0005_`WQC|_x0005_`EDT|_x0005_`ADJ|T_x0005_`SBM|S_x0005_`ADJM|1_x0005_`ADJL|1_x0005_`ADJS|1_x0005_`NAG|88_x0005_`UC|T_x0005_`DET|"&amp;ROW(단가산출근거!A1043)&amp;"_x0005_`"</f>
        <v>_x0007_`COD|D01455_x0005_`QTY1|1_x0005_`BQC|_x0005_`EQC|_x0005_`JDC|_x0005_`WQC|_x0005_`EDT|_x0005_`ADJ|T_x0005_`SBM|S_x0005_`ADJM|1_x0005_`ADJL|1_x0005_`ADJS|1_x0005_`NAG|88_x0005_`UC|T_x0005_`DET|1043_x0005_`</v>
      </c>
      <c r="K18" s="3" t="str">
        <f ca="1">HYPERLINK("#"&amp;단가산출근거!G2&amp;"!A"&amp;ROW(단가산출근거!A1043),"D01455 →")</f>
        <v>D01455 →</v>
      </c>
    </row>
  </sheetData>
  <mergeCells count="1">
    <mergeCell ref="A1:I1"/>
  </mergeCells>
  <phoneticPr fontId="25" type="noConversion"/>
  <hyperlinks>
    <hyperlink ref="K1" r:id="rId1" tooltip="설계예산시스템(STmate w25.05)으로 작성 하였으며,_x000a_엑셀 인쇄품질 600 dpi에 최적화 되어 있습니다._x000a_경영정보(주) http://www.stma.co.kr_x000a_Tel) 070-4350-0040_x000a_Fax) 0505-300-3948"/>
    <hyperlink ref="J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11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6" customWidth="1"/>
    <col min="2" max="2" width="64.75" style="6" customWidth="1"/>
    <col min="3" max="6" width="10" style="6" customWidth="1"/>
    <col min="7" max="7" width="9.125" style="140" hidden="1" customWidth="1"/>
    <col min="8" max="23" width="2.5" style="6" customWidth="1"/>
    <col min="24" max="24" width="9.125" style="6" customWidth="1"/>
    <col min="25" max="25" width="9.125" style="18" customWidth="1"/>
    <col min="26" max="45" width="4" style="6" customWidth="1"/>
    <col min="46" max="16384" width="9.125" style="6"/>
  </cols>
  <sheetData>
    <row r="1" spans="1:45" ht="24.95" customHeight="1" x14ac:dyDescent="0.3">
      <c r="A1" s="183" t="s">
        <v>838</v>
      </c>
      <c r="B1" s="182"/>
      <c r="C1" s="182"/>
      <c r="D1" s="182"/>
      <c r="E1" s="182"/>
      <c r="F1" s="182"/>
      <c r="G1" s="5" t="s">
        <v>47</v>
      </c>
      <c r="Y1" s="19" t="s">
        <v>47</v>
      </c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</row>
    <row r="2" spans="1:45" ht="12.6" customHeight="1" x14ac:dyDescent="0.3">
      <c r="A2" s="1" t="s">
        <v>1</v>
      </c>
      <c r="G2" s="20" t="str">
        <f ca="1">MID(CELL("filename",$A$1),FIND("]",CELL("filename",$A$1))+1,LEN(CELL("filename",$A$1)))</f>
        <v>단가산출근거</v>
      </c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</row>
    <row r="3" spans="1:45" ht="12.6" customHeight="1" x14ac:dyDescent="0.3">
      <c r="A3" s="206" t="s">
        <v>839</v>
      </c>
      <c r="B3" s="206" t="s">
        <v>840</v>
      </c>
      <c r="C3" s="206" t="s">
        <v>6</v>
      </c>
      <c r="D3" s="206" t="s">
        <v>7</v>
      </c>
      <c r="E3" s="206" t="s">
        <v>8</v>
      </c>
      <c r="F3" s="186" t="s">
        <v>9</v>
      </c>
      <c r="Z3" s="195" t="s">
        <v>100</v>
      </c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</row>
    <row r="4" spans="1:45" ht="12.6" customHeight="1" x14ac:dyDescent="0.3">
      <c r="A4" s="192"/>
      <c r="B4" s="192"/>
      <c r="C4" s="192"/>
      <c r="D4" s="192"/>
      <c r="E4" s="192"/>
      <c r="F4" s="187"/>
      <c r="H4" s="34" t="s">
        <v>841</v>
      </c>
      <c r="I4" s="34" t="s">
        <v>842</v>
      </c>
      <c r="J4" s="34" t="s">
        <v>159</v>
      </c>
      <c r="K4" s="34" t="s">
        <v>167</v>
      </c>
      <c r="L4" s="34" t="s">
        <v>843</v>
      </c>
      <c r="Y4" s="3" t="str">
        <f>HYPERLINK("#'〓 목 차 〓'!B2","목차 →")</f>
        <v>목차 →</v>
      </c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</row>
    <row r="5" spans="1:45" ht="12.6" customHeight="1" x14ac:dyDescent="0.3">
      <c r="A5" s="144" t="s">
        <v>49</v>
      </c>
      <c r="B5" s="145" t="s">
        <v>49</v>
      </c>
      <c r="C5" s="232">
        <f>C74</f>
        <v>20800</v>
      </c>
      <c r="D5" s="232">
        <f>D74</f>
        <v>14811</v>
      </c>
      <c r="E5" s="232">
        <f>E74</f>
        <v>1979</v>
      </c>
      <c r="F5" s="232">
        <f>F74</f>
        <v>4010</v>
      </c>
      <c r="G5" s="141" t="str">
        <f>HYPERLINK("#G"&amp;ROW(G61),"_x0005_`BDCOD|D00150_x0007_`POSS|"&amp;ROW(G7)&amp;"_x0007_`POSE|"&amp;ROW(G61)&amp;"_x0007_`")</f>
        <v>_x0005_`BDCOD|D00150_x0007_`POSS|7_x0007_`POSE|61_x0007_`</v>
      </c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</row>
    <row r="6" spans="1:45" ht="12.6" customHeight="1" x14ac:dyDescent="0.3">
      <c r="A6" s="124"/>
      <c r="B6" s="145" t="s">
        <v>844</v>
      </c>
      <c r="C6" s="189"/>
      <c r="D6" s="189"/>
      <c r="E6" s="189"/>
      <c r="F6" s="189"/>
      <c r="M6" s="34" t="s">
        <v>845</v>
      </c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</row>
    <row r="7" spans="1:45" ht="12.6" customHeight="1" x14ac:dyDescent="0.3">
      <c r="A7" s="84"/>
      <c r="B7" s="41" t="s">
        <v>847</v>
      </c>
      <c r="C7" s="147"/>
      <c r="D7" s="147"/>
      <c r="E7" s="147"/>
      <c r="F7" s="147"/>
      <c r="G7" s="17" t="s">
        <v>846</v>
      </c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</row>
    <row r="8" spans="1:45" ht="12.6" customHeight="1" x14ac:dyDescent="0.3">
      <c r="A8" s="107"/>
      <c r="B8" s="107"/>
      <c r="C8" s="107"/>
      <c r="D8" s="107"/>
      <c r="E8" s="107"/>
      <c r="F8" s="107"/>
      <c r="G8" s="17" t="s">
        <v>848</v>
      </c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</row>
    <row r="9" spans="1:45" ht="12.6" customHeight="1" x14ac:dyDescent="0.3">
      <c r="A9" s="84"/>
      <c r="B9" s="41" t="s">
        <v>850</v>
      </c>
      <c r="C9" s="107"/>
      <c r="D9" s="107"/>
      <c r="E9" s="107"/>
      <c r="F9" s="107"/>
      <c r="G9" s="17" t="s">
        <v>849</v>
      </c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</row>
    <row r="10" spans="1:45" ht="12.6" customHeight="1" x14ac:dyDescent="0.3">
      <c r="A10" s="107"/>
      <c r="B10" s="107"/>
      <c r="C10" s="107"/>
      <c r="D10" s="107"/>
      <c r="E10" s="107"/>
      <c r="F10" s="107"/>
      <c r="G10" s="17" t="s">
        <v>848</v>
      </c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</row>
    <row r="11" spans="1:45" ht="12.6" customHeight="1" x14ac:dyDescent="0.3">
      <c r="A11" s="84"/>
      <c r="B11" s="41" t="s">
        <v>852</v>
      </c>
      <c r="C11" s="107"/>
      <c r="D11" s="107"/>
      <c r="E11" s="107"/>
      <c r="F11" s="107"/>
      <c r="G11" s="17" t="s">
        <v>851</v>
      </c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</row>
    <row r="12" spans="1:45" ht="12.6" customHeight="1" x14ac:dyDescent="0.3">
      <c r="A12" s="107"/>
      <c r="B12" s="107"/>
      <c r="C12" s="107"/>
      <c r="D12" s="107"/>
      <c r="E12" s="107"/>
      <c r="F12" s="107"/>
      <c r="G12" s="17" t="s">
        <v>848</v>
      </c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</row>
    <row r="13" spans="1:45" ht="12.6" customHeight="1" x14ac:dyDescent="0.3">
      <c r="A13" s="84"/>
      <c r="B13" s="41" t="s">
        <v>854</v>
      </c>
      <c r="C13" s="107"/>
      <c r="D13" s="107"/>
      <c r="E13" s="107"/>
      <c r="F13" s="107"/>
      <c r="G13" s="17" t="s">
        <v>853</v>
      </c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</row>
    <row r="14" spans="1:45" ht="12.6" customHeight="1" x14ac:dyDescent="0.3">
      <c r="A14" s="107"/>
      <c r="B14" s="107"/>
      <c r="C14" s="107"/>
      <c r="D14" s="107"/>
      <c r="E14" s="107"/>
      <c r="F14" s="107"/>
      <c r="G14" s="17" t="s">
        <v>848</v>
      </c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</row>
    <row r="15" spans="1:45" ht="12.6" customHeight="1" x14ac:dyDescent="0.3">
      <c r="A15" s="84"/>
      <c r="B15" s="41" t="s">
        <v>856</v>
      </c>
      <c r="C15" s="107"/>
      <c r="D15" s="107"/>
      <c r="E15" s="107"/>
      <c r="F15" s="107"/>
      <c r="G15" s="17" t="s">
        <v>855</v>
      </c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</row>
    <row r="16" spans="1:45" ht="12.6" customHeight="1" x14ac:dyDescent="0.3">
      <c r="A16" s="107"/>
      <c r="B16" s="107"/>
      <c r="C16" s="107"/>
      <c r="D16" s="107"/>
      <c r="E16" s="107"/>
      <c r="F16" s="107"/>
      <c r="G16" s="17" t="s">
        <v>848</v>
      </c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</row>
    <row r="17" spans="1:45" ht="12.6" customHeight="1" x14ac:dyDescent="0.3">
      <c r="A17" s="84"/>
      <c r="B17" s="41" t="s">
        <v>858</v>
      </c>
      <c r="C17" s="107"/>
      <c r="D17" s="107"/>
      <c r="E17" s="107"/>
      <c r="F17" s="107"/>
      <c r="G17" s="17" t="s">
        <v>857</v>
      </c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</row>
    <row r="18" spans="1:45" ht="12.6" customHeight="1" x14ac:dyDescent="0.3">
      <c r="A18" s="107"/>
      <c r="B18" s="107"/>
      <c r="C18" s="107"/>
      <c r="D18" s="107"/>
      <c r="E18" s="107"/>
      <c r="F18" s="107"/>
      <c r="G18" s="17" t="s">
        <v>848</v>
      </c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</row>
    <row r="19" spans="1:45" ht="12.6" customHeight="1" x14ac:dyDescent="0.3">
      <c r="A19" s="84"/>
      <c r="B19" s="41" t="s">
        <v>860</v>
      </c>
      <c r="C19" s="107"/>
      <c r="D19" s="107"/>
      <c r="E19" s="107"/>
      <c r="F19" s="107"/>
      <c r="G19" s="17" t="s">
        <v>859</v>
      </c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</row>
    <row r="20" spans="1:45" ht="12.6" customHeight="1" x14ac:dyDescent="0.3">
      <c r="A20" s="107"/>
      <c r="B20" s="107"/>
      <c r="C20" s="107"/>
      <c r="D20" s="107"/>
      <c r="E20" s="107"/>
      <c r="F20" s="107"/>
      <c r="G20" s="17" t="s">
        <v>848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</row>
    <row r="21" spans="1:45" ht="12.6" customHeight="1" x14ac:dyDescent="0.3">
      <c r="A21" s="84"/>
      <c r="B21" s="41" t="s">
        <v>862</v>
      </c>
      <c r="C21" s="107"/>
      <c r="D21" s="107"/>
      <c r="E21" s="107"/>
      <c r="F21" s="107"/>
      <c r="G21" s="17" t="s">
        <v>861</v>
      </c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</row>
    <row r="22" spans="1:45" ht="12.6" customHeight="1" x14ac:dyDescent="0.3">
      <c r="A22" s="107"/>
      <c r="B22" s="107"/>
      <c r="C22" s="107"/>
      <c r="D22" s="107"/>
      <c r="E22" s="107"/>
      <c r="F22" s="107"/>
      <c r="G22" s="17" t="s">
        <v>848</v>
      </c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</row>
    <row r="23" spans="1:45" ht="12.6" customHeight="1" x14ac:dyDescent="0.3">
      <c r="A23" s="84"/>
      <c r="B23" s="41" t="s">
        <v>864</v>
      </c>
      <c r="C23" s="107"/>
      <c r="D23" s="107"/>
      <c r="E23" s="107"/>
      <c r="F23" s="107"/>
      <c r="G23" s="17" t="s">
        <v>863</v>
      </c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</row>
    <row r="24" spans="1:45" ht="12.6" customHeight="1" x14ac:dyDescent="0.3">
      <c r="A24" s="107"/>
      <c r="B24" s="107"/>
      <c r="C24" s="107"/>
      <c r="D24" s="107"/>
      <c r="E24" s="107"/>
      <c r="F24" s="107"/>
      <c r="G24" s="17" t="s">
        <v>848</v>
      </c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</row>
    <row r="25" spans="1:45" ht="12.6" customHeight="1" x14ac:dyDescent="0.3">
      <c r="A25" s="84"/>
      <c r="B25" s="41" t="s">
        <v>866</v>
      </c>
      <c r="C25" s="107"/>
      <c r="D25" s="107"/>
      <c r="E25" s="107"/>
      <c r="F25" s="107"/>
      <c r="G25" s="17" t="s">
        <v>865</v>
      </c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</row>
    <row r="26" spans="1:45" ht="12.6" customHeight="1" x14ac:dyDescent="0.3">
      <c r="A26" s="107"/>
      <c r="B26" s="107"/>
      <c r="C26" s="107"/>
      <c r="D26" s="107"/>
      <c r="E26" s="107"/>
      <c r="F26" s="107"/>
      <c r="G26" s="17" t="s">
        <v>848</v>
      </c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</row>
    <row r="27" spans="1:45" ht="12.6" customHeight="1" x14ac:dyDescent="0.3">
      <c r="A27" s="107"/>
      <c r="B27" s="107"/>
      <c r="C27" s="107"/>
      <c r="D27" s="107"/>
      <c r="E27" s="107"/>
      <c r="F27" s="107"/>
      <c r="G27" s="17" t="s">
        <v>848</v>
      </c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</row>
    <row r="28" spans="1:45" ht="12.6" customHeight="1" x14ac:dyDescent="0.3">
      <c r="A28" s="84"/>
      <c r="B28" s="41" t="s">
        <v>868</v>
      </c>
      <c r="C28" s="107"/>
      <c r="D28" s="107"/>
      <c r="E28" s="107"/>
      <c r="F28" s="107"/>
      <c r="G28" s="17" t="s">
        <v>867</v>
      </c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</row>
    <row r="29" spans="1:45" ht="12.6" customHeight="1" x14ac:dyDescent="0.3">
      <c r="A29" s="107"/>
      <c r="B29" s="107"/>
      <c r="C29" s="107"/>
      <c r="D29" s="107"/>
      <c r="E29" s="107"/>
      <c r="F29" s="107"/>
      <c r="G29" s="17" t="s">
        <v>848</v>
      </c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</row>
    <row r="30" spans="1:45" ht="12.6" customHeight="1" x14ac:dyDescent="0.3">
      <c r="A30" s="84"/>
      <c r="B30" s="41" t="str">
        <f>" q = "&amp;Z30&amp;" , f = "&amp;AD30&amp;"/"&amp;AF30&amp;" = "&amp;AH30&amp;"  , K = "&amp;AJ30&amp;""</f>
        <v xml:space="preserve"> q = 0.2 , f = 1/1.125 = 0.89  , K = 0.55</v>
      </c>
      <c r="C30" s="107"/>
      <c r="D30" s="107"/>
      <c r="E30" s="107"/>
      <c r="F30" s="107"/>
      <c r="G30" s="17" t="s">
        <v>869</v>
      </c>
      <c r="Z30" s="156">
        <v>0.2</v>
      </c>
      <c r="AA30" s="34" t="s">
        <v>871</v>
      </c>
      <c r="AB30" s="158">
        <f>Z30</f>
        <v>0.2</v>
      </c>
      <c r="AC30" s="159" t="s">
        <v>872</v>
      </c>
      <c r="AD30" s="157">
        <v>1</v>
      </c>
      <c r="AE30" s="34" t="s">
        <v>873</v>
      </c>
      <c r="AF30" s="156">
        <v>1.125</v>
      </c>
      <c r="AG30" s="34" t="s">
        <v>871</v>
      </c>
      <c r="AH30" s="158" t="str">
        <f>TEXT(ROUND(AD30/AF30,2),"#,0.00")</f>
        <v>0.89</v>
      </c>
      <c r="AI30" s="159" t="s">
        <v>872</v>
      </c>
      <c r="AJ30" s="156">
        <v>0.55000000000000004</v>
      </c>
      <c r="AK30" s="34" t="s">
        <v>871</v>
      </c>
      <c r="AL30" s="158">
        <f>AJ30</f>
        <v>0.55000000000000004</v>
      </c>
      <c r="AM30" s="155"/>
      <c r="AN30" s="155"/>
      <c r="AO30" s="155"/>
      <c r="AP30" s="155"/>
      <c r="AQ30" s="155"/>
      <c r="AR30" s="155"/>
      <c r="AS30" s="155"/>
    </row>
    <row r="31" spans="1:45" ht="12.6" customHeight="1" x14ac:dyDescent="0.3">
      <c r="A31" s="107"/>
      <c r="B31" s="107"/>
      <c r="C31" s="107"/>
      <c r="D31" s="107"/>
      <c r="E31" s="107"/>
      <c r="F31" s="107"/>
      <c r="G31" s="17" t="s">
        <v>848</v>
      </c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</row>
    <row r="32" spans="1:45" ht="12.6" customHeight="1" x14ac:dyDescent="0.3">
      <c r="A32" s="84"/>
      <c r="B32" s="41" t="str">
        <f>" Cm = "&amp;Z32&amp;" sec (135˚) , E = "&amp;AD32&amp;""</f>
        <v xml:space="preserve"> Cm = 18 sec (135˚) , E = 0.35</v>
      </c>
      <c r="C32" s="107"/>
      <c r="D32" s="107"/>
      <c r="E32" s="107"/>
      <c r="F32" s="107"/>
      <c r="G32" s="17" t="s">
        <v>870</v>
      </c>
      <c r="Z32" s="157">
        <v>18</v>
      </c>
      <c r="AA32" s="34" t="s">
        <v>871</v>
      </c>
      <c r="AB32" s="158">
        <f>Z32</f>
        <v>18</v>
      </c>
      <c r="AC32" s="159" t="s">
        <v>872</v>
      </c>
      <c r="AD32" s="156">
        <v>0.35</v>
      </c>
      <c r="AE32" s="34" t="s">
        <v>871</v>
      </c>
      <c r="AF32" s="158">
        <f>AD32</f>
        <v>0.35</v>
      </c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</row>
    <row r="33" spans="1:45" ht="12.6" customHeight="1" x14ac:dyDescent="0.3">
      <c r="A33" s="107"/>
      <c r="B33" s="107"/>
      <c r="C33" s="107"/>
      <c r="D33" s="107"/>
      <c r="E33" s="107"/>
      <c r="F33" s="107"/>
      <c r="G33" s="17" t="s">
        <v>848</v>
      </c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</row>
    <row r="34" spans="1:45" ht="12.6" customHeight="1" x14ac:dyDescent="0.3">
      <c r="A34" s="84"/>
      <c r="B34" s="41" t="str">
        <f>" Q = "&amp;Z34&amp;"*q*K*f*E/Cm = "&amp;AL34&amp;" m3/hr "</f>
        <v xml:space="preserve"> Q = 3600*q*K*f*E/Cm = 6.85 m3/hr </v>
      </c>
      <c r="C34" s="107"/>
      <c r="D34" s="107"/>
      <c r="E34" s="107"/>
      <c r="F34" s="107"/>
      <c r="G34" s="17" t="s">
        <v>874</v>
      </c>
      <c r="Z34" s="157">
        <v>3600</v>
      </c>
      <c r="AA34" s="34" t="s">
        <v>876</v>
      </c>
      <c r="AB34" s="158">
        <f>AB30</f>
        <v>0.2</v>
      </c>
      <c r="AC34" s="34" t="s">
        <v>876</v>
      </c>
      <c r="AD34" s="158">
        <f>AL30</f>
        <v>0.55000000000000004</v>
      </c>
      <c r="AE34" s="34" t="s">
        <v>876</v>
      </c>
      <c r="AF34" s="158" t="str">
        <f>AH30</f>
        <v>0.89</v>
      </c>
      <c r="AG34" s="34" t="s">
        <v>876</v>
      </c>
      <c r="AH34" s="158">
        <f>AF32</f>
        <v>0.35</v>
      </c>
      <c r="AI34" s="34" t="s">
        <v>873</v>
      </c>
      <c r="AJ34" s="158">
        <f>AB32</f>
        <v>18</v>
      </c>
      <c r="AK34" s="34" t="s">
        <v>871</v>
      </c>
      <c r="AL34" s="158" t="str">
        <f>TEXT(ROUND(Z34*AB30*AL30*AH30*AF32/AB32,2),"#,0.00")</f>
        <v>6.85</v>
      </c>
      <c r="AM34" s="155"/>
      <c r="AN34" s="155"/>
      <c r="AO34" s="155"/>
      <c r="AP34" s="155"/>
      <c r="AQ34" s="155"/>
      <c r="AR34" s="155"/>
      <c r="AS34" s="155"/>
    </row>
    <row r="35" spans="1:45" ht="12.6" customHeight="1" x14ac:dyDescent="0.3">
      <c r="A35" s="107"/>
      <c r="B35" s="107"/>
      <c r="C35" s="107"/>
      <c r="D35" s="107"/>
      <c r="E35" s="107"/>
      <c r="F35" s="107"/>
      <c r="G35" s="17" t="s">
        <v>848</v>
      </c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</row>
    <row r="36" spans="1:45" ht="12.6" customHeight="1" x14ac:dyDescent="0.3">
      <c r="A36" s="84" t="s">
        <v>877</v>
      </c>
      <c r="B36" s="146" t="str">
        <f>" 노 무 비  : "&amp;TEXT(I36,"#,##0"&amp;IF(I36&lt;&gt;INT(I36),".###",""))&amp;" / Q  = "&amp;TEXT(C36,"#,##0.0")&amp;""</f>
        <v xml:space="preserve"> 노 무 비  : 57,077 / Q  = 8,332.4</v>
      </c>
      <c r="C36" s="148">
        <f>E36+D36+F36</f>
        <v>8332.4</v>
      </c>
      <c r="D36" s="148">
        <f>IF(H36=0,0,ROUNDDOWN(J36*H36,1))</f>
        <v>8332.4</v>
      </c>
      <c r="E36" s="148">
        <f>IF(H36=0,0,ROUNDDOWN(K36*H36,1))</f>
        <v>0</v>
      </c>
      <c r="F36" s="148">
        <f>IF(H36=0,0,ROUNDDOWN(L36*H36,1))</f>
        <v>0</v>
      </c>
      <c r="G36" s="17" t="s">
        <v>875</v>
      </c>
      <c r="H36" s="152">
        <f>ROUNDUP(AC36,14-LEN(ABS(INT(AC36))))</f>
        <v>0.14598540145989999</v>
      </c>
      <c r="I36" s="153">
        <f>K36+J36+L36</f>
        <v>57077</v>
      </c>
      <c r="J36" s="37">
        <f>중기목록표!F6</f>
        <v>57077</v>
      </c>
      <c r="M36" s="34" t="s">
        <v>878</v>
      </c>
      <c r="N36" s="34" t="s">
        <v>886</v>
      </c>
      <c r="X36" s="154" t="str">
        <f>중기목록표!B6&amp;" / "&amp;중기목록표!C6</f>
        <v>굴착기(무한궤도) / 0.2㎥,(암석)</v>
      </c>
      <c r="Y36" s="3" t="str">
        <f ca="1">HYPERLINK("#"&amp;중기목록표!J2&amp;"!A"&amp;ROW(중기목록표!A6),"X00007 →")</f>
        <v>X00007 →</v>
      </c>
      <c r="Z36" s="34" t="s">
        <v>879</v>
      </c>
      <c r="AA36" s="158" t="str">
        <f>AL34</f>
        <v>6.85</v>
      </c>
      <c r="AB36" s="34" t="s">
        <v>871</v>
      </c>
      <c r="AC36" s="158">
        <f>1/AL34</f>
        <v>0.14598540145985403</v>
      </c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</row>
    <row r="37" spans="1:45" ht="12.6" customHeight="1" x14ac:dyDescent="0.3">
      <c r="A37" s="107"/>
      <c r="B37" s="107"/>
      <c r="C37" s="107"/>
      <c r="D37" s="107"/>
      <c r="E37" s="107"/>
      <c r="F37" s="107"/>
      <c r="G37" s="17" t="s">
        <v>848</v>
      </c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</row>
    <row r="38" spans="1:45" ht="12.6" customHeight="1" x14ac:dyDescent="0.3">
      <c r="A38" s="84" t="s">
        <v>881</v>
      </c>
      <c r="B38" s="146" t="str">
        <f>" 재 료 비  : "&amp;TEXT(I38,"#,##0"&amp;IF(I38&lt;&gt;INT(I38),".###",""))&amp;" / Q  = "&amp;TEXT(C38,"#,##0.0")&amp;""</f>
        <v xml:space="preserve"> 재 료 비  : 7,629 / Q  = 1,113.7</v>
      </c>
      <c r="C38" s="148">
        <f>E38+D38+F38</f>
        <v>1113.7</v>
      </c>
      <c r="D38" s="148">
        <f>IF(H38=0,0,ROUNDDOWN(J38*H38,1))</f>
        <v>0</v>
      </c>
      <c r="E38" s="148">
        <f>IF(H38=0,0,ROUNDDOWN(K38*H38,1))</f>
        <v>1113.7</v>
      </c>
      <c r="F38" s="148">
        <f>IF(H38=0,0,ROUNDDOWN(L38*H38,1))</f>
        <v>0</v>
      </c>
      <c r="G38" s="17" t="s">
        <v>880</v>
      </c>
      <c r="H38" s="152">
        <f>ROUNDUP(AC38,14-LEN(ABS(INT(AC38))))</f>
        <v>0.14598540145989999</v>
      </c>
      <c r="I38" s="153">
        <f>K38+J38+L38</f>
        <v>7629</v>
      </c>
      <c r="K38" s="37">
        <f>중기목록표!G6</f>
        <v>7629</v>
      </c>
      <c r="M38" s="34" t="s">
        <v>878</v>
      </c>
      <c r="N38" s="34" t="s">
        <v>886</v>
      </c>
      <c r="X38" s="154" t="str">
        <f>중기목록표!B6&amp;" / "&amp;중기목록표!C6</f>
        <v>굴착기(무한궤도) / 0.2㎥,(암석)</v>
      </c>
      <c r="Y38" s="3" t="str">
        <f ca="1">HYPERLINK("#"&amp;중기목록표!J2&amp;"!A"&amp;ROW(중기목록표!A6),"X00007 →")</f>
        <v>X00007 →</v>
      </c>
      <c r="Z38" s="34" t="s">
        <v>879</v>
      </c>
      <c r="AA38" s="158" t="str">
        <f>AL34</f>
        <v>6.85</v>
      </c>
      <c r="AB38" s="34" t="s">
        <v>871</v>
      </c>
      <c r="AC38" s="158">
        <f>1/AL34</f>
        <v>0.14598540145985403</v>
      </c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</row>
    <row r="39" spans="1:45" ht="12.6" customHeight="1" x14ac:dyDescent="0.3">
      <c r="A39" s="107"/>
      <c r="B39" s="107"/>
      <c r="C39" s="107"/>
      <c r="D39" s="107"/>
      <c r="E39" s="107"/>
      <c r="F39" s="107"/>
      <c r="G39" s="17" t="s">
        <v>848</v>
      </c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</row>
    <row r="40" spans="1:45" ht="12.6" customHeight="1" x14ac:dyDescent="0.3">
      <c r="A40" s="84" t="s">
        <v>883</v>
      </c>
      <c r="B40" s="146" t="str">
        <f>" 경    비  : "&amp;TEXT(I40,"#,##0"&amp;IF(I40&lt;&gt;INT(I40),".###",""))&amp;" / Q  = "&amp;TEXT(C40,"#,##0.0")&amp;""</f>
        <v xml:space="preserve"> 경    비  : 15,456 / Q  = 2,256.3</v>
      </c>
      <c r="C40" s="148">
        <f>E40+D40+F40</f>
        <v>2256.3000000000002</v>
      </c>
      <c r="D40" s="148">
        <f>IF(H40=0,0,ROUNDDOWN(J40*H40,1))</f>
        <v>0</v>
      </c>
      <c r="E40" s="148">
        <f>IF(H40=0,0,ROUNDDOWN(K40*H40,1))</f>
        <v>0</v>
      </c>
      <c r="F40" s="148">
        <f>IF(H40=0,0,ROUNDDOWN(L40*H40,1))</f>
        <v>2256.3000000000002</v>
      </c>
      <c r="G40" s="17" t="s">
        <v>882</v>
      </c>
      <c r="H40" s="152">
        <f>ROUNDUP(AC40,14-LEN(ABS(INT(AC40))))</f>
        <v>0.14598540145989999</v>
      </c>
      <c r="I40" s="153">
        <f>K40+J40+L40</f>
        <v>15456</v>
      </c>
      <c r="L40" s="37">
        <f>중기목록표!H6</f>
        <v>15456</v>
      </c>
      <c r="M40" s="34" t="s">
        <v>878</v>
      </c>
      <c r="N40" s="34" t="s">
        <v>886</v>
      </c>
      <c r="X40" s="154" t="str">
        <f>중기목록표!B6&amp;" / "&amp;중기목록표!C6</f>
        <v>굴착기(무한궤도) / 0.2㎥,(암석)</v>
      </c>
      <c r="Y40" s="3" t="str">
        <f ca="1">HYPERLINK("#"&amp;중기목록표!J2&amp;"!A"&amp;ROW(중기목록표!A6),"X00007 →")</f>
        <v>X00007 →</v>
      </c>
      <c r="Z40" s="34" t="s">
        <v>879</v>
      </c>
      <c r="AA40" s="158" t="str">
        <f>AL34</f>
        <v>6.85</v>
      </c>
      <c r="AB40" s="34" t="s">
        <v>871</v>
      </c>
      <c r="AC40" s="158">
        <f>1/AL34</f>
        <v>0.14598540145985403</v>
      </c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</row>
    <row r="41" spans="1:45" ht="12.6" customHeight="1" x14ac:dyDescent="0.3">
      <c r="A41" s="107"/>
      <c r="B41" s="107"/>
      <c r="C41" s="107"/>
      <c r="D41" s="107"/>
      <c r="E41" s="107"/>
      <c r="F41" s="107"/>
      <c r="G41" s="17" t="s">
        <v>848</v>
      </c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</row>
    <row r="42" spans="1:45" ht="12.6" customHeight="1" x14ac:dyDescent="0.3">
      <c r="A42" s="84"/>
      <c r="B42" s="41" t="s">
        <v>885</v>
      </c>
      <c r="C42" s="149">
        <f>E42+D42+F42</f>
        <v>11702.400000000001</v>
      </c>
      <c r="D42" s="149">
        <f>SUMIF(N7:N41,M42,D7:D41)</f>
        <v>8332.4</v>
      </c>
      <c r="E42" s="149">
        <f>SUMIF(N7:N41,M42,E7:E41)</f>
        <v>1113.7</v>
      </c>
      <c r="F42" s="149">
        <f>SUMIF(N7:N41,M42,F7:F41)</f>
        <v>2256.3000000000002</v>
      </c>
      <c r="G42" s="17" t="s">
        <v>884</v>
      </c>
      <c r="M42" s="34" t="s">
        <v>886</v>
      </c>
      <c r="N42" s="34" t="s">
        <v>891</v>
      </c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</row>
    <row r="43" spans="1:45" ht="12.6" customHeight="1" x14ac:dyDescent="0.3">
      <c r="A43" s="107"/>
      <c r="B43" s="107"/>
      <c r="C43" s="147"/>
      <c r="D43" s="147"/>
      <c r="E43" s="147"/>
      <c r="F43" s="147"/>
      <c r="G43" s="17" t="s">
        <v>848</v>
      </c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</row>
    <row r="44" spans="1:45" ht="12.6" customHeight="1" x14ac:dyDescent="0.3">
      <c r="A44" s="107"/>
      <c r="B44" s="107"/>
      <c r="C44" s="107"/>
      <c r="D44" s="107"/>
      <c r="E44" s="107"/>
      <c r="F44" s="107"/>
      <c r="G44" s="17" t="s">
        <v>848</v>
      </c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</row>
    <row r="45" spans="1:45" ht="12.6" customHeight="1" x14ac:dyDescent="0.3">
      <c r="A45" s="84"/>
      <c r="B45" s="41" t="s">
        <v>888</v>
      </c>
      <c r="C45" s="107"/>
      <c r="D45" s="107"/>
      <c r="E45" s="107"/>
      <c r="F45" s="107"/>
      <c r="G45" s="17" t="s">
        <v>887</v>
      </c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</row>
    <row r="46" spans="1:45" ht="12.6" customHeight="1" x14ac:dyDescent="0.3">
      <c r="A46" s="107"/>
      <c r="B46" s="107"/>
      <c r="C46" s="107"/>
      <c r="D46" s="107"/>
      <c r="E46" s="107"/>
      <c r="F46" s="107"/>
      <c r="G46" s="17" t="s">
        <v>848</v>
      </c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</row>
    <row r="47" spans="1:45" ht="12.6" customHeight="1" x14ac:dyDescent="0.3">
      <c r="A47" s="84"/>
      <c r="B47" s="41" t="str">
        <f>" q = "&amp;Z47&amp;" , f = "&amp;AD47&amp;"/"&amp;AF47&amp;" = "&amp;AH47&amp;"  , K = "&amp;AJ47&amp;""</f>
        <v xml:space="preserve"> q = 0.2 , f = 1/1.125 = 0.89  , K = 0.55</v>
      </c>
      <c r="C47" s="107"/>
      <c r="D47" s="107"/>
      <c r="E47" s="107"/>
      <c r="F47" s="107"/>
      <c r="G47" s="17" t="s">
        <v>869</v>
      </c>
      <c r="Z47" s="156">
        <v>0.2</v>
      </c>
      <c r="AA47" s="34" t="s">
        <v>871</v>
      </c>
      <c r="AB47" s="158">
        <f>Z47</f>
        <v>0.2</v>
      </c>
      <c r="AC47" s="159" t="s">
        <v>872</v>
      </c>
      <c r="AD47" s="157">
        <v>1</v>
      </c>
      <c r="AE47" s="34" t="s">
        <v>873</v>
      </c>
      <c r="AF47" s="156">
        <v>1.125</v>
      </c>
      <c r="AG47" s="34" t="s">
        <v>871</v>
      </c>
      <c r="AH47" s="158" t="str">
        <f>TEXT(ROUND(AD47/AF47,2),"#,0.00")</f>
        <v>0.89</v>
      </c>
      <c r="AI47" s="159" t="s">
        <v>872</v>
      </c>
      <c r="AJ47" s="156">
        <v>0.55000000000000004</v>
      </c>
      <c r="AK47" s="34" t="s">
        <v>871</v>
      </c>
      <c r="AL47" s="158">
        <f>AJ47</f>
        <v>0.55000000000000004</v>
      </c>
      <c r="AM47" s="155"/>
      <c r="AN47" s="155"/>
      <c r="AO47" s="155"/>
      <c r="AP47" s="155"/>
      <c r="AQ47" s="155"/>
      <c r="AR47" s="155"/>
      <c r="AS47" s="155"/>
    </row>
    <row r="48" spans="1:45" ht="12.6" customHeight="1" x14ac:dyDescent="0.3">
      <c r="A48" s="107"/>
      <c r="B48" s="107"/>
      <c r="C48" s="107"/>
      <c r="D48" s="107"/>
      <c r="E48" s="107"/>
      <c r="F48" s="107"/>
      <c r="G48" s="17" t="s">
        <v>848</v>
      </c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</row>
    <row r="49" spans="1:45" ht="12.6" customHeight="1" x14ac:dyDescent="0.3">
      <c r="A49" s="84"/>
      <c r="B49" s="41" t="str">
        <f>" Cm = "&amp;Z49&amp;" sec (135˚) , E = "&amp;AD49&amp;""</f>
        <v xml:space="preserve"> Cm = 18 sec (135˚) , E = 0.45</v>
      </c>
      <c r="C49" s="107"/>
      <c r="D49" s="107"/>
      <c r="E49" s="107"/>
      <c r="F49" s="107"/>
      <c r="G49" s="17" t="s">
        <v>889</v>
      </c>
      <c r="Z49" s="157">
        <v>18</v>
      </c>
      <c r="AA49" s="34" t="s">
        <v>871</v>
      </c>
      <c r="AB49" s="158">
        <f>Z49</f>
        <v>18</v>
      </c>
      <c r="AC49" s="159" t="s">
        <v>872</v>
      </c>
      <c r="AD49" s="156">
        <v>0.45</v>
      </c>
      <c r="AE49" s="34" t="s">
        <v>871</v>
      </c>
      <c r="AF49" s="158">
        <f>AD49</f>
        <v>0.45</v>
      </c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</row>
    <row r="50" spans="1:45" ht="12.6" customHeight="1" x14ac:dyDescent="0.3">
      <c r="A50" s="107"/>
      <c r="B50" s="107"/>
      <c r="C50" s="107"/>
      <c r="D50" s="107"/>
      <c r="E50" s="107"/>
      <c r="F50" s="107"/>
      <c r="G50" s="17" t="s">
        <v>848</v>
      </c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</row>
    <row r="51" spans="1:45" ht="12.6" customHeight="1" x14ac:dyDescent="0.3">
      <c r="A51" s="84"/>
      <c r="B51" s="41" t="str">
        <f>" Q = "&amp;Z51&amp;"*q*K*f*E/Cm = "&amp;AL51&amp;" m3/hr "</f>
        <v xml:space="preserve"> Q = 3600*q*K*f*E/Cm = 8.81 m3/hr </v>
      </c>
      <c r="C51" s="107"/>
      <c r="D51" s="107"/>
      <c r="E51" s="107"/>
      <c r="F51" s="107"/>
      <c r="G51" s="17" t="s">
        <v>874</v>
      </c>
      <c r="Z51" s="157">
        <v>3600</v>
      </c>
      <c r="AA51" s="34" t="s">
        <v>876</v>
      </c>
      <c r="AB51" s="158">
        <f>AB47</f>
        <v>0.2</v>
      </c>
      <c r="AC51" s="34" t="s">
        <v>876</v>
      </c>
      <c r="AD51" s="158">
        <f>AL47</f>
        <v>0.55000000000000004</v>
      </c>
      <c r="AE51" s="34" t="s">
        <v>876</v>
      </c>
      <c r="AF51" s="158" t="str">
        <f>AH47</f>
        <v>0.89</v>
      </c>
      <c r="AG51" s="34" t="s">
        <v>876</v>
      </c>
      <c r="AH51" s="158">
        <f>AF49</f>
        <v>0.45</v>
      </c>
      <c r="AI51" s="34" t="s">
        <v>873</v>
      </c>
      <c r="AJ51" s="158">
        <f>AB49</f>
        <v>18</v>
      </c>
      <c r="AK51" s="34" t="s">
        <v>871</v>
      </c>
      <c r="AL51" s="158" t="str">
        <f>TEXT(ROUND(Z51*AB47*AL47*AH47*AF49/AB49,2),"#,0.00")</f>
        <v>8.81</v>
      </c>
      <c r="AM51" s="155"/>
      <c r="AN51" s="155"/>
      <c r="AO51" s="155"/>
      <c r="AP51" s="155"/>
      <c r="AQ51" s="155"/>
      <c r="AR51" s="155"/>
      <c r="AS51" s="155"/>
    </row>
    <row r="52" spans="1:45" ht="12.6" customHeight="1" x14ac:dyDescent="0.3">
      <c r="A52" s="107"/>
      <c r="B52" s="107"/>
      <c r="C52" s="107"/>
      <c r="D52" s="107"/>
      <c r="E52" s="107"/>
      <c r="F52" s="107"/>
      <c r="G52" s="17" t="s">
        <v>848</v>
      </c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</row>
    <row r="53" spans="1:45" ht="12.6" customHeight="1" x14ac:dyDescent="0.3">
      <c r="A53" s="84" t="s">
        <v>877</v>
      </c>
      <c r="B53" s="146" t="str">
        <f>" 노 무 비  : "&amp;TEXT(I53,"#,##0"&amp;IF(I53&lt;&gt;INT(I53),".###",""))&amp;" / Q  = "&amp;TEXT(C53,"#,##0.0")&amp;""</f>
        <v xml:space="preserve"> 노 무 비  : 57,077 / Q  = 6,478.6</v>
      </c>
      <c r="C53" s="148">
        <f>E53+D53+F53</f>
        <v>6478.6</v>
      </c>
      <c r="D53" s="148">
        <f>IF(H53=0,0,ROUNDDOWN(J53*H53,1))</f>
        <v>6478.6</v>
      </c>
      <c r="E53" s="148">
        <f>IF(H53=0,0,ROUNDDOWN(K53*H53,1))</f>
        <v>0</v>
      </c>
      <c r="F53" s="148">
        <f>IF(H53=0,0,ROUNDDOWN(L53*H53,1))</f>
        <v>0</v>
      </c>
      <c r="G53" s="17" t="s">
        <v>875</v>
      </c>
      <c r="H53" s="152">
        <f>ROUNDUP(AC53,14-LEN(ABS(INT(AC53))))</f>
        <v>0.1135073779796</v>
      </c>
      <c r="I53" s="153">
        <f>K53+J53+L53</f>
        <v>57077</v>
      </c>
      <c r="J53" s="37">
        <f>중기목록표!F6</f>
        <v>57077</v>
      </c>
      <c r="M53" s="34" t="s">
        <v>878</v>
      </c>
      <c r="N53" s="34" t="s">
        <v>886</v>
      </c>
      <c r="X53" s="154" t="str">
        <f>중기목록표!B6&amp;" / "&amp;중기목록표!C6</f>
        <v>굴착기(무한궤도) / 0.2㎥,(암석)</v>
      </c>
      <c r="Y53" s="3" t="str">
        <f ca="1">HYPERLINK("#"&amp;중기목록표!J2&amp;"!A"&amp;ROW(중기목록표!A6),"X00007 →")</f>
        <v>X00007 →</v>
      </c>
      <c r="Z53" s="34" t="s">
        <v>879</v>
      </c>
      <c r="AA53" s="158" t="str">
        <f>AL51</f>
        <v>8.81</v>
      </c>
      <c r="AB53" s="34" t="s">
        <v>871</v>
      </c>
      <c r="AC53" s="158">
        <f>1/AL51</f>
        <v>0.11350737797956867</v>
      </c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</row>
    <row r="54" spans="1:45" ht="12.6" customHeight="1" x14ac:dyDescent="0.3">
      <c r="A54" s="107"/>
      <c r="B54" s="107"/>
      <c r="C54" s="107"/>
      <c r="D54" s="107"/>
      <c r="E54" s="107"/>
      <c r="F54" s="107"/>
      <c r="G54" s="17" t="s">
        <v>848</v>
      </c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</row>
    <row r="55" spans="1:45" ht="12.6" customHeight="1" x14ac:dyDescent="0.3">
      <c r="A55" s="84" t="s">
        <v>881</v>
      </c>
      <c r="B55" s="146" t="str">
        <f>" 재 료 비  : "&amp;TEXT(I55,"#,##0"&amp;IF(I55&lt;&gt;INT(I55),".###",""))&amp;" / Q  = "&amp;TEXT(C55,"#,##0.0")&amp;""</f>
        <v xml:space="preserve"> 재 료 비  : 7,629 / Q  = 865.9</v>
      </c>
      <c r="C55" s="148">
        <f>E55+D55+F55</f>
        <v>865.9</v>
      </c>
      <c r="D55" s="148">
        <f>IF(H55=0,0,ROUNDDOWN(J55*H55,1))</f>
        <v>0</v>
      </c>
      <c r="E55" s="148">
        <f>IF(H55=0,0,ROUNDDOWN(K55*H55,1))</f>
        <v>865.9</v>
      </c>
      <c r="F55" s="148">
        <f>IF(H55=0,0,ROUNDDOWN(L55*H55,1))</f>
        <v>0</v>
      </c>
      <c r="G55" s="17" t="s">
        <v>880</v>
      </c>
      <c r="H55" s="152">
        <f>ROUNDUP(AC55,14-LEN(ABS(INT(AC55))))</f>
        <v>0.1135073779796</v>
      </c>
      <c r="I55" s="153">
        <f>K55+J55+L55</f>
        <v>7629</v>
      </c>
      <c r="K55" s="37">
        <f>중기목록표!G6</f>
        <v>7629</v>
      </c>
      <c r="M55" s="34" t="s">
        <v>878</v>
      </c>
      <c r="N55" s="34" t="s">
        <v>886</v>
      </c>
      <c r="X55" s="154" t="str">
        <f>중기목록표!B6&amp;" / "&amp;중기목록표!C6</f>
        <v>굴착기(무한궤도) / 0.2㎥,(암석)</v>
      </c>
      <c r="Y55" s="3" t="str">
        <f ca="1">HYPERLINK("#"&amp;중기목록표!J2&amp;"!A"&amp;ROW(중기목록표!A6),"X00007 →")</f>
        <v>X00007 →</v>
      </c>
      <c r="Z55" s="34" t="s">
        <v>879</v>
      </c>
      <c r="AA55" s="158" t="str">
        <f>AL51</f>
        <v>8.81</v>
      </c>
      <c r="AB55" s="34" t="s">
        <v>871</v>
      </c>
      <c r="AC55" s="158">
        <f>1/AL51</f>
        <v>0.11350737797956867</v>
      </c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</row>
    <row r="56" spans="1:45" ht="12.6" customHeight="1" x14ac:dyDescent="0.3">
      <c r="A56" s="107"/>
      <c r="B56" s="107"/>
      <c r="C56" s="107"/>
      <c r="D56" s="107"/>
      <c r="E56" s="107"/>
      <c r="F56" s="107"/>
      <c r="G56" s="17" t="s">
        <v>848</v>
      </c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</row>
    <row r="57" spans="1:45" ht="12.6" customHeight="1" x14ac:dyDescent="0.3">
      <c r="A57" s="84" t="s">
        <v>883</v>
      </c>
      <c r="B57" s="146" t="str">
        <f>" 경    비  : "&amp;TEXT(I57,"#,##0"&amp;IF(I57&lt;&gt;INT(I57),".###",""))&amp;" / Q  = "&amp;TEXT(C57,"#,##0.0")&amp;""</f>
        <v xml:space="preserve"> 경    비  : 15,456 / Q  = 1,754.3</v>
      </c>
      <c r="C57" s="148">
        <f>E57+D57+F57</f>
        <v>1754.3</v>
      </c>
      <c r="D57" s="148">
        <f>IF(H57=0,0,ROUNDDOWN(J57*H57,1))</f>
        <v>0</v>
      </c>
      <c r="E57" s="148">
        <f>IF(H57=0,0,ROUNDDOWN(K57*H57,1))</f>
        <v>0</v>
      </c>
      <c r="F57" s="148">
        <f>IF(H57=0,0,ROUNDDOWN(L57*H57,1))</f>
        <v>1754.3</v>
      </c>
      <c r="G57" s="17" t="s">
        <v>882</v>
      </c>
      <c r="H57" s="152">
        <f>ROUNDUP(AC57,14-LEN(ABS(INT(AC57))))</f>
        <v>0.1135073779796</v>
      </c>
      <c r="I57" s="153">
        <f>K57+J57+L57</f>
        <v>15456</v>
      </c>
      <c r="L57" s="37">
        <f>중기목록표!H6</f>
        <v>15456</v>
      </c>
      <c r="M57" s="34" t="s">
        <v>878</v>
      </c>
      <c r="N57" s="34" t="s">
        <v>886</v>
      </c>
      <c r="X57" s="154" t="str">
        <f>중기목록표!B6&amp;" / "&amp;중기목록표!C6</f>
        <v>굴착기(무한궤도) / 0.2㎥,(암석)</v>
      </c>
      <c r="Y57" s="3" t="str">
        <f ca="1">HYPERLINK("#"&amp;중기목록표!J2&amp;"!A"&amp;ROW(중기목록표!A6),"X00007 →")</f>
        <v>X00007 →</v>
      </c>
      <c r="Z57" s="34" t="s">
        <v>879</v>
      </c>
      <c r="AA57" s="158" t="str">
        <f>AL51</f>
        <v>8.81</v>
      </c>
      <c r="AB57" s="34" t="s">
        <v>871</v>
      </c>
      <c r="AC57" s="158">
        <f>1/AL51</f>
        <v>0.11350737797956867</v>
      </c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</row>
    <row r="58" spans="1:45" ht="12.6" customHeight="1" x14ac:dyDescent="0.3">
      <c r="A58" s="107"/>
      <c r="B58" s="107"/>
      <c r="C58" s="107"/>
      <c r="D58" s="107"/>
      <c r="E58" s="107"/>
      <c r="F58" s="107"/>
      <c r="G58" s="17" t="s">
        <v>848</v>
      </c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</row>
    <row r="59" spans="1:45" ht="12.6" customHeight="1" x14ac:dyDescent="0.3">
      <c r="A59" s="84"/>
      <c r="B59" s="41" t="s">
        <v>885</v>
      </c>
      <c r="C59" s="149">
        <f>E59+D59+F59</f>
        <v>9098.7999999999993</v>
      </c>
      <c r="D59" s="149">
        <f>SUMIF(N43:N58,M59,D43:D58)</f>
        <v>6478.6</v>
      </c>
      <c r="E59" s="149">
        <f>SUMIF(N43:N58,M59,E43:E58)</f>
        <v>865.9</v>
      </c>
      <c r="F59" s="149">
        <f>SUMIF(N43:N58,M59,F43:F58)</f>
        <v>1754.3</v>
      </c>
      <c r="G59" s="17" t="s">
        <v>884</v>
      </c>
      <c r="M59" s="34" t="s">
        <v>886</v>
      </c>
      <c r="N59" s="34" t="s">
        <v>891</v>
      </c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</row>
    <row r="60" spans="1:45" ht="12.6" customHeight="1" x14ac:dyDescent="0.3">
      <c r="A60" s="107"/>
      <c r="B60" s="107"/>
      <c r="C60" s="147"/>
      <c r="D60" s="147"/>
      <c r="E60" s="147"/>
      <c r="F60" s="147"/>
      <c r="G60" s="17" t="s">
        <v>848</v>
      </c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</row>
    <row r="61" spans="1:45" ht="12.6" customHeight="1" x14ac:dyDescent="0.3">
      <c r="A61" s="84"/>
      <c r="B61" s="41" t="s">
        <v>769</v>
      </c>
      <c r="C61" s="149">
        <f>E61+D61+F61</f>
        <v>20801.199999999997</v>
      </c>
      <c r="D61" s="149">
        <f>SUMIF(N7:N60,M61,D7:D60)</f>
        <v>14811</v>
      </c>
      <c r="E61" s="149">
        <f>SUMIF(N7:N60,M61,E7:E60)</f>
        <v>1979.6</v>
      </c>
      <c r="F61" s="149">
        <f>SUMIF(N7:N60,M61,F7:F60)</f>
        <v>4010.6000000000004</v>
      </c>
      <c r="G61" s="17" t="s">
        <v>890</v>
      </c>
      <c r="M61" s="34" t="s">
        <v>891</v>
      </c>
      <c r="N61" s="34" t="s">
        <v>768</v>
      </c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</row>
    <row r="62" spans="1:45" ht="12.6" customHeight="1" x14ac:dyDescent="0.3">
      <c r="A62" s="107"/>
      <c r="B62" s="107"/>
      <c r="C62" s="147"/>
      <c r="D62" s="147"/>
      <c r="E62" s="147"/>
      <c r="F62" s="147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</row>
    <row r="63" spans="1:45" ht="12.6" customHeight="1" x14ac:dyDescent="0.3">
      <c r="A63" s="107"/>
      <c r="B63" s="107"/>
      <c r="C63" s="107"/>
      <c r="D63" s="107"/>
      <c r="E63" s="107"/>
      <c r="F63" s="107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</row>
    <row r="64" spans="1:45" ht="12.6" customHeight="1" x14ac:dyDescent="0.3">
      <c r="A64" s="107"/>
      <c r="B64" s="107"/>
      <c r="C64" s="107"/>
      <c r="D64" s="107"/>
      <c r="E64" s="107"/>
      <c r="F64" s="107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</row>
    <row r="65" spans="1:45" ht="12.6" customHeight="1" x14ac:dyDescent="0.3">
      <c r="A65" s="107"/>
      <c r="B65" s="107"/>
      <c r="C65" s="107"/>
      <c r="D65" s="107"/>
      <c r="E65" s="107"/>
      <c r="F65" s="107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</row>
    <row r="66" spans="1:45" ht="12.6" customHeight="1" x14ac:dyDescent="0.3">
      <c r="A66" s="107"/>
      <c r="B66" s="107"/>
      <c r="C66" s="107"/>
      <c r="D66" s="107"/>
      <c r="E66" s="107"/>
      <c r="F66" s="107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</row>
    <row r="67" spans="1:45" ht="12.6" customHeight="1" x14ac:dyDescent="0.3">
      <c r="A67" s="107"/>
      <c r="B67" s="107"/>
      <c r="C67" s="107"/>
      <c r="D67" s="107"/>
      <c r="E67" s="107"/>
      <c r="F67" s="107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</row>
    <row r="68" spans="1:45" ht="12.6" customHeight="1" x14ac:dyDescent="0.3">
      <c r="A68" s="107"/>
      <c r="B68" s="107"/>
      <c r="C68" s="107"/>
      <c r="D68" s="107"/>
      <c r="E68" s="107"/>
      <c r="F68" s="107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</row>
    <row r="69" spans="1:45" ht="12.6" customHeight="1" x14ac:dyDescent="0.3">
      <c r="A69" s="107"/>
      <c r="B69" s="107"/>
      <c r="C69" s="107"/>
      <c r="D69" s="107"/>
      <c r="E69" s="107"/>
      <c r="F69" s="107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</row>
    <row r="70" spans="1:45" ht="12.6" customHeight="1" x14ac:dyDescent="0.3">
      <c r="A70" s="107"/>
      <c r="B70" s="107"/>
      <c r="C70" s="107"/>
      <c r="D70" s="107"/>
      <c r="E70" s="107"/>
      <c r="F70" s="107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</row>
    <row r="71" spans="1:45" ht="12.6" customHeight="1" x14ac:dyDescent="0.3">
      <c r="A71" s="107"/>
      <c r="B71" s="107"/>
      <c r="C71" s="107"/>
      <c r="D71" s="107"/>
      <c r="E71" s="107"/>
      <c r="F71" s="107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</row>
    <row r="72" spans="1:45" ht="12.6" customHeight="1" x14ac:dyDescent="0.3">
      <c r="A72" s="107"/>
      <c r="B72" s="107"/>
      <c r="C72" s="107"/>
      <c r="D72" s="107"/>
      <c r="E72" s="107"/>
      <c r="F72" s="107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</row>
    <row r="73" spans="1:45" ht="12.6" customHeight="1" x14ac:dyDescent="0.3">
      <c r="A73" s="123"/>
      <c r="B73" s="123"/>
      <c r="C73" s="123"/>
      <c r="D73" s="123"/>
      <c r="E73" s="123"/>
      <c r="F73" s="123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</row>
    <row r="74" spans="1:45" ht="12.6" customHeight="1" x14ac:dyDescent="0.3">
      <c r="A74" s="193" t="s">
        <v>892</v>
      </c>
      <c r="B74" s="194"/>
      <c r="C74" s="99">
        <f>E74+D74+F74</f>
        <v>20800</v>
      </c>
      <c r="D74" s="121">
        <f>ROUNDDOWN(SUMIF(N7:N61,M74,D7:D61),0)</f>
        <v>14811</v>
      </c>
      <c r="E74" s="120">
        <f>ROUNDDOWN(SUMIF(N7:N61,M74,E7:E61),0)</f>
        <v>1979</v>
      </c>
      <c r="F74" s="99">
        <f>ROUNDDOWN(SUMIF(N7:N61,M74,F7:F61),0)</f>
        <v>4010</v>
      </c>
      <c r="M74" s="34" t="s">
        <v>768</v>
      </c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</row>
    <row r="75" spans="1:45" ht="12.6" customHeight="1" x14ac:dyDescent="0.3">
      <c r="A75" s="144" t="s">
        <v>44</v>
      </c>
      <c r="B75" s="145" t="s">
        <v>44</v>
      </c>
      <c r="C75" s="232">
        <f>C143</f>
        <v>18302</v>
      </c>
      <c r="D75" s="232">
        <f>D143</f>
        <v>13033</v>
      </c>
      <c r="E75" s="232">
        <f>E143</f>
        <v>1741</v>
      </c>
      <c r="F75" s="232">
        <f>F143</f>
        <v>3528</v>
      </c>
      <c r="G75" s="141" t="str">
        <f>HYPERLINK("#G"&amp;ROW(G131),"_x0005_`BDCOD|D01425_x0007_`POSS|"&amp;ROW(G77)&amp;"_x0007_`POSE|"&amp;ROW(G131)&amp;"_x0007_`")</f>
        <v>_x0005_`BDCOD|D01425_x0007_`POSS|77_x0007_`POSE|131_x0007_`</v>
      </c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</row>
    <row r="76" spans="1:45" ht="12.6" customHeight="1" x14ac:dyDescent="0.3">
      <c r="A76" s="124"/>
      <c r="B76" s="145" t="s">
        <v>844</v>
      </c>
      <c r="C76" s="189"/>
      <c r="D76" s="189"/>
      <c r="E76" s="189"/>
      <c r="F76" s="189"/>
      <c r="M76" s="34" t="s">
        <v>53</v>
      </c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</row>
    <row r="77" spans="1:45" ht="12.6" customHeight="1" x14ac:dyDescent="0.3">
      <c r="A77" s="84"/>
      <c r="B77" s="41" t="s">
        <v>847</v>
      </c>
      <c r="C77" s="147"/>
      <c r="D77" s="147"/>
      <c r="E77" s="147"/>
      <c r="F77" s="147"/>
      <c r="G77" s="17" t="s">
        <v>846</v>
      </c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</row>
    <row r="78" spans="1:45" ht="12.6" customHeight="1" x14ac:dyDescent="0.3">
      <c r="A78" s="107"/>
      <c r="B78" s="107"/>
      <c r="C78" s="107"/>
      <c r="D78" s="107"/>
      <c r="E78" s="107"/>
      <c r="F78" s="107"/>
      <c r="G78" s="17" t="s">
        <v>848</v>
      </c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</row>
    <row r="79" spans="1:45" ht="12.6" customHeight="1" x14ac:dyDescent="0.3">
      <c r="A79" s="84"/>
      <c r="B79" s="41" t="s">
        <v>850</v>
      </c>
      <c r="C79" s="107"/>
      <c r="D79" s="107"/>
      <c r="E79" s="107"/>
      <c r="F79" s="107"/>
      <c r="G79" s="17" t="s">
        <v>849</v>
      </c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</row>
    <row r="80" spans="1:45" ht="12.6" customHeight="1" x14ac:dyDescent="0.3">
      <c r="A80" s="107"/>
      <c r="B80" s="107"/>
      <c r="C80" s="107"/>
      <c r="D80" s="107"/>
      <c r="E80" s="107"/>
      <c r="F80" s="107"/>
      <c r="G80" s="17" t="s">
        <v>848</v>
      </c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</row>
    <row r="81" spans="1:45" ht="12.6" customHeight="1" x14ac:dyDescent="0.3">
      <c r="A81" s="84"/>
      <c r="B81" s="41" t="s">
        <v>852</v>
      </c>
      <c r="C81" s="107"/>
      <c r="D81" s="107"/>
      <c r="E81" s="107"/>
      <c r="F81" s="107"/>
      <c r="G81" s="17" t="s">
        <v>851</v>
      </c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</row>
    <row r="82" spans="1:45" ht="12.6" customHeight="1" x14ac:dyDescent="0.3">
      <c r="A82" s="107"/>
      <c r="B82" s="107"/>
      <c r="C82" s="107"/>
      <c r="D82" s="107"/>
      <c r="E82" s="107"/>
      <c r="F82" s="107"/>
      <c r="G82" s="17" t="s">
        <v>848</v>
      </c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</row>
    <row r="83" spans="1:45" ht="12.6" customHeight="1" x14ac:dyDescent="0.3">
      <c r="A83" s="84"/>
      <c r="B83" s="41" t="s">
        <v>854</v>
      </c>
      <c r="C83" s="107"/>
      <c r="D83" s="107"/>
      <c r="E83" s="107"/>
      <c r="F83" s="107"/>
      <c r="G83" s="17" t="s">
        <v>853</v>
      </c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</row>
    <row r="84" spans="1:45" ht="12.6" customHeight="1" x14ac:dyDescent="0.3">
      <c r="A84" s="107"/>
      <c r="B84" s="107"/>
      <c r="C84" s="107"/>
      <c r="D84" s="107"/>
      <c r="E84" s="107"/>
      <c r="F84" s="107"/>
      <c r="G84" s="17" t="s">
        <v>848</v>
      </c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</row>
    <row r="85" spans="1:45" ht="12.6" customHeight="1" x14ac:dyDescent="0.3">
      <c r="A85" s="84"/>
      <c r="B85" s="41" t="s">
        <v>856</v>
      </c>
      <c r="C85" s="107"/>
      <c r="D85" s="107"/>
      <c r="E85" s="107"/>
      <c r="F85" s="107"/>
      <c r="G85" s="17" t="s">
        <v>855</v>
      </c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</row>
    <row r="86" spans="1:45" ht="12.6" customHeight="1" x14ac:dyDescent="0.3">
      <c r="A86" s="107"/>
      <c r="B86" s="107"/>
      <c r="C86" s="107"/>
      <c r="D86" s="107"/>
      <c r="E86" s="107"/>
      <c r="F86" s="107"/>
      <c r="G86" s="17" t="s">
        <v>848</v>
      </c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</row>
    <row r="87" spans="1:45" ht="12.6" customHeight="1" x14ac:dyDescent="0.3">
      <c r="A87" s="84"/>
      <c r="B87" s="41" t="s">
        <v>858</v>
      </c>
      <c r="C87" s="107"/>
      <c r="D87" s="107"/>
      <c r="E87" s="107"/>
      <c r="F87" s="107"/>
      <c r="G87" s="17" t="s">
        <v>857</v>
      </c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</row>
    <row r="88" spans="1:45" ht="12.6" customHeight="1" x14ac:dyDescent="0.3">
      <c r="A88" s="107"/>
      <c r="B88" s="107"/>
      <c r="C88" s="107"/>
      <c r="D88" s="107"/>
      <c r="E88" s="107"/>
      <c r="F88" s="107"/>
      <c r="G88" s="17" t="s">
        <v>848</v>
      </c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</row>
    <row r="89" spans="1:45" ht="12.6" customHeight="1" x14ac:dyDescent="0.3">
      <c r="A89" s="84"/>
      <c r="B89" s="41" t="s">
        <v>860</v>
      </c>
      <c r="C89" s="107"/>
      <c r="D89" s="107"/>
      <c r="E89" s="107"/>
      <c r="F89" s="107"/>
      <c r="G89" s="17" t="s">
        <v>859</v>
      </c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</row>
    <row r="90" spans="1:45" ht="12.6" customHeight="1" x14ac:dyDescent="0.3">
      <c r="A90" s="107"/>
      <c r="B90" s="107"/>
      <c r="C90" s="107"/>
      <c r="D90" s="107"/>
      <c r="E90" s="107"/>
      <c r="F90" s="107"/>
      <c r="G90" s="17" t="s">
        <v>848</v>
      </c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</row>
    <row r="91" spans="1:45" ht="12.6" customHeight="1" x14ac:dyDescent="0.3">
      <c r="A91" s="84"/>
      <c r="B91" s="41" t="s">
        <v>862</v>
      </c>
      <c r="C91" s="107"/>
      <c r="D91" s="107"/>
      <c r="E91" s="107"/>
      <c r="F91" s="107"/>
      <c r="G91" s="17" t="s">
        <v>861</v>
      </c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</row>
    <row r="92" spans="1:45" ht="12.6" customHeight="1" x14ac:dyDescent="0.3">
      <c r="A92" s="107"/>
      <c r="B92" s="107"/>
      <c r="C92" s="107"/>
      <c r="D92" s="107"/>
      <c r="E92" s="107"/>
      <c r="F92" s="107"/>
      <c r="G92" s="17" t="s">
        <v>848</v>
      </c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</row>
    <row r="93" spans="1:45" ht="12.6" customHeight="1" x14ac:dyDescent="0.3">
      <c r="A93" s="84"/>
      <c r="B93" s="41" t="s">
        <v>864</v>
      </c>
      <c r="C93" s="107"/>
      <c r="D93" s="107"/>
      <c r="E93" s="107"/>
      <c r="F93" s="107"/>
      <c r="G93" s="17" t="s">
        <v>863</v>
      </c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</row>
    <row r="94" spans="1:45" ht="12.6" customHeight="1" x14ac:dyDescent="0.3">
      <c r="A94" s="107"/>
      <c r="B94" s="107"/>
      <c r="C94" s="107"/>
      <c r="D94" s="107"/>
      <c r="E94" s="107"/>
      <c r="F94" s="107"/>
      <c r="G94" s="17" t="s">
        <v>848</v>
      </c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</row>
    <row r="95" spans="1:45" ht="12.6" customHeight="1" x14ac:dyDescent="0.3">
      <c r="A95" s="84"/>
      <c r="B95" s="41" t="s">
        <v>866</v>
      </c>
      <c r="C95" s="107"/>
      <c r="D95" s="107"/>
      <c r="E95" s="107"/>
      <c r="F95" s="107"/>
      <c r="G95" s="17" t="s">
        <v>865</v>
      </c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</row>
    <row r="96" spans="1:45" ht="12.6" customHeight="1" x14ac:dyDescent="0.3">
      <c r="A96" s="107"/>
      <c r="B96" s="107"/>
      <c r="C96" s="107"/>
      <c r="D96" s="107"/>
      <c r="E96" s="107"/>
      <c r="F96" s="107"/>
      <c r="G96" s="17" t="s">
        <v>848</v>
      </c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</row>
    <row r="97" spans="1:45" ht="12.6" customHeight="1" x14ac:dyDescent="0.3">
      <c r="A97" s="107"/>
      <c r="B97" s="107"/>
      <c r="C97" s="107"/>
      <c r="D97" s="107"/>
      <c r="E97" s="107"/>
      <c r="F97" s="107"/>
      <c r="G97" s="17" t="s">
        <v>848</v>
      </c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</row>
    <row r="98" spans="1:45" ht="12.6" customHeight="1" x14ac:dyDescent="0.3">
      <c r="A98" s="84"/>
      <c r="B98" s="41" t="s">
        <v>868</v>
      </c>
      <c r="C98" s="107"/>
      <c r="D98" s="107"/>
      <c r="E98" s="107"/>
      <c r="F98" s="107"/>
      <c r="G98" s="17" t="s">
        <v>867</v>
      </c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</row>
    <row r="99" spans="1:45" ht="12.6" customHeight="1" x14ac:dyDescent="0.3">
      <c r="A99" s="107"/>
      <c r="B99" s="107"/>
      <c r="C99" s="107"/>
      <c r="D99" s="107"/>
      <c r="E99" s="107"/>
      <c r="F99" s="107"/>
      <c r="G99" s="17" t="s">
        <v>848</v>
      </c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</row>
    <row r="100" spans="1:45" ht="12.6" customHeight="1" x14ac:dyDescent="0.3">
      <c r="A100" s="84"/>
      <c r="B100" s="41" t="str">
        <f>" q = "&amp;Z100&amp;" , f = "&amp;AD100&amp;"/"&amp;AF100&amp;" = "&amp;AH100&amp;"  , K = "&amp;AJ100&amp;""</f>
        <v xml:space="preserve"> q = 0.2 , f = 1/1.125 = 0.89  , K = 0.55</v>
      </c>
      <c r="C100" s="107"/>
      <c r="D100" s="107"/>
      <c r="E100" s="107"/>
      <c r="F100" s="107"/>
      <c r="G100" s="17" t="s">
        <v>869</v>
      </c>
      <c r="Z100" s="156">
        <v>0.2</v>
      </c>
      <c r="AA100" s="34" t="s">
        <v>871</v>
      </c>
      <c r="AB100" s="158">
        <f>Z100</f>
        <v>0.2</v>
      </c>
      <c r="AC100" s="159" t="s">
        <v>872</v>
      </c>
      <c r="AD100" s="157">
        <v>1</v>
      </c>
      <c r="AE100" s="34" t="s">
        <v>873</v>
      </c>
      <c r="AF100" s="156">
        <v>1.125</v>
      </c>
      <c r="AG100" s="34" t="s">
        <v>871</v>
      </c>
      <c r="AH100" s="158" t="str">
        <f>TEXT(ROUND(AD100/AF100,2),"#,0.00")</f>
        <v>0.89</v>
      </c>
      <c r="AI100" s="159" t="s">
        <v>872</v>
      </c>
      <c r="AJ100" s="156">
        <v>0.55000000000000004</v>
      </c>
      <c r="AK100" s="34" t="s">
        <v>871</v>
      </c>
      <c r="AL100" s="158">
        <f>AJ100</f>
        <v>0.55000000000000004</v>
      </c>
      <c r="AM100" s="155"/>
      <c r="AN100" s="155"/>
      <c r="AO100" s="155"/>
      <c r="AP100" s="155"/>
      <c r="AQ100" s="155"/>
      <c r="AR100" s="155"/>
      <c r="AS100" s="155"/>
    </row>
    <row r="101" spans="1:45" ht="12.6" customHeight="1" x14ac:dyDescent="0.3">
      <c r="A101" s="107"/>
      <c r="B101" s="107"/>
      <c r="C101" s="107"/>
      <c r="D101" s="107"/>
      <c r="E101" s="107"/>
      <c r="F101" s="107"/>
      <c r="G101" s="17" t="s">
        <v>848</v>
      </c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</row>
    <row r="102" spans="1:45" ht="12.6" customHeight="1" x14ac:dyDescent="0.3">
      <c r="A102" s="84"/>
      <c r="B102" s="41" t="str">
        <f>" Cm = "&amp;Z102&amp;" sec (135˚) , E = "&amp;AD102&amp;""</f>
        <v xml:space="preserve"> Cm = 18 sec (135˚) , E = 0.35</v>
      </c>
      <c r="C102" s="107"/>
      <c r="D102" s="107"/>
      <c r="E102" s="107"/>
      <c r="F102" s="107"/>
      <c r="G102" s="17" t="s">
        <v>870</v>
      </c>
      <c r="Z102" s="157">
        <v>18</v>
      </c>
      <c r="AA102" s="34" t="s">
        <v>871</v>
      </c>
      <c r="AB102" s="158">
        <f>Z102</f>
        <v>18</v>
      </c>
      <c r="AC102" s="159" t="s">
        <v>872</v>
      </c>
      <c r="AD102" s="156">
        <v>0.35</v>
      </c>
      <c r="AE102" s="34" t="s">
        <v>871</v>
      </c>
      <c r="AF102" s="158">
        <f>AD102</f>
        <v>0.35</v>
      </c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</row>
    <row r="103" spans="1:45" ht="12.6" customHeight="1" x14ac:dyDescent="0.3">
      <c r="A103" s="107"/>
      <c r="B103" s="107"/>
      <c r="C103" s="107"/>
      <c r="D103" s="107"/>
      <c r="E103" s="107"/>
      <c r="F103" s="107"/>
      <c r="G103" s="17" t="s">
        <v>848</v>
      </c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</row>
    <row r="104" spans="1:45" ht="12.6" customHeight="1" x14ac:dyDescent="0.3">
      <c r="A104" s="84"/>
      <c r="B104" s="41" t="str">
        <f>" Q = "&amp;Z104&amp;"*q*K*f*E/Cm = "&amp;AL104&amp;" m3/hr "</f>
        <v xml:space="preserve"> Q = 3600*q*K*f*E/Cm = 6.85 m3/hr </v>
      </c>
      <c r="C104" s="107"/>
      <c r="D104" s="107"/>
      <c r="E104" s="107"/>
      <c r="F104" s="107"/>
      <c r="G104" s="17" t="s">
        <v>874</v>
      </c>
      <c r="Z104" s="157">
        <v>3600</v>
      </c>
      <c r="AA104" s="34" t="s">
        <v>876</v>
      </c>
      <c r="AB104" s="158">
        <f>AB100</f>
        <v>0.2</v>
      </c>
      <c r="AC104" s="34" t="s">
        <v>876</v>
      </c>
      <c r="AD104" s="158">
        <f>AL100</f>
        <v>0.55000000000000004</v>
      </c>
      <c r="AE104" s="34" t="s">
        <v>876</v>
      </c>
      <c r="AF104" s="158" t="str">
        <f>AH100</f>
        <v>0.89</v>
      </c>
      <c r="AG104" s="34" t="s">
        <v>876</v>
      </c>
      <c r="AH104" s="158">
        <f>AF102</f>
        <v>0.35</v>
      </c>
      <c r="AI104" s="34" t="s">
        <v>873</v>
      </c>
      <c r="AJ104" s="158">
        <f>AB102</f>
        <v>18</v>
      </c>
      <c r="AK104" s="34" t="s">
        <v>871</v>
      </c>
      <c r="AL104" s="158" t="str">
        <f>TEXT(ROUND(Z104*AB100*AL100*AH100*AF102/AB102,2),"#,0.00")</f>
        <v>6.85</v>
      </c>
      <c r="AM104" s="155"/>
      <c r="AN104" s="155"/>
      <c r="AO104" s="155"/>
      <c r="AP104" s="155"/>
      <c r="AQ104" s="155"/>
      <c r="AR104" s="155"/>
      <c r="AS104" s="155"/>
    </row>
    <row r="105" spans="1:45" ht="12.6" customHeight="1" x14ac:dyDescent="0.3">
      <c r="A105" s="107"/>
      <c r="B105" s="107"/>
      <c r="C105" s="107"/>
      <c r="D105" s="107"/>
      <c r="E105" s="107"/>
      <c r="F105" s="107"/>
      <c r="G105" s="17" t="s">
        <v>848</v>
      </c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</row>
    <row r="106" spans="1:45" ht="12.6" customHeight="1" x14ac:dyDescent="0.3">
      <c r="A106" s="84" t="s">
        <v>877</v>
      </c>
      <c r="B106" s="146" t="str">
        <f>" 노 무 비  : "&amp;TEXT(I106,"#,##0"&amp;IF(I106&lt;&gt;INT(I106),".###",""))&amp;" / Q  = "&amp;TEXT(C106,"#,##0.0")&amp;""</f>
        <v xml:space="preserve"> 노 무 비  : 57,077 / Q  = 8,332.4</v>
      </c>
      <c r="C106" s="148">
        <f>E106+D106+F106</f>
        <v>8332.4</v>
      </c>
      <c r="D106" s="148">
        <f>IF(H106=0,0,ROUNDDOWN(J106*H106,1))</f>
        <v>8332.4</v>
      </c>
      <c r="E106" s="148">
        <f>IF(H106=0,0,ROUNDDOWN(K106*H106,1))</f>
        <v>0</v>
      </c>
      <c r="F106" s="148">
        <f>IF(H106=0,0,ROUNDDOWN(L106*H106,1))</f>
        <v>0</v>
      </c>
      <c r="G106" s="17" t="s">
        <v>875</v>
      </c>
      <c r="H106" s="152">
        <f>ROUNDUP(AC106,14-LEN(ABS(INT(AC106))))</f>
        <v>0.14598540145989999</v>
      </c>
      <c r="I106" s="153">
        <f>K106+J106+L106</f>
        <v>57077</v>
      </c>
      <c r="J106" s="37">
        <f>중기목록표!F6</f>
        <v>57077</v>
      </c>
      <c r="M106" s="34" t="s">
        <v>878</v>
      </c>
      <c r="N106" s="34" t="s">
        <v>886</v>
      </c>
      <c r="X106" s="154" t="str">
        <f>중기목록표!B6&amp;" / "&amp;중기목록표!C6</f>
        <v>굴착기(무한궤도) / 0.2㎥,(암석)</v>
      </c>
      <c r="Y106" s="3" t="str">
        <f ca="1">HYPERLINK("#"&amp;중기목록표!J2&amp;"!A"&amp;ROW(중기목록표!A6),"X00007 →")</f>
        <v>X00007 →</v>
      </c>
      <c r="Z106" s="34" t="s">
        <v>879</v>
      </c>
      <c r="AA106" s="158" t="str">
        <f>AL104</f>
        <v>6.85</v>
      </c>
      <c r="AB106" s="34" t="s">
        <v>871</v>
      </c>
      <c r="AC106" s="158">
        <f>1/AL104</f>
        <v>0.14598540145985403</v>
      </c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</row>
    <row r="107" spans="1:45" ht="12.6" customHeight="1" x14ac:dyDescent="0.3">
      <c r="A107" s="107"/>
      <c r="B107" s="107"/>
      <c r="C107" s="107"/>
      <c r="D107" s="107"/>
      <c r="E107" s="107"/>
      <c r="F107" s="107"/>
      <c r="G107" s="17" t="s">
        <v>848</v>
      </c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</row>
    <row r="108" spans="1:45" ht="12.6" customHeight="1" x14ac:dyDescent="0.3">
      <c r="A108" s="84" t="s">
        <v>881</v>
      </c>
      <c r="B108" s="146" t="str">
        <f>" 재 료 비  : "&amp;TEXT(I108,"#,##0"&amp;IF(I108&lt;&gt;INT(I108),".###",""))&amp;" / Q  = "&amp;TEXT(C108,"#,##0.0")&amp;""</f>
        <v xml:space="preserve"> 재 료 비  : 7,629 / Q  = 1,113.7</v>
      </c>
      <c r="C108" s="148">
        <f>E108+D108+F108</f>
        <v>1113.7</v>
      </c>
      <c r="D108" s="148">
        <f>IF(H108=0,0,ROUNDDOWN(J108*H108,1))</f>
        <v>0</v>
      </c>
      <c r="E108" s="148">
        <f>IF(H108=0,0,ROUNDDOWN(K108*H108,1))</f>
        <v>1113.7</v>
      </c>
      <c r="F108" s="148">
        <f>IF(H108=0,0,ROUNDDOWN(L108*H108,1))</f>
        <v>0</v>
      </c>
      <c r="G108" s="17" t="s">
        <v>880</v>
      </c>
      <c r="H108" s="152">
        <f>ROUNDUP(AC108,14-LEN(ABS(INT(AC108))))</f>
        <v>0.14598540145989999</v>
      </c>
      <c r="I108" s="153">
        <f>K108+J108+L108</f>
        <v>7629</v>
      </c>
      <c r="K108" s="37">
        <f>중기목록표!G6</f>
        <v>7629</v>
      </c>
      <c r="M108" s="34" t="s">
        <v>878</v>
      </c>
      <c r="N108" s="34" t="s">
        <v>886</v>
      </c>
      <c r="X108" s="154" t="str">
        <f>중기목록표!B6&amp;" / "&amp;중기목록표!C6</f>
        <v>굴착기(무한궤도) / 0.2㎥,(암석)</v>
      </c>
      <c r="Y108" s="3" t="str">
        <f ca="1">HYPERLINK("#"&amp;중기목록표!J2&amp;"!A"&amp;ROW(중기목록표!A6),"X00007 →")</f>
        <v>X00007 →</v>
      </c>
      <c r="Z108" s="34" t="s">
        <v>879</v>
      </c>
      <c r="AA108" s="158" t="str">
        <f>AL104</f>
        <v>6.85</v>
      </c>
      <c r="AB108" s="34" t="s">
        <v>871</v>
      </c>
      <c r="AC108" s="158">
        <f>1/AL104</f>
        <v>0.14598540145985403</v>
      </c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</row>
    <row r="109" spans="1:45" ht="12.6" customHeight="1" x14ac:dyDescent="0.3">
      <c r="A109" s="107"/>
      <c r="B109" s="107"/>
      <c r="C109" s="107"/>
      <c r="D109" s="107"/>
      <c r="E109" s="107"/>
      <c r="F109" s="107"/>
      <c r="G109" s="17" t="s">
        <v>848</v>
      </c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</row>
    <row r="110" spans="1:45" ht="12.6" customHeight="1" x14ac:dyDescent="0.3">
      <c r="A110" s="84" t="s">
        <v>883</v>
      </c>
      <c r="B110" s="146" t="str">
        <f>" 경    비  : "&amp;TEXT(I110,"#,##0"&amp;IF(I110&lt;&gt;INT(I110),".###",""))&amp;" / Q  = "&amp;TEXT(C110,"#,##0.0")&amp;""</f>
        <v xml:space="preserve"> 경    비  : 15,456 / Q  = 2,256.3</v>
      </c>
      <c r="C110" s="148">
        <f>E110+D110+F110</f>
        <v>2256.3000000000002</v>
      </c>
      <c r="D110" s="148">
        <f>IF(H110=0,0,ROUNDDOWN(J110*H110,1))</f>
        <v>0</v>
      </c>
      <c r="E110" s="148">
        <f>IF(H110=0,0,ROUNDDOWN(K110*H110,1))</f>
        <v>0</v>
      </c>
      <c r="F110" s="148">
        <f>IF(H110=0,0,ROUNDDOWN(L110*H110,1))</f>
        <v>2256.3000000000002</v>
      </c>
      <c r="G110" s="17" t="s">
        <v>882</v>
      </c>
      <c r="H110" s="152">
        <f>ROUNDUP(AC110,14-LEN(ABS(INT(AC110))))</f>
        <v>0.14598540145989999</v>
      </c>
      <c r="I110" s="153">
        <f>K110+J110+L110</f>
        <v>15456</v>
      </c>
      <c r="L110" s="37">
        <f>중기목록표!H6</f>
        <v>15456</v>
      </c>
      <c r="M110" s="34" t="s">
        <v>878</v>
      </c>
      <c r="N110" s="34" t="s">
        <v>886</v>
      </c>
      <c r="X110" s="154" t="str">
        <f>중기목록표!B6&amp;" / "&amp;중기목록표!C6</f>
        <v>굴착기(무한궤도) / 0.2㎥,(암석)</v>
      </c>
      <c r="Y110" s="3" t="str">
        <f ca="1">HYPERLINK("#"&amp;중기목록표!J2&amp;"!A"&amp;ROW(중기목록표!A6),"X00007 →")</f>
        <v>X00007 →</v>
      </c>
      <c r="Z110" s="34" t="s">
        <v>879</v>
      </c>
      <c r="AA110" s="158" t="str">
        <f>AL104</f>
        <v>6.85</v>
      </c>
      <c r="AB110" s="34" t="s">
        <v>871</v>
      </c>
      <c r="AC110" s="158">
        <f>1/AL104</f>
        <v>0.14598540145985403</v>
      </c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</row>
    <row r="111" spans="1:45" ht="12.6" customHeight="1" x14ac:dyDescent="0.3">
      <c r="A111" s="107"/>
      <c r="B111" s="107"/>
      <c r="C111" s="107"/>
      <c r="D111" s="107"/>
      <c r="E111" s="107"/>
      <c r="F111" s="107"/>
      <c r="G111" s="17" t="s">
        <v>848</v>
      </c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</row>
    <row r="112" spans="1:45" ht="12.6" customHeight="1" x14ac:dyDescent="0.3">
      <c r="A112" s="84"/>
      <c r="B112" s="41" t="s">
        <v>885</v>
      </c>
      <c r="C112" s="149">
        <f>E112+D112+F112</f>
        <v>11702.400000000001</v>
      </c>
      <c r="D112" s="149">
        <f>SUMIF(N77:N111,M112,D77:D111)</f>
        <v>8332.4</v>
      </c>
      <c r="E112" s="149">
        <f>SUMIF(N77:N111,M112,E77:E111)</f>
        <v>1113.7</v>
      </c>
      <c r="F112" s="149">
        <f>SUMIF(N77:N111,M112,F77:F111)</f>
        <v>2256.3000000000002</v>
      </c>
      <c r="G112" s="17" t="s">
        <v>884</v>
      </c>
      <c r="M112" s="34" t="s">
        <v>886</v>
      </c>
      <c r="N112" s="34" t="s">
        <v>891</v>
      </c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</row>
    <row r="113" spans="1:45" ht="12.6" customHeight="1" x14ac:dyDescent="0.3">
      <c r="A113" s="107"/>
      <c r="B113" s="107"/>
      <c r="C113" s="147"/>
      <c r="D113" s="147"/>
      <c r="E113" s="147"/>
      <c r="F113" s="147"/>
      <c r="G113" s="17" t="s">
        <v>848</v>
      </c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</row>
    <row r="114" spans="1:45" ht="12.6" customHeight="1" x14ac:dyDescent="0.3">
      <c r="A114" s="107"/>
      <c r="B114" s="107"/>
      <c r="C114" s="107"/>
      <c r="D114" s="107"/>
      <c r="E114" s="107"/>
      <c r="F114" s="107"/>
      <c r="G114" s="17" t="s">
        <v>848</v>
      </c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</row>
    <row r="115" spans="1:45" ht="12.6" customHeight="1" x14ac:dyDescent="0.3">
      <c r="A115" s="84"/>
      <c r="B115" s="41" t="s">
        <v>888</v>
      </c>
      <c r="C115" s="107"/>
      <c r="D115" s="107"/>
      <c r="E115" s="107"/>
      <c r="F115" s="107"/>
      <c r="G115" s="17" t="s">
        <v>887</v>
      </c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</row>
    <row r="116" spans="1:45" ht="12.6" customHeight="1" x14ac:dyDescent="0.3">
      <c r="A116" s="107"/>
      <c r="B116" s="107"/>
      <c r="C116" s="107"/>
      <c r="D116" s="107"/>
      <c r="E116" s="107"/>
      <c r="F116" s="107"/>
      <c r="G116" s="17" t="s">
        <v>848</v>
      </c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</row>
    <row r="117" spans="1:45" ht="12.6" customHeight="1" x14ac:dyDescent="0.3">
      <c r="A117" s="84"/>
      <c r="B117" s="41" t="str">
        <f>" q = "&amp;Z117&amp;" , f = "&amp;AD117&amp;"/"&amp;AF117&amp;" = "&amp;AH117&amp;"  , K = "&amp;AJ117&amp;""</f>
        <v xml:space="preserve"> q = 0.2 , f = 1/1.125 = 0.89  , K = 0.55</v>
      </c>
      <c r="C117" s="107"/>
      <c r="D117" s="107"/>
      <c r="E117" s="107"/>
      <c r="F117" s="107"/>
      <c r="G117" s="17" t="s">
        <v>869</v>
      </c>
      <c r="Z117" s="156">
        <v>0.2</v>
      </c>
      <c r="AA117" s="34" t="s">
        <v>871</v>
      </c>
      <c r="AB117" s="158">
        <f>Z117</f>
        <v>0.2</v>
      </c>
      <c r="AC117" s="159" t="s">
        <v>872</v>
      </c>
      <c r="AD117" s="157">
        <v>1</v>
      </c>
      <c r="AE117" s="34" t="s">
        <v>873</v>
      </c>
      <c r="AF117" s="156">
        <v>1.125</v>
      </c>
      <c r="AG117" s="34" t="s">
        <v>871</v>
      </c>
      <c r="AH117" s="158" t="str">
        <f>TEXT(ROUND(AD117/AF117,2),"#,0.00")</f>
        <v>0.89</v>
      </c>
      <c r="AI117" s="159" t="s">
        <v>872</v>
      </c>
      <c r="AJ117" s="156">
        <v>0.55000000000000004</v>
      </c>
      <c r="AK117" s="34" t="s">
        <v>871</v>
      </c>
      <c r="AL117" s="158">
        <f>AJ117</f>
        <v>0.55000000000000004</v>
      </c>
      <c r="AM117" s="155"/>
      <c r="AN117" s="155"/>
      <c r="AO117" s="155"/>
      <c r="AP117" s="155"/>
      <c r="AQ117" s="155"/>
      <c r="AR117" s="155"/>
      <c r="AS117" s="155"/>
    </row>
    <row r="118" spans="1:45" ht="12.6" customHeight="1" x14ac:dyDescent="0.3">
      <c r="A118" s="107"/>
      <c r="B118" s="107"/>
      <c r="C118" s="107"/>
      <c r="D118" s="107"/>
      <c r="E118" s="107"/>
      <c r="F118" s="107"/>
      <c r="G118" s="17" t="s">
        <v>848</v>
      </c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</row>
    <row r="119" spans="1:45" ht="12.6" customHeight="1" x14ac:dyDescent="0.3">
      <c r="A119" s="84"/>
      <c r="B119" s="41" t="str">
        <f>" Cm = "&amp;Z119&amp;" sec (135˚) , E = "&amp;AD119&amp;""</f>
        <v xml:space="preserve"> Cm = 18 sec (135˚) , E = 0.45</v>
      </c>
      <c r="C119" s="107"/>
      <c r="D119" s="107"/>
      <c r="E119" s="107"/>
      <c r="F119" s="107"/>
      <c r="G119" s="17" t="s">
        <v>889</v>
      </c>
      <c r="Z119" s="157">
        <v>18</v>
      </c>
      <c r="AA119" s="34" t="s">
        <v>871</v>
      </c>
      <c r="AB119" s="158">
        <f>Z119</f>
        <v>18</v>
      </c>
      <c r="AC119" s="159" t="s">
        <v>872</v>
      </c>
      <c r="AD119" s="156">
        <v>0.45</v>
      </c>
      <c r="AE119" s="34" t="s">
        <v>871</v>
      </c>
      <c r="AF119" s="158">
        <f>AD119</f>
        <v>0.45</v>
      </c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</row>
    <row r="120" spans="1:45" ht="12.6" customHeight="1" x14ac:dyDescent="0.3">
      <c r="A120" s="107"/>
      <c r="B120" s="107"/>
      <c r="C120" s="107"/>
      <c r="D120" s="107"/>
      <c r="E120" s="107"/>
      <c r="F120" s="107"/>
      <c r="G120" s="17" t="s">
        <v>848</v>
      </c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</row>
    <row r="121" spans="1:45" ht="12.6" customHeight="1" x14ac:dyDescent="0.3">
      <c r="A121" s="84"/>
      <c r="B121" s="41" t="str">
        <f>" Q = "&amp;Z121&amp;"*q*K*f*E/Cm = "&amp;AL121&amp;" m3/hr "</f>
        <v xml:space="preserve"> Q = 3600*q*K*f*E/Cm = 8.81 m3/hr </v>
      </c>
      <c r="C121" s="107"/>
      <c r="D121" s="107"/>
      <c r="E121" s="107"/>
      <c r="F121" s="107"/>
      <c r="G121" s="17" t="s">
        <v>874</v>
      </c>
      <c r="Z121" s="157">
        <v>3600</v>
      </c>
      <c r="AA121" s="34" t="s">
        <v>876</v>
      </c>
      <c r="AB121" s="158">
        <f>AB117</f>
        <v>0.2</v>
      </c>
      <c r="AC121" s="34" t="s">
        <v>876</v>
      </c>
      <c r="AD121" s="158">
        <f>AL117</f>
        <v>0.55000000000000004</v>
      </c>
      <c r="AE121" s="34" t="s">
        <v>876</v>
      </c>
      <c r="AF121" s="158" t="str">
        <f>AH117</f>
        <v>0.89</v>
      </c>
      <c r="AG121" s="34" t="s">
        <v>876</v>
      </c>
      <c r="AH121" s="158">
        <f>AF119</f>
        <v>0.45</v>
      </c>
      <c r="AI121" s="34" t="s">
        <v>873</v>
      </c>
      <c r="AJ121" s="158">
        <f>AB119</f>
        <v>18</v>
      </c>
      <c r="AK121" s="34" t="s">
        <v>871</v>
      </c>
      <c r="AL121" s="158" t="str">
        <f>TEXT(ROUND(Z121*AB117*AL117*AH117*AF119/AB119,2),"#,0.00")</f>
        <v>8.81</v>
      </c>
      <c r="AM121" s="155"/>
      <c r="AN121" s="155"/>
      <c r="AO121" s="155"/>
      <c r="AP121" s="155"/>
      <c r="AQ121" s="155"/>
      <c r="AR121" s="155"/>
      <c r="AS121" s="155"/>
    </row>
    <row r="122" spans="1:45" ht="12.6" customHeight="1" x14ac:dyDescent="0.3">
      <c r="A122" s="107"/>
      <c r="B122" s="107"/>
      <c r="C122" s="107"/>
      <c r="D122" s="107"/>
      <c r="E122" s="107"/>
      <c r="F122" s="107"/>
      <c r="G122" s="17" t="s">
        <v>848</v>
      </c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</row>
    <row r="123" spans="1:45" ht="12.6" customHeight="1" x14ac:dyDescent="0.3">
      <c r="A123" s="84" t="s">
        <v>877</v>
      </c>
      <c r="B123" s="146" t="str">
        <f>" 노 무 비  : "&amp;TEXT(I123,"#,##0"&amp;IF(I123&lt;&gt;INT(I123),".###",""))&amp;" / Q  = "&amp;TEXT(C123,"#,##0.0")&amp;""</f>
        <v xml:space="preserve"> 노 무 비  : 57,077 / Q  = 6,478.6</v>
      </c>
      <c r="C123" s="148">
        <f>E123+D123+F123</f>
        <v>6478.6</v>
      </c>
      <c r="D123" s="148">
        <f>IF(H123=0,0,ROUNDDOWN(J123*H123,1))</f>
        <v>6478.6</v>
      </c>
      <c r="E123" s="148">
        <f>IF(H123=0,0,ROUNDDOWN(K123*H123,1))</f>
        <v>0</v>
      </c>
      <c r="F123" s="148">
        <f>IF(H123=0,0,ROUNDDOWN(L123*H123,1))</f>
        <v>0</v>
      </c>
      <c r="G123" s="17" t="s">
        <v>875</v>
      </c>
      <c r="H123" s="152">
        <f>ROUNDUP(AC123,14-LEN(ABS(INT(AC123))))</f>
        <v>0.1135073779796</v>
      </c>
      <c r="I123" s="153">
        <f>K123+J123+L123</f>
        <v>57077</v>
      </c>
      <c r="J123" s="37">
        <f>중기목록표!F6</f>
        <v>57077</v>
      </c>
      <c r="M123" s="34" t="s">
        <v>878</v>
      </c>
      <c r="N123" s="34" t="s">
        <v>886</v>
      </c>
      <c r="X123" s="154" t="str">
        <f>중기목록표!B6&amp;" / "&amp;중기목록표!C6</f>
        <v>굴착기(무한궤도) / 0.2㎥,(암석)</v>
      </c>
      <c r="Y123" s="3" t="str">
        <f ca="1">HYPERLINK("#"&amp;중기목록표!J2&amp;"!A"&amp;ROW(중기목록표!A6),"X00007 →")</f>
        <v>X00007 →</v>
      </c>
      <c r="Z123" s="34" t="s">
        <v>879</v>
      </c>
      <c r="AA123" s="158" t="str">
        <f>AL121</f>
        <v>8.81</v>
      </c>
      <c r="AB123" s="34" t="s">
        <v>871</v>
      </c>
      <c r="AC123" s="158">
        <f>1/AL121</f>
        <v>0.11350737797956867</v>
      </c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</row>
    <row r="124" spans="1:45" ht="12.6" customHeight="1" x14ac:dyDescent="0.3">
      <c r="A124" s="107"/>
      <c r="B124" s="107"/>
      <c r="C124" s="107"/>
      <c r="D124" s="107"/>
      <c r="E124" s="107"/>
      <c r="F124" s="107"/>
      <c r="G124" s="17" t="s">
        <v>848</v>
      </c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</row>
    <row r="125" spans="1:45" ht="12.6" customHeight="1" x14ac:dyDescent="0.3">
      <c r="A125" s="84" t="s">
        <v>881</v>
      </c>
      <c r="B125" s="146" t="str">
        <f>" 재 료 비  : "&amp;TEXT(I125,"#,##0"&amp;IF(I125&lt;&gt;INT(I125),".###",""))&amp;" / Q  = "&amp;TEXT(C125,"#,##0.0")&amp;""</f>
        <v xml:space="preserve"> 재 료 비  : 7,629 / Q  = 865.9</v>
      </c>
      <c r="C125" s="148">
        <f>E125+D125+F125</f>
        <v>865.9</v>
      </c>
      <c r="D125" s="148">
        <f>IF(H125=0,0,ROUNDDOWN(J125*H125,1))</f>
        <v>0</v>
      </c>
      <c r="E125" s="148">
        <f>IF(H125=0,0,ROUNDDOWN(K125*H125,1))</f>
        <v>865.9</v>
      </c>
      <c r="F125" s="148">
        <f>IF(H125=0,0,ROUNDDOWN(L125*H125,1))</f>
        <v>0</v>
      </c>
      <c r="G125" s="17" t="s">
        <v>880</v>
      </c>
      <c r="H125" s="152">
        <f>ROUNDUP(AC125,14-LEN(ABS(INT(AC125))))</f>
        <v>0.1135073779796</v>
      </c>
      <c r="I125" s="153">
        <f>K125+J125+L125</f>
        <v>7629</v>
      </c>
      <c r="K125" s="37">
        <f>중기목록표!G6</f>
        <v>7629</v>
      </c>
      <c r="M125" s="34" t="s">
        <v>878</v>
      </c>
      <c r="N125" s="34" t="s">
        <v>886</v>
      </c>
      <c r="X125" s="154" t="str">
        <f>중기목록표!B6&amp;" / "&amp;중기목록표!C6</f>
        <v>굴착기(무한궤도) / 0.2㎥,(암석)</v>
      </c>
      <c r="Y125" s="3" t="str">
        <f ca="1">HYPERLINK("#"&amp;중기목록표!J2&amp;"!A"&amp;ROW(중기목록표!A6),"X00007 →")</f>
        <v>X00007 →</v>
      </c>
      <c r="Z125" s="34" t="s">
        <v>879</v>
      </c>
      <c r="AA125" s="158" t="str">
        <f>AL121</f>
        <v>8.81</v>
      </c>
      <c r="AB125" s="34" t="s">
        <v>871</v>
      </c>
      <c r="AC125" s="158">
        <f>1/AL121</f>
        <v>0.11350737797956867</v>
      </c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</row>
    <row r="126" spans="1:45" ht="12.6" customHeight="1" x14ac:dyDescent="0.3">
      <c r="A126" s="107"/>
      <c r="B126" s="107"/>
      <c r="C126" s="107"/>
      <c r="D126" s="107"/>
      <c r="E126" s="107"/>
      <c r="F126" s="107"/>
      <c r="G126" s="17" t="s">
        <v>848</v>
      </c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</row>
    <row r="127" spans="1:45" ht="12.6" customHeight="1" x14ac:dyDescent="0.3">
      <c r="A127" s="84" t="s">
        <v>883</v>
      </c>
      <c r="B127" s="146" t="str">
        <f>" 경    비  : "&amp;TEXT(I127,"#,##0"&amp;IF(I127&lt;&gt;INT(I127),".###",""))&amp;" / Q  = "&amp;TEXT(C127,"#,##0.0")&amp;""</f>
        <v xml:space="preserve"> 경    비  : 15,456 / Q  = 1,754.3</v>
      </c>
      <c r="C127" s="148">
        <f>E127+D127+F127</f>
        <v>1754.3</v>
      </c>
      <c r="D127" s="148">
        <f>IF(H127=0,0,ROUNDDOWN(J127*H127,1))</f>
        <v>0</v>
      </c>
      <c r="E127" s="148">
        <f>IF(H127=0,0,ROUNDDOWN(K127*H127,1))</f>
        <v>0</v>
      </c>
      <c r="F127" s="148">
        <f>IF(H127=0,0,ROUNDDOWN(L127*H127,1))</f>
        <v>1754.3</v>
      </c>
      <c r="G127" s="17" t="s">
        <v>882</v>
      </c>
      <c r="H127" s="152">
        <f>ROUNDUP(AC127,14-LEN(ABS(INT(AC127))))</f>
        <v>0.1135073779796</v>
      </c>
      <c r="I127" s="153">
        <f>K127+J127+L127</f>
        <v>15456</v>
      </c>
      <c r="L127" s="37">
        <f>중기목록표!H6</f>
        <v>15456</v>
      </c>
      <c r="M127" s="34" t="s">
        <v>878</v>
      </c>
      <c r="N127" s="34" t="s">
        <v>886</v>
      </c>
      <c r="X127" s="154" t="str">
        <f>중기목록표!B6&amp;" / "&amp;중기목록표!C6</f>
        <v>굴착기(무한궤도) / 0.2㎥,(암석)</v>
      </c>
      <c r="Y127" s="3" t="str">
        <f ca="1">HYPERLINK("#"&amp;중기목록표!J2&amp;"!A"&amp;ROW(중기목록표!A6),"X00007 →")</f>
        <v>X00007 →</v>
      </c>
      <c r="Z127" s="34" t="s">
        <v>879</v>
      </c>
      <c r="AA127" s="158" t="str">
        <f>AL121</f>
        <v>8.81</v>
      </c>
      <c r="AB127" s="34" t="s">
        <v>871</v>
      </c>
      <c r="AC127" s="158">
        <f>1/AL121</f>
        <v>0.11350737797956867</v>
      </c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</row>
    <row r="128" spans="1:45" ht="12.6" customHeight="1" x14ac:dyDescent="0.3">
      <c r="A128" s="107"/>
      <c r="B128" s="107"/>
      <c r="C128" s="107"/>
      <c r="D128" s="107"/>
      <c r="E128" s="107"/>
      <c r="F128" s="107"/>
      <c r="G128" s="17" t="s">
        <v>848</v>
      </c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</row>
    <row r="129" spans="1:45" ht="12.6" customHeight="1" x14ac:dyDescent="0.3">
      <c r="A129" s="84"/>
      <c r="B129" s="41" t="s">
        <v>885</v>
      </c>
      <c r="C129" s="149">
        <f>E129+D129+F129</f>
        <v>9098.7999999999993</v>
      </c>
      <c r="D129" s="149">
        <f>SUMIF(N113:N128,M129,D113:D128)</f>
        <v>6478.6</v>
      </c>
      <c r="E129" s="149">
        <f>SUMIF(N113:N128,M129,E113:E128)</f>
        <v>865.9</v>
      </c>
      <c r="F129" s="149">
        <f>SUMIF(N113:N128,M129,F113:F128)</f>
        <v>1754.3</v>
      </c>
      <c r="G129" s="17" t="s">
        <v>884</v>
      </c>
      <c r="M129" s="34" t="s">
        <v>886</v>
      </c>
      <c r="N129" s="34" t="s">
        <v>891</v>
      </c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</row>
    <row r="130" spans="1:45" ht="12.6" customHeight="1" x14ac:dyDescent="0.3">
      <c r="A130" s="107"/>
      <c r="B130" s="107"/>
      <c r="C130" s="147"/>
      <c r="D130" s="147"/>
      <c r="E130" s="147"/>
      <c r="F130" s="147"/>
      <c r="G130" s="17" t="s">
        <v>848</v>
      </c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</row>
    <row r="131" spans="1:45" ht="12.6" customHeight="1" x14ac:dyDescent="0.3">
      <c r="A131" s="84"/>
      <c r="B131" s="41" t="s">
        <v>769</v>
      </c>
      <c r="C131" s="149">
        <f>E131+D131+F131</f>
        <v>20801.199999999997</v>
      </c>
      <c r="D131" s="149">
        <f>SUMIF(N77:N130,M131,D77:D130)</f>
        <v>14811</v>
      </c>
      <c r="E131" s="149">
        <f>SUMIF(N77:N130,M131,E77:E130)</f>
        <v>1979.6</v>
      </c>
      <c r="F131" s="149">
        <f>SUMIF(N77:N130,M131,F77:F130)</f>
        <v>4010.6000000000004</v>
      </c>
      <c r="G131" s="17" t="s">
        <v>890</v>
      </c>
      <c r="M131" s="34" t="s">
        <v>891</v>
      </c>
      <c r="N131" s="34" t="s">
        <v>768</v>
      </c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</row>
    <row r="132" spans="1:45" ht="12.6" customHeight="1" x14ac:dyDescent="0.3">
      <c r="A132" s="107"/>
      <c r="B132" s="107"/>
      <c r="C132" s="147"/>
      <c r="D132" s="147"/>
      <c r="E132" s="147"/>
      <c r="F132" s="147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</row>
    <row r="133" spans="1:45" ht="12.6" customHeight="1" x14ac:dyDescent="0.3">
      <c r="A133" s="107"/>
      <c r="B133" s="107"/>
      <c r="C133" s="107"/>
      <c r="D133" s="107"/>
      <c r="E133" s="107"/>
      <c r="F133" s="107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</row>
    <row r="134" spans="1:45" ht="12.6" customHeight="1" x14ac:dyDescent="0.3">
      <c r="A134" s="107"/>
      <c r="B134" s="107"/>
      <c r="C134" s="107"/>
      <c r="D134" s="107"/>
      <c r="E134" s="107"/>
      <c r="F134" s="107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</row>
    <row r="135" spans="1:45" ht="12.6" customHeight="1" x14ac:dyDescent="0.3">
      <c r="A135" s="107"/>
      <c r="B135" s="107"/>
      <c r="C135" s="107"/>
      <c r="D135" s="107"/>
      <c r="E135" s="107"/>
      <c r="F135" s="107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</row>
    <row r="136" spans="1:45" ht="12.6" customHeight="1" x14ac:dyDescent="0.3">
      <c r="A136" s="107"/>
      <c r="B136" s="107"/>
      <c r="C136" s="107"/>
      <c r="D136" s="107"/>
      <c r="E136" s="107"/>
      <c r="F136" s="107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</row>
    <row r="137" spans="1:45" ht="12.6" customHeight="1" x14ac:dyDescent="0.3">
      <c r="A137" s="107"/>
      <c r="B137" s="107"/>
      <c r="C137" s="107"/>
      <c r="D137" s="107"/>
      <c r="E137" s="107"/>
      <c r="F137" s="107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</row>
    <row r="138" spans="1:45" ht="12.6" customHeight="1" x14ac:dyDescent="0.3">
      <c r="A138" s="107"/>
      <c r="B138" s="107"/>
      <c r="C138" s="107"/>
      <c r="D138" s="107"/>
      <c r="E138" s="107"/>
      <c r="F138" s="107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</row>
    <row r="139" spans="1:45" ht="12.6" customHeight="1" x14ac:dyDescent="0.3">
      <c r="A139" s="107"/>
      <c r="B139" s="107"/>
      <c r="C139" s="107"/>
      <c r="D139" s="107"/>
      <c r="E139" s="107"/>
      <c r="F139" s="107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</row>
    <row r="140" spans="1:45" ht="12.6" customHeight="1" x14ac:dyDescent="0.3">
      <c r="A140" s="107"/>
      <c r="B140" s="107"/>
      <c r="C140" s="107"/>
      <c r="D140" s="107"/>
      <c r="E140" s="107"/>
      <c r="F140" s="107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</row>
    <row r="141" spans="1:45" ht="12.6" customHeight="1" x14ac:dyDescent="0.3">
      <c r="A141" s="123"/>
      <c r="B141" s="123"/>
      <c r="C141" s="123"/>
      <c r="D141" s="123"/>
      <c r="E141" s="123"/>
      <c r="F141" s="123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</row>
    <row r="142" spans="1:45" ht="12.6" customHeight="1" x14ac:dyDescent="0.3">
      <c r="A142" s="193" t="s">
        <v>769</v>
      </c>
      <c r="B142" s="194"/>
      <c r="C142" s="99">
        <f>E142+D142+F142</f>
        <v>20800</v>
      </c>
      <c r="D142" s="121">
        <f>ROUNDDOWN(SUMIF(N77:N131,M142,D77:D131),0)</f>
        <v>14811</v>
      </c>
      <c r="E142" s="120">
        <f>ROUNDDOWN(SUMIF(N77:N131,M142,E77:E131),0)</f>
        <v>1979</v>
      </c>
      <c r="F142" s="99">
        <f>ROUNDDOWN(SUMIF(N77:N131,M142,F77:F131),0)</f>
        <v>4010</v>
      </c>
      <c r="M142" s="34" t="s">
        <v>768</v>
      </c>
      <c r="N142" s="34" t="s">
        <v>770</v>
      </c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</row>
    <row r="143" spans="1:45" ht="12.6" customHeight="1" x14ac:dyDescent="0.3">
      <c r="A143" s="193" t="s">
        <v>893</v>
      </c>
      <c r="B143" s="194"/>
      <c r="C143" s="99">
        <f>E143+D143+F143</f>
        <v>18302</v>
      </c>
      <c r="D143" s="121">
        <f>ROUNDDOWN(D142*H143/100,0)</f>
        <v>13033</v>
      </c>
      <c r="E143" s="120">
        <f>ROUNDDOWN(E142*H143/100,0)</f>
        <v>1741</v>
      </c>
      <c r="F143" s="99">
        <f>ROUNDDOWN(F142*H143/100,0)</f>
        <v>3528</v>
      </c>
      <c r="H143" s="35">
        <v>88</v>
      </c>
      <c r="M143" s="34" t="s">
        <v>770</v>
      </c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</row>
    <row r="144" spans="1:45" ht="12.6" customHeight="1" x14ac:dyDescent="0.3">
      <c r="A144" s="144" t="s">
        <v>55</v>
      </c>
      <c r="B144" s="145" t="s">
        <v>55</v>
      </c>
      <c r="C144" s="232">
        <f>C177</f>
        <v>8127</v>
      </c>
      <c r="D144" s="232">
        <f>D177</f>
        <v>6783</v>
      </c>
      <c r="E144" s="232">
        <f>E177</f>
        <v>487</v>
      </c>
      <c r="F144" s="232">
        <f>F177</f>
        <v>857</v>
      </c>
      <c r="G144" s="141" t="str">
        <f>HYPERLINK("#G"&amp;ROW(G173),"_x0005_`BDCOD|D01426_x0007_`POSS|"&amp;ROW(G146)&amp;"_x0007_`POSE|"&amp;ROW(G173)&amp;"_x0007_`")</f>
        <v>_x0005_`BDCOD|D01426_x0007_`POSS|146_x0007_`POSE|173_x0007_`</v>
      </c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</row>
    <row r="145" spans="1:45" ht="12.6" customHeight="1" x14ac:dyDescent="0.3">
      <c r="A145" s="124"/>
      <c r="B145" s="145" t="s">
        <v>54</v>
      </c>
      <c r="C145" s="189"/>
      <c r="D145" s="189"/>
      <c r="E145" s="189"/>
      <c r="F145" s="189"/>
      <c r="M145" s="34" t="s">
        <v>894</v>
      </c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</row>
    <row r="146" spans="1:45" ht="12.6" customHeight="1" x14ac:dyDescent="0.3">
      <c r="A146" s="84"/>
      <c r="B146" s="41" t="s">
        <v>896</v>
      </c>
      <c r="C146" s="147"/>
      <c r="D146" s="147"/>
      <c r="E146" s="147"/>
      <c r="F146" s="147"/>
      <c r="G146" s="17" t="s">
        <v>895</v>
      </c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</row>
    <row r="147" spans="1:45" ht="12.6" customHeight="1" x14ac:dyDescent="0.3">
      <c r="A147" s="107"/>
      <c r="B147" s="107"/>
      <c r="C147" s="107"/>
      <c r="D147" s="107"/>
      <c r="E147" s="107"/>
      <c r="F147" s="107"/>
      <c r="G147" s="17" t="s">
        <v>848</v>
      </c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</row>
    <row r="148" spans="1:45" ht="12.6" customHeight="1" x14ac:dyDescent="0.3">
      <c r="A148" s="84"/>
      <c r="B148" s="41" t="s">
        <v>898</v>
      </c>
      <c r="C148" s="107"/>
      <c r="D148" s="107"/>
      <c r="E148" s="107"/>
      <c r="F148" s="107"/>
      <c r="G148" s="17" t="s">
        <v>897</v>
      </c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</row>
    <row r="149" spans="1:45" ht="12.6" customHeight="1" x14ac:dyDescent="0.3">
      <c r="A149" s="107"/>
      <c r="B149" s="107"/>
      <c r="C149" s="107"/>
      <c r="D149" s="107"/>
      <c r="E149" s="107"/>
      <c r="F149" s="107"/>
      <c r="G149" s="17" t="s">
        <v>848</v>
      </c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</row>
    <row r="150" spans="1:45" ht="12.6" customHeight="1" x14ac:dyDescent="0.3">
      <c r="A150" s="84"/>
      <c r="B150" s="41" t="s">
        <v>900</v>
      </c>
      <c r="C150" s="107"/>
      <c r="D150" s="107"/>
      <c r="E150" s="107"/>
      <c r="F150" s="107"/>
      <c r="G150" s="17" t="s">
        <v>899</v>
      </c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</row>
    <row r="151" spans="1:45" ht="12.6" customHeight="1" x14ac:dyDescent="0.3">
      <c r="A151" s="107"/>
      <c r="B151" s="107"/>
      <c r="C151" s="107"/>
      <c r="D151" s="107"/>
      <c r="E151" s="107"/>
      <c r="F151" s="107"/>
      <c r="G151" s="17" t="s">
        <v>848</v>
      </c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</row>
    <row r="152" spans="1:45" ht="12.6" customHeight="1" x14ac:dyDescent="0.3">
      <c r="A152" s="84"/>
      <c r="B152" s="41" t="s">
        <v>902</v>
      </c>
      <c r="C152" s="107"/>
      <c r="D152" s="107"/>
      <c r="E152" s="107"/>
      <c r="F152" s="107"/>
      <c r="G152" s="17" t="s">
        <v>901</v>
      </c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</row>
    <row r="153" spans="1:45" ht="12.6" customHeight="1" x14ac:dyDescent="0.3">
      <c r="A153" s="107"/>
      <c r="B153" s="107"/>
      <c r="C153" s="107"/>
      <c r="D153" s="107"/>
      <c r="E153" s="107"/>
      <c r="F153" s="107"/>
      <c r="G153" s="17" t="s">
        <v>848</v>
      </c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</row>
    <row r="154" spans="1:45" ht="12.6" customHeight="1" x14ac:dyDescent="0.3">
      <c r="A154" s="84" t="s">
        <v>904</v>
      </c>
      <c r="B154" s="146" t="str">
        <f>" 특별인부 : "&amp;TEXT(I154,"#,##0"&amp;IF(I154&lt;&gt;INT(I154),".###",""))&amp;" * "&amp;AA154&amp;" / "&amp;AC154&amp;" = "&amp;TEXT(C154,"#,##0.0")&amp;""</f>
        <v xml:space="preserve"> 특별인부 : 221,506 * 1 / 110 = 2,013.6</v>
      </c>
      <c r="C154" s="148">
        <f>E154+D154+F154</f>
        <v>2013.6</v>
      </c>
      <c r="D154" s="148">
        <f>IF(H154=0,0,ROUNDDOWN(J154*H154,1))</f>
        <v>2013.6</v>
      </c>
      <c r="E154" s="148">
        <f>IF(H154=0,0,ROUNDDOWN(K154*H154,1))</f>
        <v>0</v>
      </c>
      <c r="F154" s="148">
        <f>IF(H154=0,0,ROUNDDOWN(L154*H154,1))</f>
        <v>0</v>
      </c>
      <c r="G154" s="17" t="s">
        <v>903</v>
      </c>
      <c r="H154" s="152">
        <f>ROUNDUP(AE154,14-LEN(ABS(INT(AE154))))</f>
        <v>9.0909090910000004E-3</v>
      </c>
      <c r="I154" s="153">
        <f>K154+J154+L154</f>
        <v>221506</v>
      </c>
      <c r="J154" s="37">
        <f>노무비목록표!E5</f>
        <v>221506</v>
      </c>
      <c r="M154" s="34" t="s">
        <v>905</v>
      </c>
      <c r="N154" s="34" t="s">
        <v>886</v>
      </c>
      <c r="O154" s="34" t="s">
        <v>793</v>
      </c>
      <c r="X154" s="154" t="str">
        <f>노무비목록표!B5&amp;" / "&amp;노무비목록표!C5</f>
        <v xml:space="preserve">특별인부 / </v>
      </c>
      <c r="Y154" s="3" t="str">
        <f ca="1">HYPERLINK("#"&amp;노무비목록표!G2&amp;"!A"&amp;ROW(노무비목록표!A5),"L00003 →")</f>
        <v>L00003 →</v>
      </c>
      <c r="Z154" s="34" t="s">
        <v>906</v>
      </c>
      <c r="AA154" s="157">
        <v>1</v>
      </c>
      <c r="AB154" s="34" t="s">
        <v>873</v>
      </c>
      <c r="AC154" s="157">
        <v>110</v>
      </c>
      <c r="AD154" s="34" t="s">
        <v>871</v>
      </c>
      <c r="AE154" s="158">
        <f>1*AA154/AC154</f>
        <v>9.0909090909090905E-3</v>
      </c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</row>
    <row r="155" spans="1:45" ht="12.6" customHeight="1" x14ac:dyDescent="0.3">
      <c r="A155" s="107"/>
      <c r="B155" s="107"/>
      <c r="C155" s="107"/>
      <c r="D155" s="107"/>
      <c r="E155" s="107"/>
      <c r="F155" s="107"/>
      <c r="G155" s="17" t="s">
        <v>848</v>
      </c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</row>
    <row r="156" spans="1:45" ht="12.6" customHeight="1" x14ac:dyDescent="0.3">
      <c r="A156" s="84" t="s">
        <v>908</v>
      </c>
      <c r="B156" s="146" t="str">
        <f>" 보통인부 : "&amp;TEXT(I156,"#,##0"&amp;IF(I156&lt;&gt;INT(I156),".###",""))&amp;" * "&amp;AA156&amp;" / "&amp;AC156&amp;" = "&amp;TEXT(C156,"#,##0.0")&amp;""</f>
        <v xml:space="preserve"> 보통인부 : 169,804 * 1 / 110 = 1,543.6</v>
      </c>
      <c r="C156" s="148">
        <f>E156+D156+F156</f>
        <v>1543.6</v>
      </c>
      <c r="D156" s="148">
        <f>IF(H156=0,0,ROUNDDOWN(J156*H156,1))</f>
        <v>1543.6</v>
      </c>
      <c r="E156" s="148">
        <f>IF(H156=0,0,ROUNDDOWN(K156*H156,1))</f>
        <v>0</v>
      </c>
      <c r="F156" s="148">
        <f>IF(H156=0,0,ROUNDDOWN(L156*H156,1))</f>
        <v>0</v>
      </c>
      <c r="G156" s="17" t="s">
        <v>907</v>
      </c>
      <c r="H156" s="152">
        <f>ROUNDUP(AE156,14-LEN(ABS(INT(AE156))))</f>
        <v>9.0909090910000004E-3</v>
      </c>
      <c r="I156" s="153">
        <f>K156+J156+L156</f>
        <v>169804</v>
      </c>
      <c r="J156" s="37">
        <f>노무비목록표!E4</f>
        <v>169804</v>
      </c>
      <c r="M156" s="34" t="s">
        <v>763</v>
      </c>
      <c r="N156" s="34" t="s">
        <v>886</v>
      </c>
      <c r="O156" s="34" t="s">
        <v>793</v>
      </c>
      <c r="X156" s="154" t="str">
        <f>노무비목록표!B4&amp;" / "&amp;노무비목록표!C4</f>
        <v xml:space="preserve">보통인부 / </v>
      </c>
      <c r="Y156" s="3" t="str">
        <f ca="1">HYPERLINK("#"&amp;노무비목록표!G2&amp;"!A"&amp;ROW(노무비목록표!A4),"L00002 →")</f>
        <v>L00002 →</v>
      </c>
      <c r="Z156" s="34" t="s">
        <v>906</v>
      </c>
      <c r="AA156" s="157">
        <v>1</v>
      </c>
      <c r="AB156" s="34" t="s">
        <v>873</v>
      </c>
      <c r="AC156" s="157">
        <v>110</v>
      </c>
      <c r="AD156" s="34" t="s">
        <v>871</v>
      </c>
      <c r="AE156" s="158">
        <f>1*AA156/AC156</f>
        <v>9.0909090909090905E-3</v>
      </c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</row>
    <row r="157" spans="1:45" ht="12.6" customHeight="1" x14ac:dyDescent="0.3">
      <c r="A157" s="107"/>
      <c r="B157" s="107"/>
      <c r="C157" s="107"/>
      <c r="D157" s="107"/>
      <c r="E157" s="107"/>
      <c r="F157" s="107"/>
      <c r="G157" s="17" t="s">
        <v>848</v>
      </c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</row>
    <row r="158" spans="1:45" ht="12.6" customHeight="1" x14ac:dyDescent="0.3">
      <c r="A158" s="84"/>
      <c r="B158" s="41" t="s">
        <v>885</v>
      </c>
      <c r="C158" s="149">
        <f>E158+D158+F158</f>
        <v>3557.2</v>
      </c>
      <c r="D158" s="149">
        <f>SUMIF(N146:N157,M158,D146:D157)</f>
        <v>3557.2</v>
      </c>
      <c r="E158" s="149">
        <f>SUMIF(N146:N157,M158,E146:E157)</f>
        <v>0</v>
      </c>
      <c r="F158" s="149">
        <f>SUMIF(N146:N157,M158,F146:F157)</f>
        <v>0</v>
      </c>
      <c r="G158" s="17" t="s">
        <v>884</v>
      </c>
      <c r="M158" s="34" t="s">
        <v>886</v>
      </c>
      <c r="N158" s="34" t="s">
        <v>891</v>
      </c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</row>
    <row r="159" spans="1:45" ht="12.6" customHeight="1" x14ac:dyDescent="0.3">
      <c r="A159" s="107"/>
      <c r="B159" s="107"/>
      <c r="C159" s="147"/>
      <c r="D159" s="147"/>
      <c r="E159" s="147"/>
      <c r="F159" s="147"/>
      <c r="G159" s="17" t="s">
        <v>848</v>
      </c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</row>
    <row r="160" spans="1:45" ht="12.6" customHeight="1" x14ac:dyDescent="0.3">
      <c r="A160" s="107"/>
      <c r="B160" s="107"/>
      <c r="C160" s="107"/>
      <c r="D160" s="107"/>
      <c r="E160" s="107"/>
      <c r="F160" s="107"/>
      <c r="G160" s="17" t="s">
        <v>848</v>
      </c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</row>
    <row r="161" spans="1:45" ht="12.6" customHeight="1" x14ac:dyDescent="0.3">
      <c r="A161" s="84"/>
      <c r="B161" s="41" t="s">
        <v>910</v>
      </c>
      <c r="C161" s="107"/>
      <c r="D161" s="107"/>
      <c r="E161" s="107"/>
      <c r="F161" s="107"/>
      <c r="G161" s="17" t="s">
        <v>909</v>
      </c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</row>
    <row r="162" spans="1:45" ht="12.6" customHeight="1" x14ac:dyDescent="0.3">
      <c r="A162" s="107"/>
      <c r="B162" s="107"/>
      <c r="C162" s="107"/>
      <c r="D162" s="107"/>
      <c r="E162" s="107"/>
      <c r="F162" s="107"/>
      <c r="G162" s="17" t="s">
        <v>848</v>
      </c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</row>
    <row r="163" spans="1:45" ht="12.6" customHeight="1" x14ac:dyDescent="0.3">
      <c r="A163" s="84"/>
      <c r="B163" s="41" t="str">
        <f>" Q = "&amp;Z163&amp;" m3/일 "</f>
        <v xml:space="preserve"> Q = 110 m3/일 </v>
      </c>
      <c r="C163" s="107"/>
      <c r="D163" s="107"/>
      <c r="E163" s="107"/>
      <c r="F163" s="107"/>
      <c r="G163" s="17" t="s">
        <v>911</v>
      </c>
      <c r="Z163" s="157">
        <v>110</v>
      </c>
      <c r="AA163" s="34" t="s">
        <v>871</v>
      </c>
      <c r="AB163" s="158">
        <f>Z163</f>
        <v>110</v>
      </c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</row>
    <row r="164" spans="1:45" ht="12.6" customHeight="1" x14ac:dyDescent="0.3">
      <c r="A164" s="107"/>
      <c r="B164" s="107"/>
      <c r="C164" s="107"/>
      <c r="D164" s="107"/>
      <c r="E164" s="107"/>
      <c r="F164" s="107"/>
      <c r="G164" s="17" t="s">
        <v>848</v>
      </c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</row>
    <row r="165" spans="1:45" ht="12.6" customHeight="1" x14ac:dyDescent="0.3">
      <c r="A165" s="84" t="s">
        <v>913</v>
      </c>
      <c r="B165" s="146" t="str">
        <f>" 노 무 비 :  "&amp;TEXT(I165,"#,##0"&amp;IF(I165&lt;&gt;INT(I165),".###",""))&amp;" * "&amp;AA165&amp;" / Q = "&amp;TEXT(C165,"#,##0.0")&amp;""</f>
        <v xml:space="preserve"> 노 무 비 :  57,077 * 8 / Q = 4,151.0</v>
      </c>
      <c r="C165" s="148">
        <f>E165+D165+F165</f>
        <v>4151</v>
      </c>
      <c r="D165" s="148">
        <f>IF(H165=0,0,ROUNDDOWN(J165*H165,1))</f>
        <v>4151</v>
      </c>
      <c r="E165" s="148">
        <f>IF(H165=0,0,ROUNDDOWN(K165*H165,1))</f>
        <v>0</v>
      </c>
      <c r="F165" s="148">
        <f>IF(H165=0,0,ROUNDDOWN(L165*H165,1))</f>
        <v>0</v>
      </c>
      <c r="G165" s="17" t="s">
        <v>912</v>
      </c>
      <c r="H165" s="152">
        <f>ROUNDUP(AE165,14-LEN(ABS(INT(AE165))))</f>
        <v>7.2727272727300007E-2</v>
      </c>
      <c r="I165" s="153">
        <f>K165+J165+L165</f>
        <v>57077</v>
      </c>
      <c r="J165" s="37">
        <f>중기목록표!F4</f>
        <v>57077</v>
      </c>
      <c r="M165" s="34" t="s">
        <v>914</v>
      </c>
      <c r="N165" s="34" t="s">
        <v>886</v>
      </c>
      <c r="X165" s="154" t="str">
        <f>중기목록표!B4&amp;" / "&amp;중기목록표!C4</f>
        <v>굴착기(무한궤도) / 0.2㎥</v>
      </c>
      <c r="Y165" s="3" t="str">
        <f ca="1">HYPERLINK("#"&amp;중기목록표!J2&amp;"!A"&amp;ROW(중기목록표!A4),"X00003 →")</f>
        <v>X00003 →</v>
      </c>
      <c r="Z165" s="34" t="s">
        <v>906</v>
      </c>
      <c r="AA165" s="157">
        <v>8</v>
      </c>
      <c r="AB165" s="34" t="s">
        <v>873</v>
      </c>
      <c r="AC165" s="158">
        <f>AB163</f>
        <v>110</v>
      </c>
      <c r="AD165" s="34" t="s">
        <v>871</v>
      </c>
      <c r="AE165" s="158">
        <f>1*AA165/AB163</f>
        <v>7.2727272727272724E-2</v>
      </c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</row>
    <row r="166" spans="1:45" ht="12.6" customHeight="1" x14ac:dyDescent="0.3">
      <c r="A166" s="107"/>
      <c r="B166" s="107"/>
      <c r="C166" s="107"/>
      <c r="D166" s="107"/>
      <c r="E166" s="107"/>
      <c r="F166" s="107"/>
      <c r="G166" s="17" t="s">
        <v>848</v>
      </c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</row>
    <row r="167" spans="1:45" ht="12.6" customHeight="1" x14ac:dyDescent="0.3">
      <c r="A167" s="84" t="s">
        <v>916</v>
      </c>
      <c r="B167" s="146" t="str">
        <f>" 재 료 비 :  "&amp;TEXT(I167,"#,##0"&amp;IF(I167&lt;&gt;INT(I167),".###",""))&amp;" * "&amp;AA167&amp;" / Q = "&amp;TEXT(C167,"#,##0.0")&amp;""</f>
        <v xml:space="preserve"> 재 료 비 :  7,629 * 8 / Q = 554.8</v>
      </c>
      <c r="C167" s="148">
        <f>E167+D167+F167</f>
        <v>554.79999999999995</v>
      </c>
      <c r="D167" s="148">
        <f>IF(H167=0,0,ROUNDDOWN(J167*H167,1))</f>
        <v>0</v>
      </c>
      <c r="E167" s="148">
        <f>IF(H167=0,0,ROUNDDOWN(K167*H167,1))</f>
        <v>554.79999999999995</v>
      </c>
      <c r="F167" s="148">
        <f>IF(H167=0,0,ROUNDDOWN(L167*H167,1))</f>
        <v>0</v>
      </c>
      <c r="G167" s="17" t="s">
        <v>915</v>
      </c>
      <c r="H167" s="152">
        <f>ROUNDUP(AE167,14-LEN(ABS(INT(AE167))))</f>
        <v>7.2727272727300007E-2</v>
      </c>
      <c r="I167" s="153">
        <f>K167+J167+L167</f>
        <v>7629</v>
      </c>
      <c r="K167" s="37">
        <f>중기목록표!G4</f>
        <v>7629</v>
      </c>
      <c r="M167" s="34" t="s">
        <v>914</v>
      </c>
      <c r="N167" s="34" t="s">
        <v>886</v>
      </c>
      <c r="X167" s="154" t="str">
        <f>중기목록표!B4&amp;" / "&amp;중기목록표!C4</f>
        <v>굴착기(무한궤도) / 0.2㎥</v>
      </c>
      <c r="Y167" s="3" t="str">
        <f ca="1">HYPERLINK("#"&amp;중기목록표!J2&amp;"!A"&amp;ROW(중기목록표!A4),"X00003 →")</f>
        <v>X00003 →</v>
      </c>
      <c r="Z167" s="34" t="s">
        <v>906</v>
      </c>
      <c r="AA167" s="157">
        <v>8</v>
      </c>
      <c r="AB167" s="34" t="s">
        <v>873</v>
      </c>
      <c r="AC167" s="158">
        <f>AB163</f>
        <v>110</v>
      </c>
      <c r="AD167" s="34" t="s">
        <v>871</v>
      </c>
      <c r="AE167" s="158">
        <f>1*AA167/AB163</f>
        <v>7.2727272727272724E-2</v>
      </c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</row>
    <row r="168" spans="1:45" ht="12.6" customHeight="1" x14ac:dyDescent="0.3">
      <c r="A168" s="107"/>
      <c r="B168" s="107"/>
      <c r="C168" s="107"/>
      <c r="D168" s="107"/>
      <c r="E168" s="107"/>
      <c r="F168" s="107"/>
      <c r="G168" s="17" t="s">
        <v>848</v>
      </c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</row>
    <row r="169" spans="1:45" ht="12.6" customHeight="1" x14ac:dyDescent="0.3">
      <c r="A169" s="84" t="s">
        <v>918</v>
      </c>
      <c r="B169" s="146" t="str">
        <f>" 경    비 :  "&amp;TEXT(I169,"#,##0"&amp;IF(I169&lt;&gt;INT(I169),".###",""))&amp;" * "&amp;AA169&amp;" / Q = "&amp;TEXT(C169,"#,##0.0")&amp;""</f>
        <v xml:space="preserve"> 경    비 :  13,399 * 8 / Q = 974.4</v>
      </c>
      <c r="C169" s="148">
        <f>E169+D169+F169</f>
        <v>974.4</v>
      </c>
      <c r="D169" s="148">
        <f>IF(H169=0,0,ROUNDDOWN(J169*H169,1))</f>
        <v>0</v>
      </c>
      <c r="E169" s="148">
        <f>IF(H169=0,0,ROUNDDOWN(K169*H169,1))</f>
        <v>0</v>
      </c>
      <c r="F169" s="148">
        <f>IF(H169=0,0,ROUNDDOWN(L169*H169,1))</f>
        <v>974.4</v>
      </c>
      <c r="G169" s="17" t="s">
        <v>917</v>
      </c>
      <c r="H169" s="152">
        <f>ROUNDUP(AE169,14-LEN(ABS(INT(AE169))))</f>
        <v>7.2727272727300007E-2</v>
      </c>
      <c r="I169" s="153">
        <f>K169+J169+L169</f>
        <v>13399</v>
      </c>
      <c r="L169" s="37">
        <f>중기목록표!H4</f>
        <v>13399</v>
      </c>
      <c r="M169" s="34" t="s">
        <v>914</v>
      </c>
      <c r="N169" s="34" t="s">
        <v>886</v>
      </c>
      <c r="X169" s="154" t="str">
        <f>중기목록표!B4&amp;" / "&amp;중기목록표!C4</f>
        <v>굴착기(무한궤도) / 0.2㎥</v>
      </c>
      <c r="Y169" s="3" t="str">
        <f ca="1">HYPERLINK("#"&amp;중기목록표!J2&amp;"!A"&amp;ROW(중기목록표!A4),"X00003 →")</f>
        <v>X00003 →</v>
      </c>
      <c r="Z169" s="34" t="s">
        <v>906</v>
      </c>
      <c r="AA169" s="157">
        <v>8</v>
      </c>
      <c r="AB169" s="34" t="s">
        <v>873</v>
      </c>
      <c r="AC169" s="158">
        <f>AB163</f>
        <v>110</v>
      </c>
      <c r="AD169" s="34" t="s">
        <v>871</v>
      </c>
      <c r="AE169" s="158">
        <f>1*AA169/AB163</f>
        <v>7.2727272727272724E-2</v>
      </c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</row>
    <row r="170" spans="1:45" ht="12.6" customHeight="1" x14ac:dyDescent="0.3">
      <c r="A170" s="107"/>
      <c r="B170" s="107"/>
      <c r="C170" s="107"/>
      <c r="D170" s="107"/>
      <c r="E170" s="107"/>
      <c r="F170" s="107"/>
      <c r="G170" s="17" t="s">
        <v>848</v>
      </c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</row>
    <row r="171" spans="1:45" ht="12.6" customHeight="1" x14ac:dyDescent="0.3">
      <c r="A171" s="84"/>
      <c r="B171" s="41" t="s">
        <v>885</v>
      </c>
      <c r="C171" s="149">
        <f>E171+D171+F171</f>
        <v>5680.2</v>
      </c>
      <c r="D171" s="149">
        <f>SUMIF(N159:N170,M171,D159:D170)</f>
        <v>4151</v>
      </c>
      <c r="E171" s="149">
        <f>SUMIF(N159:N170,M171,E159:E170)</f>
        <v>554.79999999999995</v>
      </c>
      <c r="F171" s="149">
        <f>SUMIF(N159:N170,M171,F159:F170)</f>
        <v>974.4</v>
      </c>
      <c r="G171" s="17" t="s">
        <v>884</v>
      </c>
      <c r="M171" s="34" t="s">
        <v>886</v>
      </c>
      <c r="N171" s="34" t="s">
        <v>891</v>
      </c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</row>
    <row r="172" spans="1:45" ht="12.6" customHeight="1" x14ac:dyDescent="0.3">
      <c r="A172" s="107"/>
      <c r="B172" s="107"/>
      <c r="C172" s="147"/>
      <c r="D172" s="147"/>
      <c r="E172" s="147"/>
      <c r="F172" s="147"/>
      <c r="G172" s="17" t="s">
        <v>848</v>
      </c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</row>
    <row r="173" spans="1:45" ht="12.6" customHeight="1" x14ac:dyDescent="0.3">
      <c r="A173" s="84"/>
      <c r="B173" s="41" t="s">
        <v>769</v>
      </c>
      <c r="C173" s="149">
        <f>E173+D173+F173</f>
        <v>9237.4</v>
      </c>
      <c r="D173" s="149">
        <f>SUMIF(N146:N172,M173,D146:D172)</f>
        <v>7708.2</v>
      </c>
      <c r="E173" s="149">
        <f>SUMIF(N146:N172,M173,E146:E172)</f>
        <v>554.79999999999995</v>
      </c>
      <c r="F173" s="149">
        <f>SUMIF(N146:N172,M173,F146:F172)</f>
        <v>974.4</v>
      </c>
      <c r="G173" s="17" t="s">
        <v>890</v>
      </c>
      <c r="M173" s="34" t="s">
        <v>891</v>
      </c>
      <c r="N173" s="34" t="s">
        <v>768</v>
      </c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</row>
    <row r="174" spans="1:45" ht="12.6" customHeight="1" x14ac:dyDescent="0.3">
      <c r="A174" s="107"/>
      <c r="B174" s="107"/>
      <c r="C174" s="147"/>
      <c r="D174" s="147"/>
      <c r="E174" s="147"/>
      <c r="F174" s="147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</row>
    <row r="175" spans="1:45" ht="12.6" customHeight="1" x14ac:dyDescent="0.3">
      <c r="A175" s="123"/>
      <c r="B175" s="123"/>
      <c r="C175" s="123"/>
      <c r="D175" s="123"/>
      <c r="E175" s="123"/>
      <c r="F175" s="123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</row>
    <row r="176" spans="1:45" ht="12.6" customHeight="1" x14ac:dyDescent="0.3">
      <c r="A176" s="193" t="s">
        <v>769</v>
      </c>
      <c r="B176" s="194"/>
      <c r="C176" s="99">
        <f>E176+D176+F176</f>
        <v>9236</v>
      </c>
      <c r="D176" s="121">
        <f>ROUNDDOWN(SUMIF(N146:N173,M176,D146:D173),0)</f>
        <v>7708</v>
      </c>
      <c r="E176" s="120">
        <f>ROUNDDOWN(SUMIF(N146:N173,M176,E146:E173),0)</f>
        <v>554</v>
      </c>
      <c r="F176" s="99">
        <f>ROUNDDOWN(SUMIF(N146:N173,M176,F146:F173),0)</f>
        <v>974</v>
      </c>
      <c r="M176" s="34" t="s">
        <v>768</v>
      </c>
      <c r="N176" s="34" t="s">
        <v>770</v>
      </c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</row>
    <row r="177" spans="1:45" ht="12.6" customHeight="1" x14ac:dyDescent="0.3">
      <c r="A177" s="193" t="s">
        <v>893</v>
      </c>
      <c r="B177" s="194"/>
      <c r="C177" s="99">
        <f>E177+D177+F177</f>
        <v>8127</v>
      </c>
      <c r="D177" s="121">
        <f>ROUNDDOWN(D176*H177/100,0)</f>
        <v>6783</v>
      </c>
      <c r="E177" s="120">
        <f>ROUNDDOWN(E176*H177/100,0)</f>
        <v>487</v>
      </c>
      <c r="F177" s="99">
        <f>ROUNDDOWN(F176*H177/100,0)</f>
        <v>857</v>
      </c>
      <c r="H177" s="35">
        <v>88</v>
      </c>
      <c r="M177" s="34" t="s">
        <v>770</v>
      </c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</row>
    <row r="178" spans="1:45" ht="12.6" customHeight="1" x14ac:dyDescent="0.3">
      <c r="A178" s="144" t="s">
        <v>59</v>
      </c>
      <c r="B178" s="145" t="s">
        <v>59</v>
      </c>
      <c r="C178" s="232">
        <f>C316</f>
        <v>17902</v>
      </c>
      <c r="D178" s="232">
        <f>D316</f>
        <v>10589</v>
      </c>
      <c r="E178" s="232">
        <f>E316</f>
        <v>2430</v>
      </c>
      <c r="F178" s="232">
        <f>F316</f>
        <v>4883</v>
      </c>
      <c r="G178" s="141" t="str">
        <f>HYPERLINK("#G"&amp;ROW(G303),"_x0005_`BDCOD|D01427_x0007_`POSS|"&amp;ROW(G180)&amp;"_x0007_`POSE|"&amp;ROW(G303)&amp;"_x0007_`")</f>
        <v>_x0005_`BDCOD|D01427_x0007_`POSS|180_x0007_`POSE|303_x0007_`</v>
      </c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</row>
    <row r="179" spans="1:45" ht="12.6" customHeight="1" x14ac:dyDescent="0.3">
      <c r="A179" s="124"/>
      <c r="B179" s="145" t="s">
        <v>58</v>
      </c>
      <c r="C179" s="189"/>
      <c r="D179" s="189"/>
      <c r="E179" s="189"/>
      <c r="F179" s="189"/>
      <c r="M179" s="34" t="s">
        <v>919</v>
      </c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</row>
    <row r="180" spans="1:45" ht="12.6" customHeight="1" x14ac:dyDescent="0.3">
      <c r="A180" s="84"/>
      <c r="B180" s="41" t="s">
        <v>921</v>
      </c>
      <c r="C180" s="147"/>
      <c r="D180" s="147"/>
      <c r="E180" s="147"/>
      <c r="F180" s="147"/>
      <c r="G180" s="17" t="s">
        <v>920</v>
      </c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</row>
    <row r="181" spans="1:45" ht="12.6" customHeight="1" x14ac:dyDescent="0.3">
      <c r="A181" s="107"/>
      <c r="B181" s="107"/>
      <c r="C181" s="107"/>
      <c r="D181" s="107"/>
      <c r="E181" s="107"/>
      <c r="F181" s="107"/>
      <c r="G181" s="17" t="s">
        <v>848</v>
      </c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</row>
    <row r="182" spans="1:45" ht="12.6" customHeight="1" x14ac:dyDescent="0.3">
      <c r="A182" s="84"/>
      <c r="B182" s="41" t="s">
        <v>923</v>
      </c>
      <c r="C182" s="107"/>
      <c r="D182" s="107"/>
      <c r="E182" s="107"/>
      <c r="F182" s="107"/>
      <c r="G182" s="17" t="s">
        <v>922</v>
      </c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</row>
    <row r="183" spans="1:45" ht="12.6" customHeight="1" x14ac:dyDescent="0.3">
      <c r="A183" s="107"/>
      <c r="B183" s="107"/>
      <c r="C183" s="107"/>
      <c r="D183" s="107"/>
      <c r="E183" s="107"/>
      <c r="F183" s="107"/>
      <c r="G183" s="17" t="s">
        <v>848</v>
      </c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</row>
    <row r="184" spans="1:45" ht="12.6" customHeight="1" x14ac:dyDescent="0.3">
      <c r="A184" s="84"/>
      <c r="B184" s="41" t="s">
        <v>925</v>
      </c>
      <c r="C184" s="107"/>
      <c r="D184" s="107"/>
      <c r="E184" s="107"/>
      <c r="F184" s="107"/>
      <c r="G184" s="17" t="s">
        <v>924</v>
      </c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</row>
    <row r="185" spans="1:45" ht="12.6" customHeight="1" x14ac:dyDescent="0.3">
      <c r="A185" s="107"/>
      <c r="B185" s="107"/>
      <c r="C185" s="107"/>
      <c r="D185" s="107"/>
      <c r="E185" s="107"/>
      <c r="F185" s="107"/>
      <c r="G185" s="17" t="s">
        <v>848</v>
      </c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</row>
    <row r="186" spans="1:45" ht="12.6" customHeight="1" x14ac:dyDescent="0.3">
      <c r="A186" s="84"/>
      <c r="B186" s="41" t="s">
        <v>927</v>
      </c>
      <c r="C186" s="107"/>
      <c r="D186" s="107"/>
      <c r="E186" s="107"/>
      <c r="F186" s="107"/>
      <c r="G186" s="17" t="s">
        <v>926</v>
      </c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</row>
    <row r="187" spans="1:45" ht="12.6" customHeight="1" x14ac:dyDescent="0.3">
      <c r="A187" s="107"/>
      <c r="B187" s="107"/>
      <c r="C187" s="107"/>
      <c r="D187" s="107"/>
      <c r="E187" s="107"/>
      <c r="F187" s="107"/>
      <c r="G187" s="17" t="s">
        <v>848</v>
      </c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</row>
    <row r="188" spans="1:45" ht="12.6" customHeight="1" x14ac:dyDescent="0.3">
      <c r="A188" s="84"/>
      <c r="B188" s="41" t="s">
        <v>929</v>
      </c>
      <c r="C188" s="107"/>
      <c r="D188" s="107"/>
      <c r="E188" s="107"/>
      <c r="F188" s="107"/>
      <c r="G188" s="17" t="s">
        <v>928</v>
      </c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</row>
    <row r="189" spans="1:45" ht="12.6" customHeight="1" x14ac:dyDescent="0.3">
      <c r="A189" s="107"/>
      <c r="B189" s="107"/>
      <c r="C189" s="107"/>
      <c r="D189" s="107"/>
      <c r="E189" s="107"/>
      <c r="F189" s="107"/>
      <c r="G189" s="17" t="s">
        <v>848</v>
      </c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</row>
    <row r="190" spans="1:45" ht="12.6" customHeight="1" x14ac:dyDescent="0.3">
      <c r="A190" s="84"/>
      <c r="B190" s="41" t="s">
        <v>856</v>
      </c>
      <c r="C190" s="107"/>
      <c r="D190" s="107"/>
      <c r="E190" s="107"/>
      <c r="F190" s="107"/>
      <c r="G190" s="17" t="s">
        <v>855</v>
      </c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</row>
    <row r="191" spans="1:45" ht="12.6" customHeight="1" x14ac:dyDescent="0.3">
      <c r="A191" s="107"/>
      <c r="B191" s="107"/>
      <c r="C191" s="107"/>
      <c r="D191" s="107"/>
      <c r="E191" s="107"/>
      <c r="F191" s="107"/>
      <c r="G191" s="17" t="s">
        <v>848</v>
      </c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</row>
    <row r="192" spans="1:45" ht="12.6" customHeight="1" x14ac:dyDescent="0.3">
      <c r="A192" s="84"/>
      <c r="B192" s="41" t="s">
        <v>931</v>
      </c>
      <c r="C192" s="107"/>
      <c r="D192" s="107"/>
      <c r="E192" s="107"/>
      <c r="F192" s="107"/>
      <c r="G192" s="17" t="s">
        <v>930</v>
      </c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</row>
    <row r="193" spans="1:45" ht="12.6" customHeight="1" x14ac:dyDescent="0.3">
      <c r="A193" s="107"/>
      <c r="B193" s="107"/>
      <c r="C193" s="107"/>
      <c r="D193" s="107"/>
      <c r="E193" s="107"/>
      <c r="F193" s="107"/>
      <c r="G193" s="17" t="s">
        <v>848</v>
      </c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</row>
    <row r="194" spans="1:45" ht="12.6" customHeight="1" x14ac:dyDescent="0.3">
      <c r="A194" s="84"/>
      <c r="B194" s="41" t="s">
        <v>933</v>
      </c>
      <c r="C194" s="107"/>
      <c r="D194" s="107"/>
      <c r="E194" s="107"/>
      <c r="F194" s="107"/>
      <c r="G194" s="17" t="s">
        <v>932</v>
      </c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</row>
    <row r="195" spans="1:45" ht="12.6" customHeight="1" x14ac:dyDescent="0.3">
      <c r="A195" s="107"/>
      <c r="B195" s="107"/>
      <c r="C195" s="107"/>
      <c r="D195" s="107"/>
      <c r="E195" s="107"/>
      <c r="F195" s="107"/>
      <c r="G195" s="17" t="s">
        <v>848</v>
      </c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</row>
    <row r="196" spans="1:45" ht="12.6" customHeight="1" x14ac:dyDescent="0.3">
      <c r="A196" s="84"/>
      <c r="B196" s="41" t="s">
        <v>935</v>
      </c>
      <c r="C196" s="107"/>
      <c r="D196" s="107"/>
      <c r="E196" s="107"/>
      <c r="F196" s="107"/>
      <c r="G196" s="17" t="s">
        <v>934</v>
      </c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</row>
    <row r="197" spans="1:45" ht="12.6" customHeight="1" x14ac:dyDescent="0.3">
      <c r="A197" s="107"/>
      <c r="B197" s="107"/>
      <c r="C197" s="107"/>
      <c r="D197" s="107"/>
      <c r="E197" s="107"/>
      <c r="F197" s="107"/>
      <c r="G197" s="17" t="s">
        <v>848</v>
      </c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</row>
    <row r="198" spans="1:45" ht="12.6" customHeight="1" x14ac:dyDescent="0.3">
      <c r="A198" s="84"/>
      <c r="B198" s="41" t="s">
        <v>937</v>
      </c>
      <c r="C198" s="107"/>
      <c r="D198" s="107"/>
      <c r="E198" s="107"/>
      <c r="F198" s="107"/>
      <c r="G198" s="17" t="s">
        <v>936</v>
      </c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</row>
    <row r="199" spans="1:45" ht="12.6" customHeight="1" x14ac:dyDescent="0.3">
      <c r="A199" s="107"/>
      <c r="B199" s="107"/>
      <c r="C199" s="107"/>
      <c r="D199" s="107"/>
      <c r="E199" s="107"/>
      <c r="F199" s="107"/>
      <c r="G199" s="17" t="s">
        <v>848</v>
      </c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</row>
    <row r="200" spans="1:45" ht="12.6" customHeight="1" x14ac:dyDescent="0.3">
      <c r="A200" s="84"/>
      <c r="B200" s="41" t="s">
        <v>939</v>
      </c>
      <c r="C200" s="107"/>
      <c r="D200" s="107"/>
      <c r="E200" s="107"/>
      <c r="F200" s="107"/>
      <c r="G200" s="17" t="s">
        <v>938</v>
      </c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</row>
    <row r="201" spans="1:45" ht="12.6" customHeight="1" x14ac:dyDescent="0.3">
      <c r="A201" s="107"/>
      <c r="B201" s="107"/>
      <c r="C201" s="107"/>
      <c r="D201" s="107"/>
      <c r="E201" s="107"/>
      <c r="F201" s="107"/>
      <c r="G201" s="17" t="s">
        <v>848</v>
      </c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</row>
    <row r="202" spans="1:45" ht="12.6" customHeight="1" x14ac:dyDescent="0.3">
      <c r="A202" s="84"/>
      <c r="B202" s="41" t="s">
        <v>941</v>
      </c>
      <c r="C202" s="107"/>
      <c r="D202" s="107"/>
      <c r="E202" s="107"/>
      <c r="F202" s="107"/>
      <c r="G202" s="17" t="s">
        <v>940</v>
      </c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</row>
    <row r="203" spans="1:45" ht="12.6" customHeight="1" x14ac:dyDescent="0.3">
      <c r="A203" s="107"/>
      <c r="B203" s="107"/>
      <c r="C203" s="107"/>
      <c r="D203" s="107"/>
      <c r="E203" s="107"/>
      <c r="F203" s="107"/>
      <c r="G203" s="17" t="s">
        <v>848</v>
      </c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</row>
    <row r="204" spans="1:45" ht="12.6" customHeight="1" x14ac:dyDescent="0.3">
      <c r="A204" s="84"/>
      <c r="B204" s="41" t="s">
        <v>943</v>
      </c>
      <c r="C204" s="107"/>
      <c r="D204" s="107"/>
      <c r="E204" s="107"/>
      <c r="F204" s="107"/>
      <c r="G204" s="17" t="s">
        <v>942</v>
      </c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</row>
    <row r="205" spans="1:45" ht="12.6" customHeight="1" x14ac:dyDescent="0.3">
      <c r="A205" s="107"/>
      <c r="B205" s="107"/>
      <c r="C205" s="107"/>
      <c r="D205" s="107"/>
      <c r="E205" s="107"/>
      <c r="F205" s="107"/>
      <c r="G205" s="17" t="s">
        <v>848</v>
      </c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</row>
    <row r="206" spans="1:45" ht="12.6" customHeight="1" x14ac:dyDescent="0.3">
      <c r="A206" s="84"/>
      <c r="B206" s="41" t="s">
        <v>858</v>
      </c>
      <c r="C206" s="107"/>
      <c r="D206" s="107"/>
      <c r="E206" s="107"/>
      <c r="F206" s="107"/>
      <c r="G206" s="17" t="s">
        <v>857</v>
      </c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</row>
    <row r="207" spans="1:45" ht="12.6" customHeight="1" x14ac:dyDescent="0.3">
      <c r="A207" s="107"/>
      <c r="B207" s="107"/>
      <c r="C207" s="107"/>
      <c r="D207" s="107"/>
      <c r="E207" s="107"/>
      <c r="F207" s="107"/>
      <c r="G207" s="17" t="s">
        <v>848</v>
      </c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</row>
    <row r="208" spans="1:45" ht="12.6" customHeight="1" x14ac:dyDescent="0.3">
      <c r="A208" s="84"/>
      <c r="B208" s="41" t="s">
        <v>945</v>
      </c>
      <c r="C208" s="107"/>
      <c r="D208" s="107"/>
      <c r="E208" s="107"/>
      <c r="F208" s="107"/>
      <c r="G208" s="17" t="s">
        <v>944</v>
      </c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</row>
    <row r="209" spans="1:45" ht="12.6" customHeight="1" x14ac:dyDescent="0.3">
      <c r="A209" s="107"/>
      <c r="B209" s="107"/>
      <c r="C209" s="107"/>
      <c r="D209" s="107"/>
      <c r="E209" s="107"/>
      <c r="F209" s="107"/>
      <c r="G209" s="17" t="s">
        <v>848</v>
      </c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</row>
    <row r="210" spans="1:45" ht="12.6" customHeight="1" x14ac:dyDescent="0.3">
      <c r="A210" s="84"/>
      <c r="B210" s="41" t="s">
        <v>947</v>
      </c>
      <c r="C210" s="107"/>
      <c r="D210" s="107"/>
      <c r="E210" s="107"/>
      <c r="F210" s="107"/>
      <c r="G210" s="17" t="s">
        <v>946</v>
      </c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</row>
    <row r="211" spans="1:45" ht="12.6" customHeight="1" x14ac:dyDescent="0.3">
      <c r="A211" s="107"/>
      <c r="B211" s="107"/>
      <c r="C211" s="107"/>
      <c r="D211" s="107"/>
      <c r="E211" s="107"/>
      <c r="F211" s="107"/>
      <c r="G211" s="17" t="s">
        <v>848</v>
      </c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</row>
    <row r="212" spans="1:45" ht="12.6" customHeight="1" x14ac:dyDescent="0.3">
      <c r="A212" s="84"/>
      <c r="B212" s="41" t="s">
        <v>949</v>
      </c>
      <c r="C212" s="107"/>
      <c r="D212" s="107"/>
      <c r="E212" s="107"/>
      <c r="F212" s="107"/>
      <c r="G212" s="17" t="s">
        <v>948</v>
      </c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</row>
    <row r="213" spans="1:45" ht="12.6" customHeight="1" x14ac:dyDescent="0.3">
      <c r="A213" s="107"/>
      <c r="B213" s="107"/>
      <c r="C213" s="107"/>
      <c r="D213" s="107"/>
      <c r="E213" s="107"/>
      <c r="F213" s="107"/>
      <c r="G213" s="17" t="s">
        <v>848</v>
      </c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</row>
    <row r="214" spans="1:45" ht="12.6" customHeight="1" x14ac:dyDescent="0.3">
      <c r="A214" s="84"/>
      <c r="B214" s="41" t="s">
        <v>951</v>
      </c>
      <c r="C214" s="107"/>
      <c r="D214" s="107"/>
      <c r="E214" s="107"/>
      <c r="F214" s="107"/>
      <c r="G214" s="17" t="s">
        <v>950</v>
      </c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</row>
    <row r="215" spans="1:45" ht="12.6" customHeight="1" x14ac:dyDescent="0.3">
      <c r="A215" s="107"/>
      <c r="B215" s="107"/>
      <c r="C215" s="107"/>
      <c r="D215" s="107"/>
      <c r="E215" s="107"/>
      <c r="F215" s="107"/>
      <c r="G215" s="17" t="s">
        <v>848</v>
      </c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</row>
    <row r="216" spans="1:45" ht="12.6" customHeight="1" x14ac:dyDescent="0.3">
      <c r="A216" s="84"/>
      <c r="B216" s="41" t="s">
        <v>953</v>
      </c>
      <c r="C216" s="107"/>
      <c r="D216" s="107"/>
      <c r="E216" s="107"/>
      <c r="F216" s="107"/>
      <c r="G216" s="17" t="s">
        <v>952</v>
      </c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</row>
    <row r="217" spans="1:45" ht="12.6" customHeight="1" x14ac:dyDescent="0.3">
      <c r="A217" s="107"/>
      <c r="B217" s="107"/>
      <c r="C217" s="107"/>
      <c r="D217" s="107"/>
      <c r="E217" s="107"/>
      <c r="F217" s="107"/>
      <c r="G217" s="17" t="s">
        <v>848</v>
      </c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</row>
    <row r="218" spans="1:45" ht="12.6" customHeight="1" x14ac:dyDescent="0.3">
      <c r="A218" s="84"/>
      <c r="B218" s="41" t="s">
        <v>955</v>
      </c>
      <c r="C218" s="107"/>
      <c r="D218" s="107"/>
      <c r="E218" s="107"/>
      <c r="F218" s="107"/>
      <c r="G218" s="17" t="s">
        <v>954</v>
      </c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</row>
    <row r="219" spans="1:45" ht="12.6" customHeight="1" x14ac:dyDescent="0.3">
      <c r="A219" s="107"/>
      <c r="B219" s="107"/>
      <c r="C219" s="107"/>
      <c r="D219" s="107"/>
      <c r="E219" s="107"/>
      <c r="F219" s="107"/>
      <c r="G219" s="17" t="s">
        <v>848</v>
      </c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</row>
    <row r="220" spans="1:45" ht="12.6" customHeight="1" x14ac:dyDescent="0.3">
      <c r="A220" s="84"/>
      <c r="B220" s="41" t="s">
        <v>957</v>
      </c>
      <c r="C220" s="107"/>
      <c r="D220" s="107"/>
      <c r="E220" s="107"/>
      <c r="F220" s="107"/>
      <c r="G220" s="17" t="s">
        <v>956</v>
      </c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</row>
    <row r="221" spans="1:45" ht="12.6" customHeight="1" x14ac:dyDescent="0.3">
      <c r="A221" s="107"/>
      <c r="B221" s="107"/>
      <c r="C221" s="107"/>
      <c r="D221" s="107"/>
      <c r="E221" s="107"/>
      <c r="F221" s="107"/>
      <c r="G221" s="17" t="s">
        <v>848</v>
      </c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</row>
    <row r="222" spans="1:45" ht="12.6" customHeight="1" x14ac:dyDescent="0.3">
      <c r="A222" s="107"/>
      <c r="B222" s="107"/>
      <c r="C222" s="107"/>
      <c r="D222" s="107"/>
      <c r="E222" s="107"/>
      <c r="F222" s="107"/>
      <c r="G222" s="17" t="s">
        <v>848</v>
      </c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</row>
    <row r="223" spans="1:45" ht="12.6" customHeight="1" x14ac:dyDescent="0.3">
      <c r="A223" s="84"/>
      <c r="B223" s="41" t="s">
        <v>959</v>
      </c>
      <c r="C223" s="107"/>
      <c r="D223" s="107"/>
      <c r="E223" s="107"/>
      <c r="F223" s="107"/>
      <c r="G223" s="17" t="s">
        <v>958</v>
      </c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</row>
    <row r="224" spans="1:45" ht="12.6" customHeight="1" x14ac:dyDescent="0.3">
      <c r="A224" s="107"/>
      <c r="B224" s="107"/>
      <c r="C224" s="107"/>
      <c r="D224" s="107"/>
      <c r="E224" s="107"/>
      <c r="F224" s="107"/>
      <c r="G224" s="17" t="s">
        <v>848</v>
      </c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</row>
    <row r="225" spans="1:45" ht="12.6" customHeight="1" x14ac:dyDescent="0.3">
      <c r="A225" s="84"/>
      <c r="B225" s="41" t="s">
        <v>961</v>
      </c>
      <c r="C225" s="107"/>
      <c r="D225" s="107"/>
      <c r="E225" s="107"/>
      <c r="F225" s="107"/>
      <c r="G225" s="17" t="s">
        <v>960</v>
      </c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</row>
    <row r="226" spans="1:45" ht="12.6" customHeight="1" x14ac:dyDescent="0.3">
      <c r="A226" s="107"/>
      <c r="B226" s="107"/>
      <c r="C226" s="107"/>
      <c r="D226" s="107"/>
      <c r="E226" s="107"/>
      <c r="F226" s="107"/>
      <c r="G226" s="17" t="s">
        <v>848</v>
      </c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  <c r="AS226" s="155"/>
    </row>
    <row r="227" spans="1:45" ht="12.6" customHeight="1" x14ac:dyDescent="0.3">
      <c r="A227" s="84"/>
      <c r="B227" s="41" t="s">
        <v>963</v>
      </c>
      <c r="C227" s="107"/>
      <c r="D227" s="107"/>
      <c r="E227" s="107"/>
      <c r="F227" s="107"/>
      <c r="G227" s="17" t="s">
        <v>962</v>
      </c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</row>
    <row r="228" spans="1:45" ht="12.6" customHeight="1" x14ac:dyDescent="0.3">
      <c r="A228" s="107"/>
      <c r="B228" s="107"/>
      <c r="C228" s="107"/>
      <c r="D228" s="107"/>
      <c r="E228" s="107"/>
      <c r="F228" s="107"/>
      <c r="G228" s="17" t="s">
        <v>964</v>
      </c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  <c r="AO228" s="155"/>
      <c r="AP228" s="155"/>
      <c r="AQ228" s="155"/>
      <c r="AR228" s="155"/>
      <c r="AS228" s="155"/>
    </row>
    <row r="229" spans="1:45" ht="12.6" customHeight="1" x14ac:dyDescent="0.3">
      <c r="A229" s="107"/>
      <c r="B229" s="107"/>
      <c r="C229" s="107"/>
      <c r="D229" s="107"/>
      <c r="E229" s="107"/>
      <c r="F229" s="107"/>
      <c r="G229" s="17" t="s">
        <v>848</v>
      </c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  <c r="AO229" s="155"/>
      <c r="AP229" s="155"/>
      <c r="AQ229" s="155"/>
      <c r="AR229" s="155"/>
      <c r="AS229" s="155"/>
    </row>
    <row r="230" spans="1:45" ht="12.6" customHeight="1" x14ac:dyDescent="0.3">
      <c r="A230" s="84"/>
      <c r="B230" s="41" t="s">
        <v>966</v>
      </c>
      <c r="C230" s="107"/>
      <c r="D230" s="107"/>
      <c r="E230" s="107"/>
      <c r="F230" s="107"/>
      <c r="G230" s="17" t="s">
        <v>965</v>
      </c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</row>
    <row r="231" spans="1:45" ht="12.6" customHeight="1" x14ac:dyDescent="0.3">
      <c r="A231" s="107"/>
      <c r="B231" s="107"/>
      <c r="C231" s="107"/>
      <c r="D231" s="107"/>
      <c r="E231" s="107"/>
      <c r="F231" s="107"/>
      <c r="G231" s="17" t="s">
        <v>848</v>
      </c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5"/>
    </row>
    <row r="232" spans="1:45" ht="12.6" customHeight="1" x14ac:dyDescent="0.3">
      <c r="A232" s="84"/>
      <c r="B232" s="41" t="str">
        <f>" q (버킷용량)  = "&amp;Z232&amp;"/"&amp;AB232&amp;" = "&amp;AD232&amp;" m2  , f (토량환산계수)  = "&amp;AF232&amp;"  ,"</f>
        <v xml:space="preserve"> q (버킷용량)  = 4/11 = 0.36 m2  , f (토량환산계수)  = 1  ,</v>
      </c>
      <c r="C232" s="107"/>
      <c r="D232" s="107"/>
      <c r="E232" s="107"/>
      <c r="F232" s="107"/>
      <c r="G232" s="17" t="s">
        <v>967</v>
      </c>
      <c r="Z232" s="157">
        <v>4</v>
      </c>
      <c r="AA232" s="34" t="s">
        <v>873</v>
      </c>
      <c r="AB232" s="157">
        <v>11</v>
      </c>
      <c r="AC232" s="34" t="s">
        <v>871</v>
      </c>
      <c r="AD232" s="158" t="str">
        <f>TEXT(ROUND(Z232/AB232,2),"#,0.00")</f>
        <v>0.36</v>
      </c>
      <c r="AE232" s="159" t="s">
        <v>872</v>
      </c>
      <c r="AF232" s="157">
        <v>1</v>
      </c>
      <c r="AG232" s="34" t="s">
        <v>871</v>
      </c>
      <c r="AH232" s="158">
        <f>AF232</f>
        <v>1</v>
      </c>
      <c r="AI232" s="159" t="s">
        <v>872</v>
      </c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5"/>
    </row>
    <row r="233" spans="1:45" ht="12.6" customHeight="1" x14ac:dyDescent="0.3">
      <c r="A233" s="107"/>
      <c r="B233" s="107"/>
      <c r="C233" s="107"/>
      <c r="D233" s="107"/>
      <c r="E233" s="107"/>
      <c r="F233" s="107"/>
      <c r="G233" s="17" t="s">
        <v>848</v>
      </c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5"/>
    </row>
    <row r="234" spans="1:45" ht="12.6" customHeight="1" x14ac:dyDescent="0.3">
      <c r="A234" s="84"/>
      <c r="B234" s="41" t="str">
        <f>" K (버킷계수)  = "&amp;Z234&amp;""</f>
        <v xml:space="preserve"> K (버킷계수)  = 0.55</v>
      </c>
      <c r="C234" s="107"/>
      <c r="D234" s="107"/>
      <c r="E234" s="107"/>
      <c r="F234" s="107"/>
      <c r="G234" s="17" t="s">
        <v>968</v>
      </c>
      <c r="Z234" s="156">
        <v>0.55000000000000004</v>
      </c>
      <c r="AA234" s="34" t="s">
        <v>871</v>
      </c>
      <c r="AB234" s="158">
        <f>Z234</f>
        <v>0.55000000000000004</v>
      </c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5"/>
    </row>
    <row r="235" spans="1:45" ht="12.6" customHeight="1" x14ac:dyDescent="0.3">
      <c r="A235" s="107"/>
      <c r="B235" s="107"/>
      <c r="C235" s="107"/>
      <c r="D235" s="107"/>
      <c r="E235" s="107"/>
      <c r="F235" s="107"/>
      <c r="G235" s="17" t="s">
        <v>848</v>
      </c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</row>
    <row r="236" spans="1:45" ht="12.6" customHeight="1" x14ac:dyDescent="0.3">
      <c r="A236" s="84"/>
      <c r="B236" s="41" t="str">
        <f>" Cm (사이클)  = "&amp;Z236&amp;" sec (135˚) , E (작업효율)  = "&amp;AD236&amp;""</f>
        <v xml:space="preserve"> Cm (사이클)  = 20 sec (135˚) , E (작업효율)  = 0.35</v>
      </c>
      <c r="C236" s="107"/>
      <c r="D236" s="107"/>
      <c r="E236" s="107"/>
      <c r="F236" s="107"/>
      <c r="G236" s="17" t="s">
        <v>969</v>
      </c>
      <c r="Z236" s="157">
        <v>20</v>
      </c>
      <c r="AA236" s="34" t="s">
        <v>871</v>
      </c>
      <c r="AB236" s="158">
        <f>Z236</f>
        <v>20</v>
      </c>
      <c r="AC236" s="159" t="s">
        <v>872</v>
      </c>
      <c r="AD236" s="156">
        <v>0.35</v>
      </c>
      <c r="AE236" s="34" t="s">
        <v>871</v>
      </c>
      <c r="AF236" s="158">
        <f>AD236</f>
        <v>0.35</v>
      </c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</row>
    <row r="237" spans="1:45" ht="12.6" customHeight="1" x14ac:dyDescent="0.3">
      <c r="A237" s="107"/>
      <c r="B237" s="107"/>
      <c r="C237" s="107"/>
      <c r="D237" s="107"/>
      <c r="E237" s="107"/>
      <c r="F237" s="107"/>
      <c r="G237" s="17" t="s">
        <v>848</v>
      </c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  <c r="AS237" s="155"/>
    </row>
    <row r="238" spans="1:45" ht="12.6" customHeight="1" x14ac:dyDescent="0.3">
      <c r="A238" s="84"/>
      <c r="B238" s="41" t="str">
        <f>" Q (시간당 작업효율)  = "&amp;Z238&amp;"*q*K*f*E/Cm = "&amp;AL238&amp;" m2/hr "</f>
        <v xml:space="preserve"> Q (시간당 작업효율)  = 3600*q*K*f*E/Cm = 12.47 m2/hr </v>
      </c>
      <c r="C238" s="107"/>
      <c r="D238" s="107"/>
      <c r="E238" s="107"/>
      <c r="F238" s="107"/>
      <c r="G238" s="17" t="s">
        <v>970</v>
      </c>
      <c r="Z238" s="157">
        <v>3600</v>
      </c>
      <c r="AA238" s="34" t="s">
        <v>876</v>
      </c>
      <c r="AB238" s="158" t="str">
        <f>AD232</f>
        <v>0.36</v>
      </c>
      <c r="AC238" s="34" t="s">
        <v>876</v>
      </c>
      <c r="AD238" s="158">
        <f>AB234</f>
        <v>0.55000000000000004</v>
      </c>
      <c r="AE238" s="34" t="s">
        <v>876</v>
      </c>
      <c r="AF238" s="158">
        <f>AH232</f>
        <v>1</v>
      </c>
      <c r="AG238" s="34" t="s">
        <v>876</v>
      </c>
      <c r="AH238" s="158">
        <f>AF236</f>
        <v>0.35</v>
      </c>
      <c r="AI238" s="34" t="s">
        <v>873</v>
      </c>
      <c r="AJ238" s="158">
        <f>AB236</f>
        <v>20</v>
      </c>
      <c r="AK238" s="34" t="s">
        <v>871</v>
      </c>
      <c r="AL238" s="158" t="str">
        <f>TEXT(ROUND(Z238*AD232*AB234*AH232*AF236/AB236,2),"#,0.00")</f>
        <v>12.47</v>
      </c>
      <c r="AM238" s="155"/>
      <c r="AN238" s="155"/>
      <c r="AO238" s="155"/>
      <c r="AP238" s="155"/>
      <c r="AQ238" s="155"/>
      <c r="AR238" s="155"/>
      <c r="AS238" s="155"/>
    </row>
    <row r="239" spans="1:45" ht="12.6" customHeight="1" x14ac:dyDescent="0.3">
      <c r="A239" s="107"/>
      <c r="B239" s="107"/>
      <c r="C239" s="107"/>
      <c r="D239" s="107"/>
      <c r="E239" s="107"/>
      <c r="F239" s="107"/>
      <c r="G239" s="17" t="s">
        <v>848</v>
      </c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</row>
    <row r="240" spans="1:45" ht="12.6" customHeight="1" x14ac:dyDescent="0.3">
      <c r="A240" s="84" t="s">
        <v>972</v>
      </c>
      <c r="B240" s="146" t="str">
        <f>" 노 무 비  : "&amp;TEXT(I240,"#,##0"&amp;IF(I240&lt;&gt;INT(I240),".###",""))&amp;" / Q = "&amp;TEXT(C240,"#,##0.0")&amp;""</f>
        <v xml:space="preserve"> 노 무 비  : 57,077 / Q = 4,577.1</v>
      </c>
      <c r="C240" s="148">
        <f>E240+D240+F240</f>
        <v>4577.1000000000004</v>
      </c>
      <c r="D240" s="148">
        <f>IF(H240=0,0,ROUNDDOWN(J240*H240,1))</f>
        <v>4577.1000000000004</v>
      </c>
      <c r="E240" s="148">
        <f>IF(H240=0,0,ROUNDDOWN(K240*H240,1))</f>
        <v>0</v>
      </c>
      <c r="F240" s="148">
        <f>IF(H240=0,0,ROUNDDOWN(L240*H240,1))</f>
        <v>0</v>
      </c>
      <c r="G240" s="17" t="s">
        <v>971</v>
      </c>
      <c r="H240" s="152">
        <f>ROUNDUP(AC240,14-LEN(ABS(INT(AC240))))</f>
        <v>8.0192461908600007E-2</v>
      </c>
      <c r="I240" s="153">
        <f>K240+J240+L240</f>
        <v>57077</v>
      </c>
      <c r="J240" s="37">
        <f>중기목록표!F7</f>
        <v>57077</v>
      </c>
      <c r="M240" s="34" t="s">
        <v>973</v>
      </c>
      <c r="N240" s="34" t="s">
        <v>886</v>
      </c>
      <c r="X240" s="154" t="str">
        <f>중기목록표!B7&amp;" / "&amp;중기목록표!C7</f>
        <v>굴착기(무한궤도) / 0.7㎥,(암석)</v>
      </c>
      <c r="Y240" s="3" t="str">
        <f ca="1">HYPERLINK("#"&amp;중기목록표!J2&amp;"!A"&amp;ROW(중기목록표!A7),"X00009 →")</f>
        <v>X00009 →</v>
      </c>
      <c r="Z240" s="34" t="s">
        <v>879</v>
      </c>
      <c r="AA240" s="158" t="str">
        <f>AL238</f>
        <v>12.47</v>
      </c>
      <c r="AB240" s="34" t="s">
        <v>871</v>
      </c>
      <c r="AC240" s="158">
        <f>1/AL238</f>
        <v>8.0192461908580592E-2</v>
      </c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</row>
    <row r="241" spans="1:45" ht="12.6" customHeight="1" x14ac:dyDescent="0.3">
      <c r="A241" s="107"/>
      <c r="B241" s="107"/>
      <c r="C241" s="107"/>
      <c r="D241" s="107"/>
      <c r="E241" s="107"/>
      <c r="F241" s="107"/>
      <c r="G241" s="17" t="s">
        <v>848</v>
      </c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</row>
    <row r="242" spans="1:45" ht="12.6" customHeight="1" x14ac:dyDescent="0.3">
      <c r="A242" s="84" t="s">
        <v>975</v>
      </c>
      <c r="B242" s="146" t="str">
        <f>" 재 료 비  : "&amp;TEXT(I242,"#,##0"&amp;IF(I242&lt;&gt;INT(I242),".###",""))&amp;" / Q = "&amp;TEXT(C242,"#,##0.0")&amp;""</f>
        <v xml:space="preserve"> 재 료 비  : 17,845 / Q = 1,431.0</v>
      </c>
      <c r="C242" s="148">
        <f>E242+D242+F242</f>
        <v>1431</v>
      </c>
      <c r="D242" s="148">
        <f>IF(H242=0,0,ROUNDDOWN(J242*H242,1))</f>
        <v>0</v>
      </c>
      <c r="E242" s="148">
        <f>IF(H242=0,0,ROUNDDOWN(K242*H242,1))</f>
        <v>1431</v>
      </c>
      <c r="F242" s="148">
        <f>IF(H242=0,0,ROUNDDOWN(L242*H242,1))</f>
        <v>0</v>
      </c>
      <c r="G242" s="17" t="s">
        <v>974</v>
      </c>
      <c r="H242" s="152">
        <f>ROUNDUP(AC242,14-LEN(ABS(INT(AC242))))</f>
        <v>8.0192461908600007E-2</v>
      </c>
      <c r="I242" s="153">
        <f>K242+J242+L242</f>
        <v>17845</v>
      </c>
      <c r="K242" s="37">
        <f>중기목록표!G7</f>
        <v>17845</v>
      </c>
      <c r="M242" s="34" t="s">
        <v>973</v>
      </c>
      <c r="N242" s="34" t="s">
        <v>886</v>
      </c>
      <c r="X242" s="154" t="str">
        <f>중기목록표!B7&amp;" / "&amp;중기목록표!C7</f>
        <v>굴착기(무한궤도) / 0.7㎥,(암석)</v>
      </c>
      <c r="Y242" s="3" t="str">
        <f ca="1">HYPERLINK("#"&amp;중기목록표!J2&amp;"!A"&amp;ROW(중기목록표!A7),"X00009 →")</f>
        <v>X00009 →</v>
      </c>
      <c r="Z242" s="34" t="s">
        <v>879</v>
      </c>
      <c r="AA242" s="158" t="str">
        <f>AL238</f>
        <v>12.47</v>
      </c>
      <c r="AB242" s="34" t="s">
        <v>871</v>
      </c>
      <c r="AC242" s="158">
        <f>1/AL238</f>
        <v>8.0192461908580592E-2</v>
      </c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</row>
    <row r="243" spans="1:45" ht="12.6" customHeight="1" x14ac:dyDescent="0.3">
      <c r="A243" s="107"/>
      <c r="B243" s="107"/>
      <c r="C243" s="107"/>
      <c r="D243" s="107"/>
      <c r="E243" s="107"/>
      <c r="F243" s="107"/>
      <c r="G243" s="17" t="s">
        <v>848</v>
      </c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</row>
    <row r="244" spans="1:45" ht="12.6" customHeight="1" x14ac:dyDescent="0.3">
      <c r="A244" s="84" t="s">
        <v>977</v>
      </c>
      <c r="B244" s="146" t="str">
        <f>" 경    비  : "&amp;TEXT(I244,"#,##0"&amp;IF(I244&lt;&gt;INT(I244),".###",""))&amp;" / Q = "&amp;TEXT(C244,"#,##0.0")&amp;""</f>
        <v xml:space="preserve"> 경    비  : 27,685 / Q = 2,220.1</v>
      </c>
      <c r="C244" s="148">
        <f>E244+D244+F244</f>
        <v>2220.1</v>
      </c>
      <c r="D244" s="148">
        <f>IF(H244=0,0,ROUNDDOWN(J244*H244,1))</f>
        <v>0</v>
      </c>
      <c r="E244" s="148">
        <f>IF(H244=0,0,ROUNDDOWN(K244*H244,1))</f>
        <v>0</v>
      </c>
      <c r="F244" s="148">
        <f>IF(H244=0,0,ROUNDDOWN(L244*H244,1))</f>
        <v>2220.1</v>
      </c>
      <c r="G244" s="17" t="s">
        <v>976</v>
      </c>
      <c r="H244" s="152">
        <f>ROUNDUP(AC244,14-LEN(ABS(INT(AC244))))</f>
        <v>8.0192461908600007E-2</v>
      </c>
      <c r="I244" s="153">
        <f>K244+J244+L244</f>
        <v>27685</v>
      </c>
      <c r="L244" s="37">
        <f>중기목록표!H7</f>
        <v>27685</v>
      </c>
      <c r="M244" s="34" t="s">
        <v>973</v>
      </c>
      <c r="N244" s="34" t="s">
        <v>886</v>
      </c>
      <c r="X244" s="154" t="str">
        <f>중기목록표!B7&amp;" / "&amp;중기목록표!C7</f>
        <v>굴착기(무한궤도) / 0.7㎥,(암석)</v>
      </c>
      <c r="Y244" s="3" t="str">
        <f ca="1">HYPERLINK("#"&amp;중기목록표!J2&amp;"!A"&amp;ROW(중기목록표!A7),"X00009 →")</f>
        <v>X00009 →</v>
      </c>
      <c r="Z244" s="34" t="s">
        <v>879</v>
      </c>
      <c r="AA244" s="158" t="str">
        <f>AL238</f>
        <v>12.47</v>
      </c>
      <c r="AB244" s="34" t="s">
        <v>871</v>
      </c>
      <c r="AC244" s="158">
        <f>1/AL238</f>
        <v>8.0192461908580592E-2</v>
      </c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</row>
    <row r="245" spans="1:45" ht="12.6" customHeight="1" x14ac:dyDescent="0.3">
      <c r="A245" s="107"/>
      <c r="B245" s="107"/>
      <c r="C245" s="107"/>
      <c r="D245" s="107"/>
      <c r="E245" s="107"/>
      <c r="F245" s="107"/>
      <c r="G245" s="17" t="s">
        <v>848</v>
      </c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</row>
    <row r="246" spans="1:45" ht="12.6" customHeight="1" x14ac:dyDescent="0.3">
      <c r="A246" s="84"/>
      <c r="B246" s="41" t="s">
        <v>885</v>
      </c>
      <c r="C246" s="149">
        <f>E246+D246+F246</f>
        <v>8228.2000000000007</v>
      </c>
      <c r="D246" s="149">
        <f>SUMIF(N180:N245,M246,D180:D245)</f>
        <v>4577.1000000000004</v>
      </c>
      <c r="E246" s="149">
        <f>SUMIF(N180:N245,M246,E180:E245)</f>
        <v>1431</v>
      </c>
      <c r="F246" s="149">
        <f>SUMIF(N180:N245,M246,F180:F245)</f>
        <v>2220.1</v>
      </c>
      <c r="G246" s="17" t="s">
        <v>884</v>
      </c>
      <c r="M246" s="34" t="s">
        <v>886</v>
      </c>
      <c r="N246" s="34" t="s">
        <v>891</v>
      </c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</row>
    <row r="247" spans="1:45" ht="12.6" customHeight="1" x14ac:dyDescent="0.3">
      <c r="A247" s="107"/>
      <c r="B247" s="107"/>
      <c r="C247" s="147"/>
      <c r="D247" s="147"/>
      <c r="E247" s="147"/>
      <c r="F247" s="147"/>
      <c r="G247" s="17" t="s">
        <v>848</v>
      </c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</row>
    <row r="248" spans="1:45" ht="12.6" customHeight="1" x14ac:dyDescent="0.3">
      <c r="A248" s="107"/>
      <c r="B248" s="107"/>
      <c r="C248" s="107"/>
      <c r="D248" s="107"/>
      <c r="E248" s="107"/>
      <c r="F248" s="107"/>
      <c r="G248" s="17" t="s">
        <v>848</v>
      </c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</row>
    <row r="249" spans="1:45" ht="12.6" customHeight="1" x14ac:dyDescent="0.3">
      <c r="A249" s="84"/>
      <c r="B249" s="41" t="s">
        <v>979</v>
      </c>
      <c r="C249" s="107"/>
      <c r="D249" s="107"/>
      <c r="E249" s="107"/>
      <c r="F249" s="107"/>
      <c r="G249" s="17" t="s">
        <v>978</v>
      </c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</row>
    <row r="250" spans="1:45" ht="12.6" customHeight="1" x14ac:dyDescent="0.3">
      <c r="A250" s="107"/>
      <c r="B250" s="107"/>
      <c r="C250" s="107"/>
      <c r="D250" s="107"/>
      <c r="E250" s="107"/>
      <c r="F250" s="107"/>
      <c r="G250" s="17" t="s">
        <v>848</v>
      </c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  <c r="AO250" s="155"/>
      <c r="AP250" s="155"/>
      <c r="AQ250" s="155"/>
      <c r="AR250" s="155"/>
      <c r="AS250" s="155"/>
    </row>
    <row r="251" spans="1:45" ht="12.6" customHeight="1" x14ac:dyDescent="0.3">
      <c r="A251" s="84"/>
      <c r="B251" s="41" t="str">
        <f>" q (버킷용량)  = "&amp;Z251&amp;"/"&amp;AB251&amp;" = "&amp;AD251&amp;" m2  , f (토량환산계수)  = "&amp;AF251&amp;"  ,"</f>
        <v xml:space="preserve"> q (버킷용량)  = 4/11 = 0.36 m2  , f (토량환산계수)  = 1  ,</v>
      </c>
      <c r="C251" s="107"/>
      <c r="D251" s="107"/>
      <c r="E251" s="107"/>
      <c r="F251" s="107"/>
      <c r="G251" s="17" t="s">
        <v>967</v>
      </c>
      <c r="Z251" s="157">
        <v>4</v>
      </c>
      <c r="AA251" s="34" t="s">
        <v>873</v>
      </c>
      <c r="AB251" s="157">
        <v>11</v>
      </c>
      <c r="AC251" s="34" t="s">
        <v>871</v>
      </c>
      <c r="AD251" s="158" t="str">
        <f>TEXT(ROUND(Z251/AB251,2),"#,0.00")</f>
        <v>0.36</v>
      </c>
      <c r="AE251" s="159" t="s">
        <v>872</v>
      </c>
      <c r="AF251" s="157">
        <v>1</v>
      </c>
      <c r="AG251" s="34" t="s">
        <v>871</v>
      </c>
      <c r="AH251" s="158">
        <f>AF251</f>
        <v>1</v>
      </c>
      <c r="AI251" s="159" t="s">
        <v>872</v>
      </c>
      <c r="AJ251" s="155"/>
      <c r="AK251" s="155"/>
      <c r="AL251" s="155"/>
      <c r="AM251" s="155"/>
      <c r="AN251" s="155"/>
      <c r="AO251" s="155"/>
      <c r="AP251" s="155"/>
      <c r="AQ251" s="155"/>
      <c r="AR251" s="155"/>
      <c r="AS251" s="155"/>
    </row>
    <row r="252" spans="1:45" ht="12.6" customHeight="1" x14ac:dyDescent="0.3">
      <c r="A252" s="107"/>
      <c r="B252" s="107"/>
      <c r="C252" s="107"/>
      <c r="D252" s="107"/>
      <c r="E252" s="107"/>
      <c r="F252" s="107"/>
      <c r="G252" s="17" t="s">
        <v>848</v>
      </c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</row>
    <row r="253" spans="1:45" ht="12.6" customHeight="1" x14ac:dyDescent="0.3">
      <c r="A253" s="84"/>
      <c r="B253" s="41" t="str">
        <f>" K (버킷계수)  = "&amp;Z253&amp;""</f>
        <v xml:space="preserve"> K (버킷계수)  = 0.55</v>
      </c>
      <c r="C253" s="107"/>
      <c r="D253" s="107"/>
      <c r="E253" s="107"/>
      <c r="F253" s="107"/>
      <c r="G253" s="17" t="s">
        <v>968</v>
      </c>
      <c r="Z253" s="156">
        <v>0.55000000000000004</v>
      </c>
      <c r="AA253" s="34" t="s">
        <v>871</v>
      </c>
      <c r="AB253" s="158">
        <f>Z253</f>
        <v>0.55000000000000004</v>
      </c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55"/>
      <c r="AS253" s="155"/>
    </row>
    <row r="254" spans="1:45" ht="12.6" customHeight="1" x14ac:dyDescent="0.3">
      <c r="A254" s="107"/>
      <c r="B254" s="107"/>
      <c r="C254" s="107"/>
      <c r="D254" s="107"/>
      <c r="E254" s="107"/>
      <c r="F254" s="107"/>
      <c r="G254" s="17" t="s">
        <v>848</v>
      </c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  <c r="AS254" s="155"/>
    </row>
    <row r="255" spans="1:45" ht="12.6" customHeight="1" x14ac:dyDescent="0.3">
      <c r="A255" s="84"/>
      <c r="B255" s="41" t="str">
        <f>" Cm1 (사이클)  = "&amp;Z255&amp;" sec (90˚) , E1 (작업효율)  = "&amp;AD255&amp;""</f>
        <v xml:space="preserve"> Cm1 (사이클)  = 18 sec (90˚) , E1 (작업효율)  = 0.45</v>
      </c>
      <c r="C255" s="107"/>
      <c r="D255" s="107"/>
      <c r="E255" s="107"/>
      <c r="F255" s="107"/>
      <c r="G255" s="17" t="s">
        <v>980</v>
      </c>
      <c r="Z255" s="157">
        <v>18</v>
      </c>
      <c r="AA255" s="34" t="s">
        <v>871</v>
      </c>
      <c r="AB255" s="158">
        <f>Z255</f>
        <v>18</v>
      </c>
      <c r="AC255" s="159" t="s">
        <v>872</v>
      </c>
      <c r="AD255" s="156">
        <v>0.45</v>
      </c>
      <c r="AE255" s="34" t="s">
        <v>871</v>
      </c>
      <c r="AF255" s="158">
        <f>AD255</f>
        <v>0.45</v>
      </c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55"/>
      <c r="AS255" s="155"/>
    </row>
    <row r="256" spans="1:45" ht="12.6" customHeight="1" x14ac:dyDescent="0.3">
      <c r="A256" s="107"/>
      <c r="B256" s="107"/>
      <c r="C256" s="107"/>
      <c r="D256" s="107"/>
      <c r="E256" s="107"/>
      <c r="F256" s="107"/>
      <c r="G256" s="17" t="s">
        <v>848</v>
      </c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  <c r="AS256" s="155"/>
    </row>
    <row r="257" spans="1:45" ht="12.6" customHeight="1" x14ac:dyDescent="0.3">
      <c r="A257" s="84"/>
      <c r="B257" s="41" t="str">
        <f>" Q (시간당 작업효율)  = "&amp;Z257&amp;"*q*K*f*E1/Cm1 = "&amp;AL257&amp;" m2/hr "</f>
        <v xml:space="preserve"> Q (시간당 작업효율)  = 3600*q*K*f*E1/Cm1 = 17.82 m2/hr </v>
      </c>
      <c r="C257" s="107"/>
      <c r="D257" s="107"/>
      <c r="E257" s="107"/>
      <c r="F257" s="107"/>
      <c r="G257" s="17" t="s">
        <v>981</v>
      </c>
      <c r="Z257" s="157">
        <v>3600</v>
      </c>
      <c r="AA257" s="34" t="s">
        <v>876</v>
      </c>
      <c r="AB257" s="158" t="str">
        <f>AD251</f>
        <v>0.36</v>
      </c>
      <c r="AC257" s="34" t="s">
        <v>876</v>
      </c>
      <c r="AD257" s="158">
        <f>AB253</f>
        <v>0.55000000000000004</v>
      </c>
      <c r="AE257" s="34" t="s">
        <v>876</v>
      </c>
      <c r="AF257" s="158">
        <f>AH251</f>
        <v>1</v>
      </c>
      <c r="AG257" s="34" t="s">
        <v>876</v>
      </c>
      <c r="AH257" s="158">
        <f>AF255</f>
        <v>0.45</v>
      </c>
      <c r="AI257" s="34" t="s">
        <v>873</v>
      </c>
      <c r="AJ257" s="158">
        <f>AB255</f>
        <v>18</v>
      </c>
      <c r="AK257" s="34" t="s">
        <v>871</v>
      </c>
      <c r="AL257" s="158" t="str">
        <f>TEXT(ROUND(Z257*AD251*AB253*AH251*AF255/AB255,2),"#,0.00")</f>
        <v>17.82</v>
      </c>
      <c r="AM257" s="155"/>
      <c r="AN257" s="155"/>
      <c r="AO257" s="155"/>
      <c r="AP257" s="155"/>
      <c r="AQ257" s="155"/>
      <c r="AR257" s="155"/>
      <c r="AS257" s="155"/>
    </row>
    <row r="258" spans="1:45" ht="12.6" customHeight="1" x14ac:dyDescent="0.3">
      <c r="A258" s="107"/>
      <c r="B258" s="107"/>
      <c r="C258" s="107"/>
      <c r="D258" s="107"/>
      <c r="E258" s="107"/>
      <c r="F258" s="107"/>
      <c r="G258" s="17" t="s">
        <v>848</v>
      </c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</row>
    <row r="259" spans="1:45" ht="12.6" customHeight="1" x14ac:dyDescent="0.3">
      <c r="A259" s="84" t="s">
        <v>972</v>
      </c>
      <c r="B259" s="146" t="str">
        <f>" 노 무 비  : "&amp;TEXT(I259,"#,##0"&amp;IF(I259&lt;&gt;INT(I259),".###",""))&amp;" / Q  = "&amp;TEXT(C259,"#,##0.0")&amp;""</f>
        <v xml:space="preserve"> 노 무 비  : 57,077 / Q  = 3,202.9</v>
      </c>
      <c r="C259" s="148">
        <f>E259+D259+F259</f>
        <v>3202.9</v>
      </c>
      <c r="D259" s="148">
        <f>IF(H259=0,0,ROUNDDOWN(J259*H259,1))</f>
        <v>3202.9</v>
      </c>
      <c r="E259" s="148">
        <f>IF(H259=0,0,ROUNDDOWN(K259*H259,1))</f>
        <v>0</v>
      </c>
      <c r="F259" s="148">
        <f>IF(H259=0,0,ROUNDDOWN(L259*H259,1))</f>
        <v>0</v>
      </c>
      <c r="G259" s="17" t="s">
        <v>982</v>
      </c>
      <c r="H259" s="152">
        <f>ROUNDUP(AC259,14-LEN(ABS(INT(AC259))))</f>
        <v>5.6116722783400005E-2</v>
      </c>
      <c r="I259" s="153">
        <f>K259+J259+L259</f>
        <v>57077</v>
      </c>
      <c r="J259" s="37">
        <f>중기목록표!F7</f>
        <v>57077</v>
      </c>
      <c r="M259" s="34" t="s">
        <v>973</v>
      </c>
      <c r="N259" s="34" t="s">
        <v>886</v>
      </c>
      <c r="X259" s="154" t="str">
        <f>중기목록표!B7&amp;" / "&amp;중기목록표!C7</f>
        <v>굴착기(무한궤도) / 0.7㎥,(암석)</v>
      </c>
      <c r="Y259" s="3" t="str">
        <f ca="1">HYPERLINK("#"&amp;중기목록표!J2&amp;"!A"&amp;ROW(중기목록표!A7),"X00009 →")</f>
        <v>X00009 →</v>
      </c>
      <c r="Z259" s="34" t="s">
        <v>879</v>
      </c>
      <c r="AA259" s="158" t="str">
        <f>AL257</f>
        <v>17.82</v>
      </c>
      <c r="AB259" s="34" t="s">
        <v>871</v>
      </c>
      <c r="AC259" s="158">
        <f>1/AL257</f>
        <v>5.6116722783389451E-2</v>
      </c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</row>
    <row r="260" spans="1:45" ht="12.6" customHeight="1" x14ac:dyDescent="0.3">
      <c r="A260" s="107"/>
      <c r="B260" s="107"/>
      <c r="C260" s="107"/>
      <c r="D260" s="107"/>
      <c r="E260" s="107"/>
      <c r="F260" s="107"/>
      <c r="G260" s="17" t="s">
        <v>848</v>
      </c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</row>
    <row r="261" spans="1:45" ht="12.6" customHeight="1" x14ac:dyDescent="0.3">
      <c r="A261" s="84" t="s">
        <v>975</v>
      </c>
      <c r="B261" s="146" t="str">
        <f>" 재 료 비  : "&amp;TEXT(I261,"#,##0"&amp;IF(I261&lt;&gt;INT(I261),".###",""))&amp;" / Q  = "&amp;TEXT(C261,"#,##0.0")&amp;""</f>
        <v xml:space="preserve"> 재 료 비  : 17,845 / Q  = 1,001.4</v>
      </c>
      <c r="C261" s="148">
        <f>E261+D261+F261</f>
        <v>1001.4</v>
      </c>
      <c r="D261" s="148">
        <f>IF(H261=0,0,ROUNDDOWN(J261*H261,1))</f>
        <v>0</v>
      </c>
      <c r="E261" s="148">
        <f>IF(H261=0,0,ROUNDDOWN(K261*H261,1))</f>
        <v>1001.4</v>
      </c>
      <c r="F261" s="148">
        <f>IF(H261=0,0,ROUNDDOWN(L261*H261,1))</f>
        <v>0</v>
      </c>
      <c r="G261" s="17" t="s">
        <v>983</v>
      </c>
      <c r="H261" s="152">
        <f>ROUNDUP(AC261,14-LEN(ABS(INT(AC261))))</f>
        <v>5.6116722783400005E-2</v>
      </c>
      <c r="I261" s="153">
        <f>K261+J261+L261</f>
        <v>17845</v>
      </c>
      <c r="K261" s="37">
        <f>중기목록표!G7</f>
        <v>17845</v>
      </c>
      <c r="M261" s="34" t="s">
        <v>973</v>
      </c>
      <c r="N261" s="34" t="s">
        <v>886</v>
      </c>
      <c r="X261" s="154" t="str">
        <f>중기목록표!B7&amp;" / "&amp;중기목록표!C7</f>
        <v>굴착기(무한궤도) / 0.7㎥,(암석)</v>
      </c>
      <c r="Y261" s="3" t="str">
        <f ca="1">HYPERLINK("#"&amp;중기목록표!J2&amp;"!A"&amp;ROW(중기목록표!A7),"X00009 →")</f>
        <v>X00009 →</v>
      </c>
      <c r="Z261" s="34" t="s">
        <v>879</v>
      </c>
      <c r="AA261" s="158" t="str">
        <f>AL257</f>
        <v>17.82</v>
      </c>
      <c r="AB261" s="34" t="s">
        <v>871</v>
      </c>
      <c r="AC261" s="158">
        <f>1/AL257</f>
        <v>5.6116722783389451E-2</v>
      </c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</row>
    <row r="262" spans="1:45" ht="12.6" customHeight="1" x14ac:dyDescent="0.3">
      <c r="A262" s="107"/>
      <c r="B262" s="107"/>
      <c r="C262" s="107"/>
      <c r="D262" s="107"/>
      <c r="E262" s="107"/>
      <c r="F262" s="107"/>
      <c r="G262" s="17" t="s">
        <v>848</v>
      </c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</row>
    <row r="263" spans="1:45" ht="12.6" customHeight="1" x14ac:dyDescent="0.3">
      <c r="A263" s="84" t="s">
        <v>977</v>
      </c>
      <c r="B263" s="146" t="str">
        <f>" 경    비  : "&amp;TEXT(I263,"#,##0"&amp;IF(I263&lt;&gt;INT(I263),".###",""))&amp;" / Q  = "&amp;TEXT(C263,"#,##0.0")&amp;""</f>
        <v xml:space="preserve"> 경    비  : 27,685 / Q  = 1,553.5</v>
      </c>
      <c r="C263" s="148">
        <f>E263+D263+F263</f>
        <v>1553.5</v>
      </c>
      <c r="D263" s="148">
        <f>IF(H263=0,0,ROUNDDOWN(J263*H263,1))</f>
        <v>0</v>
      </c>
      <c r="E263" s="148">
        <f>IF(H263=0,0,ROUNDDOWN(K263*H263,1))</f>
        <v>0</v>
      </c>
      <c r="F263" s="148">
        <f>IF(H263=0,0,ROUNDDOWN(L263*H263,1))</f>
        <v>1553.5</v>
      </c>
      <c r="G263" s="17" t="s">
        <v>984</v>
      </c>
      <c r="H263" s="152">
        <f>ROUNDUP(AC263,14-LEN(ABS(INT(AC263))))</f>
        <v>5.6116722783400005E-2</v>
      </c>
      <c r="I263" s="153">
        <f>K263+J263+L263</f>
        <v>27685</v>
      </c>
      <c r="L263" s="37">
        <f>중기목록표!H7</f>
        <v>27685</v>
      </c>
      <c r="M263" s="34" t="s">
        <v>973</v>
      </c>
      <c r="N263" s="34" t="s">
        <v>886</v>
      </c>
      <c r="X263" s="154" t="str">
        <f>중기목록표!B7&amp;" / "&amp;중기목록표!C7</f>
        <v>굴착기(무한궤도) / 0.7㎥,(암석)</v>
      </c>
      <c r="Y263" s="3" t="str">
        <f ca="1">HYPERLINK("#"&amp;중기목록표!J2&amp;"!A"&amp;ROW(중기목록표!A7),"X00009 →")</f>
        <v>X00009 →</v>
      </c>
      <c r="Z263" s="34" t="s">
        <v>879</v>
      </c>
      <c r="AA263" s="158" t="str">
        <f>AL257</f>
        <v>17.82</v>
      </c>
      <c r="AB263" s="34" t="s">
        <v>871</v>
      </c>
      <c r="AC263" s="158">
        <f>1/AL257</f>
        <v>5.6116722783389451E-2</v>
      </c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</row>
    <row r="264" spans="1:45" ht="12.6" customHeight="1" x14ac:dyDescent="0.3">
      <c r="A264" s="107"/>
      <c r="B264" s="107"/>
      <c r="C264" s="107"/>
      <c r="D264" s="107"/>
      <c r="E264" s="107"/>
      <c r="F264" s="107"/>
      <c r="G264" s="17" t="s">
        <v>848</v>
      </c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</row>
    <row r="265" spans="1:45" ht="12.6" customHeight="1" x14ac:dyDescent="0.3">
      <c r="A265" s="84"/>
      <c r="B265" s="41" t="s">
        <v>885</v>
      </c>
      <c r="C265" s="149">
        <f>E265+D265+F265</f>
        <v>5757.8</v>
      </c>
      <c r="D265" s="149">
        <f>SUMIF(N247:N264,M265,D247:D264)</f>
        <v>3202.9</v>
      </c>
      <c r="E265" s="149">
        <f>SUMIF(N247:N264,M265,E247:E264)</f>
        <v>1001.4</v>
      </c>
      <c r="F265" s="149">
        <f>SUMIF(N247:N264,M265,F247:F264)</f>
        <v>1553.5</v>
      </c>
      <c r="G265" s="17" t="s">
        <v>884</v>
      </c>
      <c r="M265" s="34" t="s">
        <v>886</v>
      </c>
      <c r="N265" s="34" t="s">
        <v>891</v>
      </c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</row>
    <row r="266" spans="1:45" ht="12.6" customHeight="1" x14ac:dyDescent="0.3">
      <c r="A266" s="107"/>
      <c r="B266" s="107"/>
      <c r="C266" s="147"/>
      <c r="D266" s="147"/>
      <c r="E266" s="147"/>
      <c r="F266" s="147"/>
      <c r="G266" s="17" t="s">
        <v>848</v>
      </c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</row>
    <row r="267" spans="1:45" ht="12.6" customHeight="1" x14ac:dyDescent="0.3">
      <c r="A267" s="107"/>
      <c r="B267" s="107"/>
      <c r="C267" s="107"/>
      <c r="D267" s="107"/>
      <c r="E267" s="107"/>
      <c r="F267" s="107"/>
      <c r="G267" s="17" t="s">
        <v>848</v>
      </c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  <c r="AS267" s="155"/>
    </row>
    <row r="268" spans="1:45" ht="12.6" customHeight="1" x14ac:dyDescent="0.3">
      <c r="A268" s="84"/>
      <c r="B268" s="41" t="s">
        <v>986</v>
      </c>
      <c r="C268" s="107"/>
      <c r="D268" s="107"/>
      <c r="E268" s="107"/>
      <c r="F268" s="107"/>
      <c r="G268" s="17" t="s">
        <v>985</v>
      </c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</row>
    <row r="269" spans="1:45" ht="12.6" customHeight="1" x14ac:dyDescent="0.3">
      <c r="A269" s="107"/>
      <c r="B269" s="107"/>
      <c r="C269" s="107"/>
      <c r="D269" s="107"/>
      <c r="E269" s="107"/>
      <c r="F269" s="107"/>
      <c r="G269" s="17" t="s">
        <v>848</v>
      </c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  <c r="AS269" s="155"/>
    </row>
    <row r="270" spans="1:45" ht="12.6" customHeight="1" x14ac:dyDescent="0.3">
      <c r="A270" s="84"/>
      <c r="B270" s="41" t="str">
        <f>"L (거리)  = "&amp;Z270&amp;"  Km "</f>
        <v xml:space="preserve">L (거리)  = 0.2  Km </v>
      </c>
      <c r="C270" s="107"/>
      <c r="D270" s="107"/>
      <c r="E270" s="107"/>
      <c r="F270" s="107"/>
      <c r="G270" s="17" t="s">
        <v>987</v>
      </c>
      <c r="Z270" s="156">
        <v>0.2</v>
      </c>
      <c r="AA270" s="34" t="s">
        <v>871</v>
      </c>
      <c r="AB270" s="158">
        <f>Z270</f>
        <v>0.2</v>
      </c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  <c r="AO270" s="155"/>
      <c r="AP270" s="155"/>
      <c r="AQ270" s="155"/>
      <c r="AR270" s="155"/>
      <c r="AS270" s="155"/>
    </row>
    <row r="271" spans="1:45" ht="12.6" customHeight="1" x14ac:dyDescent="0.3">
      <c r="A271" s="107"/>
      <c r="B271" s="107"/>
      <c r="C271" s="107"/>
      <c r="D271" s="107"/>
      <c r="E271" s="107"/>
      <c r="F271" s="107"/>
      <c r="G271" s="17" t="s">
        <v>848</v>
      </c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  <c r="AS271" s="155"/>
    </row>
    <row r="272" spans="1:45" ht="12.6" customHeight="1" x14ac:dyDescent="0.3">
      <c r="A272" s="84"/>
      <c r="B272" s="41" t="str">
        <f>"q1 (버킷용량)  = "&amp;Z272&amp;" / ("&amp;AB272&amp;"*"&amp;AD272&amp;"*"&amp;AF272&amp;") = "&amp;AI272&amp;"  m2 "</f>
        <v xml:space="preserve">q1 (버킷용량)  = 4.5 / (0.45*0.77*2.65) = 4.90  m2 </v>
      </c>
      <c r="C272" s="107"/>
      <c r="D272" s="107"/>
      <c r="E272" s="107"/>
      <c r="F272" s="107"/>
      <c r="G272" s="17" t="s">
        <v>988</v>
      </c>
      <c r="Z272" s="156">
        <v>4.5</v>
      </c>
      <c r="AA272" s="34" t="s">
        <v>990</v>
      </c>
      <c r="AB272" s="156">
        <v>0.45</v>
      </c>
      <c r="AC272" s="34" t="s">
        <v>876</v>
      </c>
      <c r="AD272" s="156">
        <v>0.77</v>
      </c>
      <c r="AE272" s="34" t="s">
        <v>876</v>
      </c>
      <c r="AF272" s="156">
        <v>2.65</v>
      </c>
      <c r="AG272" s="34" t="s">
        <v>991</v>
      </c>
      <c r="AH272" s="34" t="s">
        <v>871</v>
      </c>
      <c r="AI272" s="158" t="str">
        <f>TEXT(ROUND(Z272/(AB272*AD272*AF272),2),"#,0.00")</f>
        <v>4.90</v>
      </c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</row>
    <row r="273" spans="1:45" ht="12.6" customHeight="1" x14ac:dyDescent="0.3">
      <c r="A273" s="107"/>
      <c r="B273" s="107"/>
      <c r="C273" s="107"/>
      <c r="D273" s="107"/>
      <c r="E273" s="107"/>
      <c r="F273" s="107"/>
      <c r="G273" s="17" t="s">
        <v>848</v>
      </c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</row>
    <row r="274" spans="1:45" ht="12.6" customHeight="1" x14ac:dyDescent="0.3">
      <c r="A274" s="84"/>
      <c r="B274" s="41" t="str">
        <f>"E (작업효율)  = "&amp;Z274&amp;" , f (토량환산계수)  = "&amp;AD274&amp;" ,"</f>
        <v>E (작업효율)  = 0.9 , f (토량환산계수)  = 1 ,</v>
      </c>
      <c r="C274" s="107"/>
      <c r="D274" s="107"/>
      <c r="E274" s="107"/>
      <c r="F274" s="107"/>
      <c r="G274" s="17" t="s">
        <v>989</v>
      </c>
      <c r="Z274" s="156">
        <v>0.9</v>
      </c>
      <c r="AA274" s="34" t="s">
        <v>871</v>
      </c>
      <c r="AB274" s="158">
        <f>Z274</f>
        <v>0.9</v>
      </c>
      <c r="AC274" s="159" t="s">
        <v>872</v>
      </c>
      <c r="AD274" s="157">
        <v>1</v>
      </c>
      <c r="AE274" s="34" t="s">
        <v>871</v>
      </c>
      <c r="AF274" s="158">
        <f>AD274</f>
        <v>1</v>
      </c>
      <c r="AG274" s="159" t="s">
        <v>872</v>
      </c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</row>
    <row r="275" spans="1:45" ht="12.6" customHeight="1" x14ac:dyDescent="0.3">
      <c r="A275" s="107"/>
      <c r="B275" s="107"/>
      <c r="C275" s="107"/>
      <c r="D275" s="107"/>
      <c r="E275" s="107"/>
      <c r="F275" s="107"/>
      <c r="G275" s="17" t="s">
        <v>848</v>
      </c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  <c r="AS275" s="155"/>
    </row>
    <row r="276" spans="1:45" ht="12.6" customHeight="1" x14ac:dyDescent="0.3">
      <c r="A276" s="84"/>
      <c r="B276" s="41" t="str">
        <f>"k (버킷계수)  = "&amp;Z276&amp;""</f>
        <v>k (버킷계수)  = 0.55</v>
      </c>
      <c r="C276" s="107"/>
      <c r="D276" s="107"/>
      <c r="E276" s="107"/>
      <c r="F276" s="107"/>
      <c r="G276" s="17" t="s">
        <v>992</v>
      </c>
      <c r="Z276" s="156">
        <v>0.55000000000000004</v>
      </c>
      <c r="AA276" s="34" t="s">
        <v>871</v>
      </c>
      <c r="AB276" s="158">
        <f>Z276</f>
        <v>0.55000000000000004</v>
      </c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55"/>
      <c r="AS276" s="155"/>
    </row>
    <row r="277" spans="1:45" ht="12.6" customHeight="1" x14ac:dyDescent="0.3">
      <c r="A277" s="107"/>
      <c r="B277" s="107"/>
      <c r="C277" s="107"/>
      <c r="D277" s="107"/>
      <c r="E277" s="107"/>
      <c r="F277" s="107"/>
      <c r="G277" s="17" t="s">
        <v>848</v>
      </c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  <c r="AS277" s="155"/>
    </row>
    <row r="278" spans="1:45" ht="12.6" customHeight="1" x14ac:dyDescent="0.3">
      <c r="A278" s="84"/>
      <c r="B278" s="41" t="str">
        <f>"q2 (굴삭기 버킷용량)  = "&amp;Z278&amp;"/"&amp;AB278&amp;" = "&amp;AD278&amp;"  m2 "</f>
        <v xml:space="preserve">q2 (굴삭기 버킷용량)  = 4/11 = 0.36  m2 </v>
      </c>
      <c r="C278" s="107"/>
      <c r="D278" s="107"/>
      <c r="E278" s="107"/>
      <c r="F278" s="107"/>
      <c r="G278" s="17" t="s">
        <v>993</v>
      </c>
      <c r="Z278" s="157">
        <v>4</v>
      </c>
      <c r="AA278" s="34" t="s">
        <v>873</v>
      </c>
      <c r="AB278" s="157">
        <v>11</v>
      </c>
      <c r="AC278" s="34" t="s">
        <v>871</v>
      </c>
      <c r="AD278" s="158" t="str">
        <f>TEXT(ROUND(Z278/AB278,2),"#,0.00")</f>
        <v>0.36</v>
      </c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  <c r="AS278" s="155"/>
    </row>
    <row r="279" spans="1:45" ht="12.6" customHeight="1" x14ac:dyDescent="0.3">
      <c r="A279" s="107"/>
      <c r="B279" s="107"/>
      <c r="C279" s="107"/>
      <c r="D279" s="107"/>
      <c r="E279" s="107"/>
      <c r="F279" s="107"/>
      <c r="G279" s="17" t="s">
        <v>848</v>
      </c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  <c r="AS279" s="155"/>
    </row>
    <row r="280" spans="1:45" ht="12.6" customHeight="1" x14ac:dyDescent="0.3">
      <c r="A280" s="84"/>
      <c r="B280" s="41" t="str">
        <f>"n = q1 / (q2 * k) = "&amp;AG280&amp;"  회 "</f>
        <v xml:space="preserve">n = q1 / (q2 * k) = 24.75  회 </v>
      </c>
      <c r="C280" s="107"/>
      <c r="D280" s="107"/>
      <c r="E280" s="107"/>
      <c r="F280" s="107"/>
      <c r="G280" s="17" t="s">
        <v>994</v>
      </c>
      <c r="Z280" s="158" t="str">
        <f>AI272</f>
        <v>4.90</v>
      </c>
      <c r="AA280" s="34" t="s">
        <v>990</v>
      </c>
      <c r="AB280" s="158" t="str">
        <f>AD278</f>
        <v>0.36</v>
      </c>
      <c r="AC280" s="34" t="s">
        <v>876</v>
      </c>
      <c r="AD280" s="158">
        <f>AB276</f>
        <v>0.55000000000000004</v>
      </c>
      <c r="AE280" s="34" t="s">
        <v>991</v>
      </c>
      <c r="AF280" s="34" t="s">
        <v>871</v>
      </c>
      <c r="AG280" s="158" t="str">
        <f>TEXT(ROUND(AI272/(AD278*AB276),2),"#,0.00")</f>
        <v>24.75</v>
      </c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</row>
    <row r="281" spans="1:45" ht="12.6" customHeight="1" x14ac:dyDescent="0.3">
      <c r="A281" s="107"/>
      <c r="B281" s="107"/>
      <c r="C281" s="107"/>
      <c r="D281" s="107"/>
      <c r="E281" s="107"/>
      <c r="F281" s="107"/>
      <c r="G281" s="17" t="s">
        <v>848</v>
      </c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  <c r="AO281" s="155"/>
      <c r="AP281" s="155"/>
      <c r="AQ281" s="155"/>
      <c r="AR281" s="155"/>
      <c r="AS281" s="155"/>
    </row>
    <row r="282" spans="1:45" ht="12.6" customHeight="1" x14ac:dyDescent="0.3">
      <c r="A282" s="84"/>
      <c r="B282" s="41" t="str">
        <f>"t1 = Cm1 * n / ("&amp;AD282&amp;" * E1) = "&amp;AI282&amp;" 분 "</f>
        <v xml:space="preserve">t1 = Cm1 * n / (60 * E1) = 16.50 분 </v>
      </c>
      <c r="C282" s="107"/>
      <c r="D282" s="107"/>
      <c r="E282" s="107"/>
      <c r="F282" s="107"/>
      <c r="G282" s="17" t="s">
        <v>995</v>
      </c>
      <c r="Z282" s="158">
        <f>AB255</f>
        <v>18</v>
      </c>
      <c r="AA282" s="34" t="s">
        <v>876</v>
      </c>
      <c r="AB282" s="158" t="str">
        <f>AG280</f>
        <v>24.75</v>
      </c>
      <c r="AC282" s="34" t="s">
        <v>990</v>
      </c>
      <c r="AD282" s="157">
        <v>60</v>
      </c>
      <c r="AE282" s="34" t="s">
        <v>876</v>
      </c>
      <c r="AF282" s="158">
        <f>AF255</f>
        <v>0.45</v>
      </c>
      <c r="AG282" s="34" t="s">
        <v>991</v>
      </c>
      <c r="AH282" s="34" t="s">
        <v>871</v>
      </c>
      <c r="AI282" s="158" t="str">
        <f>TEXT(ROUND(AB255*AG280/(AD282*AF255),2),"#,0.00")</f>
        <v>16.50</v>
      </c>
      <c r="AJ282" s="155"/>
      <c r="AK282" s="155"/>
      <c r="AL282" s="155"/>
      <c r="AM282" s="155"/>
      <c r="AN282" s="155"/>
      <c r="AO282" s="155"/>
      <c r="AP282" s="155"/>
      <c r="AQ282" s="155"/>
      <c r="AR282" s="155"/>
      <c r="AS282" s="155"/>
    </row>
    <row r="283" spans="1:45" ht="12.6" customHeight="1" x14ac:dyDescent="0.3">
      <c r="A283" s="107"/>
      <c r="B283" s="107"/>
      <c r="C283" s="107"/>
      <c r="D283" s="107"/>
      <c r="E283" s="107"/>
      <c r="F283" s="107"/>
      <c r="G283" s="17" t="s">
        <v>848</v>
      </c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  <c r="AM283" s="155"/>
      <c r="AN283" s="155"/>
      <c r="AO283" s="155"/>
      <c r="AP283" s="155"/>
      <c r="AQ283" s="155"/>
      <c r="AR283" s="155"/>
      <c r="AS283" s="155"/>
    </row>
    <row r="284" spans="1:45" ht="12.6" customHeight="1" x14ac:dyDescent="0.3">
      <c r="A284" s="84"/>
      <c r="B284" s="41" t="str">
        <f>"t2 =(L/"&amp;AC284&amp;"+L/"&amp;AG284&amp;") * "&amp;AI284&amp;" = "&amp;AK284&amp;" 분 "</f>
        <v xml:space="preserve">t2 =(L/10+L/15) * 60 = 2.00 분 </v>
      </c>
      <c r="C284" s="107"/>
      <c r="D284" s="107"/>
      <c r="E284" s="107"/>
      <c r="F284" s="107"/>
      <c r="G284" s="17" t="s">
        <v>996</v>
      </c>
      <c r="Z284" s="34" t="s">
        <v>998</v>
      </c>
      <c r="AA284" s="158">
        <f>AB270</f>
        <v>0.2</v>
      </c>
      <c r="AB284" s="34" t="s">
        <v>873</v>
      </c>
      <c r="AC284" s="157">
        <v>10</v>
      </c>
      <c r="AD284" s="34" t="s">
        <v>999</v>
      </c>
      <c r="AE284" s="158">
        <f>AB270</f>
        <v>0.2</v>
      </c>
      <c r="AF284" s="34" t="s">
        <v>873</v>
      </c>
      <c r="AG284" s="157">
        <v>15</v>
      </c>
      <c r="AH284" s="34" t="s">
        <v>1000</v>
      </c>
      <c r="AI284" s="157">
        <v>60</v>
      </c>
      <c r="AJ284" s="34" t="s">
        <v>871</v>
      </c>
      <c r="AK284" s="158" t="str">
        <f>TEXT(ROUND((AB270/AC284+AB270/AG284)*AI284,2),"#,0.00")</f>
        <v>2.00</v>
      </c>
      <c r="AL284" s="155"/>
      <c r="AM284" s="155"/>
      <c r="AN284" s="155"/>
      <c r="AO284" s="155"/>
      <c r="AP284" s="155"/>
      <c r="AQ284" s="155"/>
      <c r="AR284" s="155"/>
      <c r="AS284" s="155"/>
    </row>
    <row r="285" spans="1:45" ht="12.6" customHeight="1" x14ac:dyDescent="0.3">
      <c r="A285" s="107"/>
      <c r="B285" s="107"/>
      <c r="C285" s="107"/>
      <c r="D285" s="107"/>
      <c r="E285" s="107"/>
      <c r="F285" s="107"/>
      <c r="G285" s="17" t="s">
        <v>848</v>
      </c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5"/>
      <c r="AN285" s="155"/>
      <c r="AO285" s="155"/>
      <c r="AP285" s="155"/>
      <c r="AQ285" s="155"/>
      <c r="AR285" s="155"/>
      <c r="AS285" s="155"/>
    </row>
    <row r="286" spans="1:45" ht="12.6" customHeight="1" x14ac:dyDescent="0.3">
      <c r="A286" s="84"/>
      <c r="B286" s="41" t="str">
        <f>"t3 = "&amp;Z286&amp;" 분 , t4 = "&amp;AD286&amp;" 분 "</f>
        <v xml:space="preserve">t3 = 0.8 분 , t4 = 0.42 분 </v>
      </c>
      <c r="C286" s="107"/>
      <c r="D286" s="107"/>
      <c r="E286" s="107"/>
      <c r="F286" s="107"/>
      <c r="G286" s="17" t="s">
        <v>997</v>
      </c>
      <c r="Z286" s="156">
        <v>0.8</v>
      </c>
      <c r="AA286" s="34" t="s">
        <v>871</v>
      </c>
      <c r="AB286" s="158">
        <f>Z286</f>
        <v>0.8</v>
      </c>
      <c r="AC286" s="159" t="s">
        <v>872</v>
      </c>
      <c r="AD286" s="156">
        <v>0.42</v>
      </c>
      <c r="AE286" s="34" t="s">
        <v>871</v>
      </c>
      <c r="AF286" s="158">
        <f>AD286</f>
        <v>0.42</v>
      </c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  <c r="AS286" s="155"/>
    </row>
    <row r="287" spans="1:45" ht="12.6" customHeight="1" x14ac:dyDescent="0.3">
      <c r="A287" s="107"/>
      <c r="B287" s="107"/>
      <c r="C287" s="107"/>
      <c r="D287" s="107"/>
      <c r="E287" s="107"/>
      <c r="F287" s="107"/>
      <c r="G287" s="17" t="s">
        <v>848</v>
      </c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  <c r="AS287" s="155"/>
    </row>
    <row r="288" spans="1:45" ht="12.6" customHeight="1" x14ac:dyDescent="0.3">
      <c r="A288" s="84"/>
      <c r="B288" s="41" t="str">
        <f>"Cm2 = t1 + t2 + t3 + t4 = "&amp;AH288&amp;" 분 "</f>
        <v xml:space="preserve">Cm2 = t1 + t2 + t3 + t4 = 19.72 분 </v>
      </c>
      <c r="C288" s="107"/>
      <c r="D288" s="107"/>
      <c r="E288" s="107"/>
      <c r="F288" s="107"/>
      <c r="G288" s="17" t="s">
        <v>1001</v>
      </c>
      <c r="Z288" s="158" t="str">
        <f>AI282</f>
        <v>16.50</v>
      </c>
      <c r="AA288" s="34" t="s">
        <v>999</v>
      </c>
      <c r="AB288" s="158" t="str">
        <f>AK284</f>
        <v>2.00</v>
      </c>
      <c r="AC288" s="34" t="s">
        <v>999</v>
      </c>
      <c r="AD288" s="158">
        <f>AB286</f>
        <v>0.8</v>
      </c>
      <c r="AE288" s="34" t="s">
        <v>999</v>
      </c>
      <c r="AF288" s="158">
        <f>AF286</f>
        <v>0.42</v>
      </c>
      <c r="AG288" s="34" t="s">
        <v>871</v>
      </c>
      <c r="AH288" s="158" t="str">
        <f>TEXT(ROUND(AI282+AK284+AB286+AF286,2),"#,0.00")</f>
        <v>19.72</v>
      </c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  <c r="AS288" s="155"/>
    </row>
    <row r="289" spans="1:45" ht="12.6" customHeight="1" x14ac:dyDescent="0.3">
      <c r="A289" s="107"/>
      <c r="B289" s="107"/>
      <c r="C289" s="107"/>
      <c r="D289" s="107"/>
      <c r="E289" s="107"/>
      <c r="F289" s="107"/>
      <c r="G289" s="17" t="s">
        <v>848</v>
      </c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  <c r="AS289" s="155"/>
    </row>
    <row r="290" spans="1:45" ht="12.6" customHeight="1" x14ac:dyDescent="0.3">
      <c r="A290" s="84"/>
      <c r="B290" s="41" t="str">
        <f>"OH = (cm2 - t1)/cm2 = "&amp;AG290&amp;""</f>
        <v>OH = (cm2 - t1)/cm2 = 0.16</v>
      </c>
      <c r="C290" s="107"/>
      <c r="D290" s="107"/>
      <c r="E290" s="107"/>
      <c r="F290" s="107"/>
      <c r="G290" s="17" t="s">
        <v>1002</v>
      </c>
      <c r="Z290" s="34" t="s">
        <v>998</v>
      </c>
      <c r="AA290" s="158" t="str">
        <f>AH288</f>
        <v>19.72</v>
      </c>
      <c r="AB290" s="34" t="s">
        <v>1004</v>
      </c>
      <c r="AC290" s="158" t="str">
        <f>AI282</f>
        <v>16.50</v>
      </c>
      <c r="AD290" s="34" t="s">
        <v>1005</v>
      </c>
      <c r="AE290" s="158" t="str">
        <f>AH288</f>
        <v>19.72</v>
      </c>
      <c r="AF290" s="34" t="s">
        <v>871</v>
      </c>
      <c r="AG290" s="158" t="str">
        <f>TEXT(ROUND((AH288-AI282)/AH288,2),"#,0.00")</f>
        <v>0.16</v>
      </c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5"/>
    </row>
    <row r="291" spans="1:45" ht="12.6" customHeight="1" x14ac:dyDescent="0.3">
      <c r="A291" s="107"/>
      <c r="B291" s="107"/>
      <c r="C291" s="107"/>
      <c r="D291" s="107"/>
      <c r="E291" s="107"/>
      <c r="F291" s="107"/>
      <c r="G291" s="17" t="s">
        <v>848</v>
      </c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  <c r="AO291" s="155"/>
      <c r="AP291" s="155"/>
      <c r="AQ291" s="155"/>
      <c r="AR291" s="155"/>
      <c r="AS291" s="155"/>
    </row>
    <row r="292" spans="1:45" ht="12.6" customHeight="1" x14ac:dyDescent="0.3">
      <c r="A292" s="84"/>
      <c r="B292" s="41" t="str">
        <f>"Q = "&amp;Z292&amp;" * q1 * f * E / Cm2 = "&amp;AJ292&amp;" m2/hr "</f>
        <v xml:space="preserve">Q = 60 * q1 * f * E / Cm2 = 13.42 m2/hr </v>
      </c>
      <c r="C292" s="107"/>
      <c r="D292" s="107"/>
      <c r="E292" s="107"/>
      <c r="F292" s="107"/>
      <c r="G292" s="17" t="s">
        <v>1003</v>
      </c>
      <c r="Z292" s="157">
        <v>60</v>
      </c>
      <c r="AA292" s="34" t="s">
        <v>876</v>
      </c>
      <c r="AB292" s="158" t="str">
        <f>AI272</f>
        <v>4.90</v>
      </c>
      <c r="AC292" s="34" t="s">
        <v>876</v>
      </c>
      <c r="AD292" s="158">
        <f>AF274</f>
        <v>1</v>
      </c>
      <c r="AE292" s="34" t="s">
        <v>876</v>
      </c>
      <c r="AF292" s="158">
        <f>AB274</f>
        <v>0.9</v>
      </c>
      <c r="AG292" s="34" t="s">
        <v>873</v>
      </c>
      <c r="AH292" s="158" t="str">
        <f>AH288</f>
        <v>19.72</v>
      </c>
      <c r="AI292" s="34" t="s">
        <v>871</v>
      </c>
      <c r="AJ292" s="158" t="str">
        <f>TEXT(ROUND(Z292*AI272*AF274*AB274/AH288,2),"#,0.00")</f>
        <v>13.42</v>
      </c>
      <c r="AK292" s="155"/>
      <c r="AL292" s="155"/>
      <c r="AM292" s="155"/>
      <c r="AN292" s="155"/>
      <c r="AO292" s="155"/>
      <c r="AP292" s="155"/>
      <c r="AQ292" s="155"/>
      <c r="AR292" s="155"/>
      <c r="AS292" s="155"/>
    </row>
    <row r="293" spans="1:45" ht="12.6" customHeight="1" x14ac:dyDescent="0.3">
      <c r="A293" s="107"/>
      <c r="B293" s="107"/>
      <c r="C293" s="107"/>
      <c r="D293" s="107"/>
      <c r="E293" s="107"/>
      <c r="F293" s="107"/>
      <c r="G293" s="17" t="s">
        <v>848</v>
      </c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5"/>
      <c r="AQ293" s="155"/>
      <c r="AR293" s="155"/>
      <c r="AS293" s="155"/>
    </row>
    <row r="294" spans="1:45" ht="12.6" customHeight="1" x14ac:dyDescent="0.3">
      <c r="A294" s="107"/>
      <c r="B294" s="107"/>
      <c r="C294" s="107"/>
      <c r="D294" s="107"/>
      <c r="E294" s="107"/>
      <c r="F294" s="107"/>
      <c r="G294" s="17" t="s">
        <v>848</v>
      </c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  <c r="AO294" s="155"/>
      <c r="AP294" s="155"/>
      <c r="AQ294" s="155"/>
      <c r="AR294" s="155"/>
      <c r="AS294" s="155"/>
    </row>
    <row r="295" spans="1:45" ht="12.6" customHeight="1" x14ac:dyDescent="0.3">
      <c r="A295" s="84" t="s">
        <v>1007</v>
      </c>
      <c r="B295" s="146" t="str">
        <f>" 노 무 비  :   "&amp;TEXT(I295,"#,##0"&amp;IF(I295&lt;&gt;INT(I295),".###",""))&amp;" / Q = "&amp;TEXT(C295,"#,##0.0")&amp;""</f>
        <v xml:space="preserve"> 노 무 비  :   57,077 / Q = 4,253.1</v>
      </c>
      <c r="C295" s="148">
        <f>E295+D295+F295</f>
        <v>4253.1000000000004</v>
      </c>
      <c r="D295" s="148">
        <f>IF(H295=0,0,ROUNDDOWN(J295*H295,1))</f>
        <v>4253.1000000000004</v>
      </c>
      <c r="E295" s="148">
        <f>IF(H295=0,0,ROUNDDOWN(K295*H295,1))</f>
        <v>0</v>
      </c>
      <c r="F295" s="148">
        <f>IF(H295=0,0,ROUNDDOWN(L295*H295,1))</f>
        <v>0</v>
      </c>
      <c r="G295" s="17" t="s">
        <v>1006</v>
      </c>
      <c r="H295" s="152">
        <f>ROUNDUP(AC295,14-LEN(ABS(INT(AC295))))</f>
        <v>7.4515648286199998E-2</v>
      </c>
      <c r="I295" s="153">
        <f>K295+J295+L295</f>
        <v>57077</v>
      </c>
      <c r="J295" s="37">
        <f>중기목록표!F10</f>
        <v>57077</v>
      </c>
      <c r="M295" s="34" t="s">
        <v>1008</v>
      </c>
      <c r="N295" s="34" t="s">
        <v>886</v>
      </c>
      <c r="X295" s="154" t="str">
        <f>중기목록표!B10&amp;" / "&amp;중기목록표!C10</f>
        <v>덤프트럭 / 15톤,(암석)</v>
      </c>
      <c r="Y295" s="3" t="str">
        <f ca="1">HYPERLINK("#"&amp;중기목록표!J2&amp;"!A"&amp;ROW(중기목록표!A10),"X00031 →")</f>
        <v>X00031 →</v>
      </c>
      <c r="Z295" s="34" t="s">
        <v>879</v>
      </c>
      <c r="AA295" s="158" t="str">
        <f>AJ292</f>
        <v>13.42</v>
      </c>
      <c r="AB295" s="34" t="s">
        <v>871</v>
      </c>
      <c r="AC295" s="158">
        <f>1/AJ292</f>
        <v>7.4515648286140088E-2</v>
      </c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  <c r="AS295" s="155"/>
    </row>
    <row r="296" spans="1:45" ht="12.6" customHeight="1" x14ac:dyDescent="0.3">
      <c r="A296" s="107"/>
      <c r="B296" s="107"/>
      <c r="C296" s="107"/>
      <c r="D296" s="107"/>
      <c r="E296" s="107"/>
      <c r="F296" s="107"/>
      <c r="G296" s="17" t="s">
        <v>848</v>
      </c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  <c r="AS296" s="155"/>
    </row>
    <row r="297" spans="1:45" ht="12.6" customHeight="1" x14ac:dyDescent="0.3">
      <c r="A297" s="84" t="s">
        <v>1010</v>
      </c>
      <c r="B297" s="146" t="str">
        <f>" 재 료 비  :   "&amp;TEXT(I297,"#,##0"&amp;IF(I297&lt;&gt;INT(I297),".###",""))&amp;" / Q * OH= "&amp;TEXT(C297,"#,##0.0")&amp;""</f>
        <v xml:space="preserve"> 재 료 비  :   27,668 / Q * OH= 329.8</v>
      </c>
      <c r="C297" s="148">
        <f>E297+D297+F297</f>
        <v>329.8</v>
      </c>
      <c r="D297" s="148">
        <f>IF(H297=0,0,ROUNDDOWN(J297*H297,1))</f>
        <v>0</v>
      </c>
      <c r="E297" s="148">
        <f>IF(H297=0,0,ROUNDDOWN(K297*H297,1))</f>
        <v>329.8</v>
      </c>
      <c r="F297" s="148">
        <f>IF(H297=0,0,ROUNDDOWN(L297*H297,1))</f>
        <v>0</v>
      </c>
      <c r="G297" s="17" t="s">
        <v>1009</v>
      </c>
      <c r="H297" s="152">
        <f>ROUNDUP(AE297,14-LEN(ABS(INT(AE297))))</f>
        <v>1.1922503725799999E-2</v>
      </c>
      <c r="I297" s="153">
        <f>K297+J297+L297</f>
        <v>27668</v>
      </c>
      <c r="K297" s="37">
        <f>중기목록표!G10</f>
        <v>27668</v>
      </c>
      <c r="M297" s="34" t="s">
        <v>1008</v>
      </c>
      <c r="N297" s="34" t="s">
        <v>886</v>
      </c>
      <c r="X297" s="154" t="str">
        <f>중기목록표!B10&amp;" / "&amp;중기목록표!C10</f>
        <v>덤프트럭 / 15톤,(암석)</v>
      </c>
      <c r="Y297" s="3" t="str">
        <f ca="1">HYPERLINK("#"&amp;중기목록표!J2&amp;"!A"&amp;ROW(중기목록표!A10),"X00031 →")</f>
        <v>X00031 →</v>
      </c>
      <c r="Z297" s="34" t="s">
        <v>879</v>
      </c>
      <c r="AA297" s="158" t="str">
        <f>AJ292</f>
        <v>13.42</v>
      </c>
      <c r="AB297" s="34" t="s">
        <v>876</v>
      </c>
      <c r="AC297" s="158" t="str">
        <f>AG290</f>
        <v>0.16</v>
      </c>
      <c r="AD297" s="34" t="s">
        <v>871</v>
      </c>
      <c r="AE297" s="158">
        <f>1/AJ292*AG290</f>
        <v>1.1922503725782414E-2</v>
      </c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  <c r="AS297" s="155"/>
    </row>
    <row r="298" spans="1:45" ht="12.6" customHeight="1" x14ac:dyDescent="0.3">
      <c r="A298" s="107"/>
      <c r="B298" s="107"/>
      <c r="C298" s="107"/>
      <c r="D298" s="107"/>
      <c r="E298" s="107"/>
      <c r="F298" s="107"/>
      <c r="G298" s="17" t="s">
        <v>848</v>
      </c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</row>
    <row r="299" spans="1:45" ht="12.6" customHeight="1" x14ac:dyDescent="0.3">
      <c r="A299" s="84" t="s">
        <v>1012</v>
      </c>
      <c r="B299" s="146" t="str">
        <f>" 경    비  :   "&amp;TEXT(I299,"#,##0"&amp;IF(I299&lt;&gt;INT(I299),".###",""))&amp;" / Q = "&amp;TEXT(C299,"#,##0.0")&amp;""</f>
        <v xml:space="preserve"> 경    비  :   23,835 / Q = 1,776.0</v>
      </c>
      <c r="C299" s="148">
        <f>E299+D299+F299</f>
        <v>1776</v>
      </c>
      <c r="D299" s="148">
        <f>IF(H299=0,0,ROUNDDOWN(J299*H299,1))</f>
        <v>0</v>
      </c>
      <c r="E299" s="148">
        <f>IF(H299=0,0,ROUNDDOWN(K299*H299,1))</f>
        <v>0</v>
      </c>
      <c r="F299" s="148">
        <f>IF(H299=0,0,ROUNDDOWN(L299*H299,1))</f>
        <v>1776</v>
      </c>
      <c r="G299" s="17" t="s">
        <v>1011</v>
      </c>
      <c r="H299" s="152">
        <f>ROUNDUP(AC299,14-LEN(ABS(INT(AC299))))</f>
        <v>7.4515648286199998E-2</v>
      </c>
      <c r="I299" s="153">
        <f>K299+J299+L299</f>
        <v>23835</v>
      </c>
      <c r="L299" s="37">
        <f>중기목록표!H10</f>
        <v>23835</v>
      </c>
      <c r="M299" s="34" t="s">
        <v>1008</v>
      </c>
      <c r="N299" s="34" t="s">
        <v>886</v>
      </c>
      <c r="X299" s="154" t="str">
        <f>중기목록표!B10&amp;" / "&amp;중기목록표!C10</f>
        <v>덤프트럭 / 15톤,(암석)</v>
      </c>
      <c r="Y299" s="3" t="str">
        <f ca="1">HYPERLINK("#"&amp;중기목록표!J2&amp;"!A"&amp;ROW(중기목록표!A10),"X00031 →")</f>
        <v>X00031 →</v>
      </c>
      <c r="Z299" s="34" t="s">
        <v>879</v>
      </c>
      <c r="AA299" s="158" t="str">
        <f>AJ292</f>
        <v>13.42</v>
      </c>
      <c r="AB299" s="34" t="s">
        <v>871</v>
      </c>
      <c r="AC299" s="158">
        <f>1/AJ292</f>
        <v>7.4515648286140088E-2</v>
      </c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  <c r="AS299" s="155"/>
    </row>
    <row r="300" spans="1:45" ht="12.6" customHeight="1" x14ac:dyDescent="0.3">
      <c r="A300" s="107"/>
      <c r="B300" s="107"/>
      <c r="C300" s="107"/>
      <c r="D300" s="107"/>
      <c r="E300" s="107"/>
      <c r="F300" s="107"/>
      <c r="G300" s="17" t="s">
        <v>848</v>
      </c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5"/>
    </row>
    <row r="301" spans="1:45" ht="12.6" customHeight="1" x14ac:dyDescent="0.3">
      <c r="A301" s="84"/>
      <c r="B301" s="41" t="s">
        <v>885</v>
      </c>
      <c r="C301" s="149">
        <f>E301+D301+F301</f>
        <v>6358.9000000000005</v>
      </c>
      <c r="D301" s="149">
        <f>SUMIF(N266:N300,M301,D266:D300)</f>
        <v>4253.1000000000004</v>
      </c>
      <c r="E301" s="149">
        <f>SUMIF(N266:N300,M301,E266:E300)</f>
        <v>329.8</v>
      </c>
      <c r="F301" s="149">
        <f>SUMIF(N266:N300,M301,F266:F300)</f>
        <v>1776</v>
      </c>
      <c r="G301" s="17" t="s">
        <v>884</v>
      </c>
      <c r="M301" s="34" t="s">
        <v>886</v>
      </c>
      <c r="N301" s="34" t="s">
        <v>891</v>
      </c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5"/>
    </row>
    <row r="302" spans="1:45" ht="12.6" customHeight="1" x14ac:dyDescent="0.3">
      <c r="A302" s="107"/>
      <c r="B302" s="107"/>
      <c r="C302" s="147"/>
      <c r="D302" s="147"/>
      <c r="E302" s="147"/>
      <c r="F302" s="147"/>
      <c r="G302" s="17" t="s">
        <v>848</v>
      </c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</row>
    <row r="303" spans="1:45" ht="12.6" customHeight="1" x14ac:dyDescent="0.3">
      <c r="A303" s="84"/>
      <c r="B303" s="41" t="s">
        <v>769</v>
      </c>
      <c r="C303" s="149">
        <f>E303+D303+F303</f>
        <v>20344.900000000001</v>
      </c>
      <c r="D303" s="149">
        <f>SUMIF(N180:N302,M303,D180:D302)</f>
        <v>12033.1</v>
      </c>
      <c r="E303" s="149">
        <f>SUMIF(N180:N302,M303,E180:E302)</f>
        <v>2762.2000000000003</v>
      </c>
      <c r="F303" s="149">
        <f>SUMIF(N180:N302,M303,F180:F302)</f>
        <v>5549.6</v>
      </c>
      <c r="G303" s="17" t="s">
        <v>890</v>
      </c>
      <c r="M303" s="34" t="s">
        <v>891</v>
      </c>
      <c r="N303" s="34" t="s">
        <v>768</v>
      </c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  <c r="AS303" s="155"/>
    </row>
    <row r="304" spans="1:45" ht="12.6" customHeight="1" x14ac:dyDescent="0.3">
      <c r="A304" s="107"/>
      <c r="B304" s="107"/>
      <c r="C304" s="147"/>
      <c r="D304" s="147"/>
      <c r="E304" s="147"/>
      <c r="F304" s="147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  <c r="AS304" s="155"/>
    </row>
    <row r="305" spans="1:45" ht="12.6" customHeight="1" x14ac:dyDescent="0.3">
      <c r="A305" s="107"/>
      <c r="B305" s="107"/>
      <c r="C305" s="107"/>
      <c r="D305" s="107"/>
      <c r="E305" s="107"/>
      <c r="F305" s="107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  <c r="AO305" s="155"/>
      <c r="AP305" s="155"/>
      <c r="AQ305" s="155"/>
      <c r="AR305" s="155"/>
      <c r="AS305" s="155"/>
    </row>
    <row r="306" spans="1:45" ht="12.6" customHeight="1" x14ac:dyDescent="0.3">
      <c r="A306" s="107"/>
      <c r="B306" s="107"/>
      <c r="C306" s="107"/>
      <c r="D306" s="107"/>
      <c r="E306" s="107"/>
      <c r="F306" s="107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  <c r="AS306" s="155"/>
    </row>
    <row r="307" spans="1:45" ht="12.6" customHeight="1" x14ac:dyDescent="0.3">
      <c r="A307" s="107"/>
      <c r="B307" s="107"/>
      <c r="C307" s="107"/>
      <c r="D307" s="107"/>
      <c r="E307" s="107"/>
      <c r="F307" s="107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  <c r="AO307" s="155"/>
      <c r="AP307" s="155"/>
      <c r="AQ307" s="155"/>
      <c r="AR307" s="155"/>
      <c r="AS307" s="155"/>
    </row>
    <row r="308" spans="1:45" ht="12.6" customHeight="1" x14ac:dyDescent="0.3">
      <c r="A308" s="107"/>
      <c r="B308" s="107"/>
      <c r="C308" s="107"/>
      <c r="D308" s="107"/>
      <c r="E308" s="107"/>
      <c r="F308" s="107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  <c r="AO308" s="155"/>
      <c r="AP308" s="155"/>
      <c r="AQ308" s="155"/>
      <c r="AR308" s="155"/>
      <c r="AS308" s="155"/>
    </row>
    <row r="309" spans="1:45" ht="12.6" customHeight="1" x14ac:dyDescent="0.3">
      <c r="A309" s="107"/>
      <c r="B309" s="107"/>
      <c r="C309" s="107"/>
      <c r="D309" s="107"/>
      <c r="E309" s="107"/>
      <c r="F309" s="107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5"/>
      <c r="AK309" s="155"/>
      <c r="AL309" s="155"/>
      <c r="AM309" s="155"/>
      <c r="AN309" s="155"/>
      <c r="AO309" s="155"/>
      <c r="AP309" s="155"/>
      <c r="AQ309" s="155"/>
      <c r="AR309" s="155"/>
      <c r="AS309" s="155"/>
    </row>
    <row r="310" spans="1:45" ht="12.6" customHeight="1" x14ac:dyDescent="0.3">
      <c r="A310" s="107"/>
      <c r="B310" s="107"/>
      <c r="C310" s="107"/>
      <c r="D310" s="107"/>
      <c r="E310" s="107"/>
      <c r="F310" s="107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5"/>
      <c r="AP310" s="155"/>
      <c r="AQ310" s="155"/>
      <c r="AR310" s="155"/>
      <c r="AS310" s="155"/>
    </row>
    <row r="311" spans="1:45" ht="12.6" customHeight="1" x14ac:dyDescent="0.3">
      <c r="A311" s="107"/>
      <c r="B311" s="107"/>
      <c r="C311" s="107"/>
      <c r="D311" s="107"/>
      <c r="E311" s="107"/>
      <c r="F311" s="107"/>
      <c r="Z311" s="155"/>
      <c r="AA311" s="155"/>
      <c r="AB311" s="155"/>
      <c r="AC311" s="155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5"/>
      <c r="AN311" s="155"/>
      <c r="AO311" s="155"/>
      <c r="AP311" s="155"/>
      <c r="AQ311" s="155"/>
      <c r="AR311" s="155"/>
      <c r="AS311" s="155"/>
    </row>
    <row r="312" spans="1:45" ht="12.6" customHeight="1" x14ac:dyDescent="0.3">
      <c r="A312" s="107"/>
      <c r="B312" s="107"/>
      <c r="C312" s="107"/>
      <c r="D312" s="107"/>
      <c r="E312" s="107"/>
      <c r="F312" s="107"/>
      <c r="Z312" s="155"/>
      <c r="AA312" s="155"/>
      <c r="AB312" s="155"/>
      <c r="AC312" s="155"/>
      <c r="AD312" s="155"/>
      <c r="AE312" s="155"/>
      <c r="AF312" s="155"/>
      <c r="AG312" s="155"/>
      <c r="AH312" s="155"/>
      <c r="AI312" s="155"/>
      <c r="AJ312" s="155"/>
      <c r="AK312" s="155"/>
      <c r="AL312" s="155"/>
      <c r="AM312" s="155"/>
      <c r="AN312" s="155"/>
      <c r="AO312" s="155"/>
      <c r="AP312" s="155"/>
      <c r="AQ312" s="155"/>
      <c r="AR312" s="155"/>
      <c r="AS312" s="155"/>
    </row>
    <row r="313" spans="1:45" ht="12.6" customHeight="1" x14ac:dyDescent="0.3">
      <c r="A313" s="107"/>
      <c r="B313" s="107"/>
      <c r="C313" s="107"/>
      <c r="D313" s="107"/>
      <c r="E313" s="107"/>
      <c r="F313" s="107"/>
      <c r="Z313" s="155"/>
      <c r="AA313" s="155"/>
      <c r="AB313" s="155"/>
      <c r="AC313" s="155"/>
      <c r="AD313" s="155"/>
      <c r="AE313" s="155"/>
      <c r="AF313" s="155"/>
      <c r="AG313" s="155"/>
      <c r="AH313" s="155"/>
      <c r="AI313" s="155"/>
      <c r="AJ313" s="155"/>
      <c r="AK313" s="155"/>
      <c r="AL313" s="155"/>
      <c r="AM313" s="155"/>
      <c r="AN313" s="155"/>
      <c r="AO313" s="155"/>
      <c r="AP313" s="155"/>
      <c r="AQ313" s="155"/>
      <c r="AR313" s="155"/>
      <c r="AS313" s="155"/>
    </row>
    <row r="314" spans="1:45" ht="12.6" customHeight="1" x14ac:dyDescent="0.3">
      <c r="A314" s="123"/>
      <c r="B314" s="123"/>
      <c r="C314" s="123"/>
      <c r="D314" s="123"/>
      <c r="E314" s="123"/>
      <c r="F314" s="123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  <c r="AS314" s="155"/>
    </row>
    <row r="315" spans="1:45" ht="12.6" customHeight="1" x14ac:dyDescent="0.3">
      <c r="A315" s="193" t="s">
        <v>769</v>
      </c>
      <c r="B315" s="194"/>
      <c r="C315" s="99">
        <f>E315+D315+F315</f>
        <v>20344</v>
      </c>
      <c r="D315" s="121">
        <f>ROUNDDOWN(SUMIF(N180:N303,M315,D180:D303),0)</f>
        <v>12033</v>
      </c>
      <c r="E315" s="120">
        <f>ROUNDDOWN(SUMIF(N180:N303,M315,E180:E303),0)</f>
        <v>2762</v>
      </c>
      <c r="F315" s="99">
        <f>ROUNDDOWN(SUMIF(N180:N303,M315,F180:F303),0)</f>
        <v>5549</v>
      </c>
      <c r="M315" s="34" t="s">
        <v>768</v>
      </c>
      <c r="N315" s="34" t="s">
        <v>770</v>
      </c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  <c r="AO315" s="155"/>
      <c r="AP315" s="155"/>
      <c r="AQ315" s="155"/>
      <c r="AR315" s="155"/>
      <c r="AS315" s="155"/>
    </row>
    <row r="316" spans="1:45" ht="12.6" customHeight="1" x14ac:dyDescent="0.3">
      <c r="A316" s="193" t="s">
        <v>893</v>
      </c>
      <c r="B316" s="194"/>
      <c r="C316" s="99">
        <f>E316+D316+F316</f>
        <v>17902</v>
      </c>
      <c r="D316" s="121">
        <f>ROUNDDOWN(D315*H316/100,0)</f>
        <v>10589</v>
      </c>
      <c r="E316" s="120">
        <f>ROUNDDOWN(E315*H316/100,0)</f>
        <v>2430</v>
      </c>
      <c r="F316" s="99">
        <f>ROUNDDOWN(F315*H316/100,0)</f>
        <v>4883</v>
      </c>
      <c r="H316" s="35">
        <v>88</v>
      </c>
      <c r="M316" s="34" t="s">
        <v>770</v>
      </c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  <c r="AO316" s="155"/>
      <c r="AP316" s="155"/>
      <c r="AQ316" s="155"/>
      <c r="AR316" s="155"/>
      <c r="AS316" s="155"/>
    </row>
    <row r="317" spans="1:45" ht="12.6" customHeight="1" x14ac:dyDescent="0.3">
      <c r="A317" s="144" t="s">
        <v>63</v>
      </c>
      <c r="B317" s="145" t="s">
        <v>63</v>
      </c>
      <c r="C317" s="232">
        <f>C455</f>
        <v>19259</v>
      </c>
      <c r="D317" s="232">
        <f>D455</f>
        <v>12318</v>
      </c>
      <c r="E317" s="232">
        <f>E455</f>
        <v>2729</v>
      </c>
      <c r="F317" s="232">
        <f>F455</f>
        <v>4212</v>
      </c>
      <c r="G317" s="141" t="str">
        <f>HYPERLINK("#G"&amp;ROW(G439),"_x0005_`BDCOD|D01438_x0007_`POSS|"&amp;ROW(G319)&amp;"_x0007_`POSE|"&amp;ROW(G439)&amp;"_x0007_`")</f>
        <v>_x0005_`BDCOD|D01438_x0007_`POSS|319_x0007_`POSE|439_x0007_`</v>
      </c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  <c r="AO317" s="155"/>
      <c r="AP317" s="155"/>
      <c r="AQ317" s="155"/>
      <c r="AR317" s="155"/>
      <c r="AS317" s="155"/>
    </row>
    <row r="318" spans="1:45" ht="12.6" customHeight="1" x14ac:dyDescent="0.3">
      <c r="A318" s="124"/>
      <c r="B318" s="145" t="s">
        <v>62</v>
      </c>
      <c r="C318" s="189"/>
      <c r="D318" s="189"/>
      <c r="E318" s="189"/>
      <c r="F318" s="189"/>
      <c r="M318" s="34" t="s">
        <v>1013</v>
      </c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  <c r="AO318" s="155"/>
      <c r="AP318" s="155"/>
      <c r="AQ318" s="155"/>
      <c r="AR318" s="155"/>
      <c r="AS318" s="155"/>
    </row>
    <row r="319" spans="1:45" ht="12.6" customHeight="1" x14ac:dyDescent="0.3">
      <c r="A319" s="84"/>
      <c r="B319" s="41" t="s">
        <v>921</v>
      </c>
      <c r="C319" s="147"/>
      <c r="D319" s="147"/>
      <c r="E319" s="147"/>
      <c r="F319" s="147"/>
      <c r="G319" s="17" t="s">
        <v>920</v>
      </c>
      <c r="Z319" s="155"/>
      <c r="AA319" s="155"/>
      <c r="AB319" s="155"/>
      <c r="AC319" s="155"/>
      <c r="AD319" s="155"/>
      <c r="AE319" s="155"/>
      <c r="AF319" s="155"/>
      <c r="AG319" s="155"/>
      <c r="AH319" s="155"/>
      <c r="AI319" s="155"/>
      <c r="AJ319" s="155"/>
      <c r="AK319" s="155"/>
      <c r="AL319" s="155"/>
      <c r="AM319" s="155"/>
      <c r="AN319" s="155"/>
      <c r="AO319" s="155"/>
      <c r="AP319" s="155"/>
      <c r="AQ319" s="155"/>
      <c r="AR319" s="155"/>
      <c r="AS319" s="155"/>
    </row>
    <row r="320" spans="1:45" ht="12.6" customHeight="1" x14ac:dyDescent="0.3">
      <c r="A320" s="107"/>
      <c r="B320" s="107"/>
      <c r="C320" s="107"/>
      <c r="D320" s="107"/>
      <c r="E320" s="107"/>
      <c r="F320" s="107"/>
      <c r="G320" s="17" t="s">
        <v>848</v>
      </c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155"/>
      <c r="AN320" s="155"/>
      <c r="AO320" s="155"/>
      <c r="AP320" s="155"/>
      <c r="AQ320" s="155"/>
      <c r="AR320" s="155"/>
      <c r="AS320" s="155"/>
    </row>
    <row r="321" spans="1:45" ht="12.6" customHeight="1" x14ac:dyDescent="0.3">
      <c r="A321" s="84"/>
      <c r="B321" s="41" t="s">
        <v>923</v>
      </c>
      <c r="C321" s="107"/>
      <c r="D321" s="107"/>
      <c r="E321" s="107"/>
      <c r="F321" s="107"/>
      <c r="G321" s="17" t="s">
        <v>922</v>
      </c>
      <c r="Z321" s="155"/>
      <c r="AA321" s="155"/>
      <c r="AB321" s="155"/>
      <c r="AC321" s="155"/>
      <c r="AD321" s="155"/>
      <c r="AE321" s="155"/>
      <c r="AF321" s="155"/>
      <c r="AG321" s="155"/>
      <c r="AH321" s="155"/>
      <c r="AI321" s="155"/>
      <c r="AJ321" s="155"/>
      <c r="AK321" s="155"/>
      <c r="AL321" s="155"/>
      <c r="AM321" s="155"/>
      <c r="AN321" s="155"/>
      <c r="AO321" s="155"/>
      <c r="AP321" s="155"/>
      <c r="AQ321" s="155"/>
      <c r="AR321" s="155"/>
      <c r="AS321" s="155"/>
    </row>
    <row r="322" spans="1:45" ht="12.6" customHeight="1" x14ac:dyDescent="0.3">
      <c r="A322" s="107"/>
      <c r="B322" s="107"/>
      <c r="C322" s="107"/>
      <c r="D322" s="107"/>
      <c r="E322" s="107"/>
      <c r="F322" s="107"/>
      <c r="G322" s="17" t="s">
        <v>848</v>
      </c>
      <c r="Z322" s="155"/>
      <c r="AA322" s="155"/>
      <c r="AB322" s="155"/>
      <c r="AC322" s="155"/>
      <c r="AD322" s="155"/>
      <c r="AE322" s="155"/>
      <c r="AF322" s="155"/>
      <c r="AG322" s="155"/>
      <c r="AH322" s="155"/>
      <c r="AI322" s="155"/>
      <c r="AJ322" s="155"/>
      <c r="AK322" s="155"/>
      <c r="AL322" s="155"/>
      <c r="AM322" s="155"/>
      <c r="AN322" s="155"/>
      <c r="AO322" s="155"/>
      <c r="AP322" s="155"/>
      <c r="AQ322" s="155"/>
      <c r="AR322" s="155"/>
      <c r="AS322" s="155"/>
    </row>
    <row r="323" spans="1:45" ht="12.6" customHeight="1" x14ac:dyDescent="0.3">
      <c r="A323" s="84"/>
      <c r="B323" s="41" t="s">
        <v>925</v>
      </c>
      <c r="C323" s="107"/>
      <c r="D323" s="107"/>
      <c r="E323" s="107"/>
      <c r="F323" s="107"/>
      <c r="G323" s="17" t="s">
        <v>924</v>
      </c>
      <c r="Z323" s="155"/>
      <c r="AA323" s="155"/>
      <c r="AB323" s="155"/>
      <c r="AC323" s="155"/>
      <c r="AD323" s="155"/>
      <c r="AE323" s="155"/>
      <c r="AF323" s="155"/>
      <c r="AG323" s="155"/>
      <c r="AH323" s="155"/>
      <c r="AI323" s="155"/>
      <c r="AJ323" s="155"/>
      <c r="AK323" s="155"/>
      <c r="AL323" s="155"/>
      <c r="AM323" s="155"/>
      <c r="AN323" s="155"/>
      <c r="AO323" s="155"/>
      <c r="AP323" s="155"/>
      <c r="AQ323" s="155"/>
      <c r="AR323" s="155"/>
      <c r="AS323" s="155"/>
    </row>
    <row r="324" spans="1:45" ht="12.6" customHeight="1" x14ac:dyDescent="0.3">
      <c r="A324" s="107"/>
      <c r="B324" s="107"/>
      <c r="C324" s="107"/>
      <c r="D324" s="107"/>
      <c r="E324" s="107"/>
      <c r="F324" s="107"/>
      <c r="G324" s="17" t="s">
        <v>848</v>
      </c>
      <c r="Z324" s="155"/>
      <c r="AA324" s="155"/>
      <c r="AB324" s="155"/>
      <c r="AC324" s="155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5"/>
      <c r="AN324" s="155"/>
      <c r="AO324" s="155"/>
      <c r="AP324" s="155"/>
      <c r="AQ324" s="155"/>
      <c r="AR324" s="155"/>
      <c r="AS324" s="155"/>
    </row>
    <row r="325" spans="1:45" ht="12.6" customHeight="1" x14ac:dyDescent="0.3">
      <c r="A325" s="84"/>
      <c r="B325" s="41" t="s">
        <v>927</v>
      </c>
      <c r="C325" s="107"/>
      <c r="D325" s="107"/>
      <c r="E325" s="107"/>
      <c r="F325" s="107"/>
      <c r="G325" s="17" t="s">
        <v>926</v>
      </c>
      <c r="Z325" s="155"/>
      <c r="AA325" s="155"/>
      <c r="AB325" s="155"/>
      <c r="AC325" s="155"/>
      <c r="AD325" s="155"/>
      <c r="AE325" s="155"/>
      <c r="AF325" s="155"/>
      <c r="AG325" s="155"/>
      <c r="AH325" s="155"/>
      <c r="AI325" s="155"/>
      <c r="AJ325" s="155"/>
      <c r="AK325" s="155"/>
      <c r="AL325" s="155"/>
      <c r="AM325" s="155"/>
      <c r="AN325" s="155"/>
      <c r="AO325" s="155"/>
      <c r="AP325" s="155"/>
      <c r="AQ325" s="155"/>
      <c r="AR325" s="155"/>
      <c r="AS325" s="155"/>
    </row>
    <row r="326" spans="1:45" ht="12.6" customHeight="1" x14ac:dyDescent="0.3">
      <c r="A326" s="107"/>
      <c r="B326" s="107"/>
      <c r="C326" s="107"/>
      <c r="D326" s="107"/>
      <c r="E326" s="107"/>
      <c r="F326" s="107"/>
      <c r="G326" s="17" t="s">
        <v>848</v>
      </c>
      <c r="Z326" s="155"/>
      <c r="AA326" s="155"/>
      <c r="AB326" s="155"/>
      <c r="AC326" s="155"/>
      <c r="AD326" s="155"/>
      <c r="AE326" s="155"/>
      <c r="AF326" s="155"/>
      <c r="AG326" s="155"/>
      <c r="AH326" s="155"/>
      <c r="AI326" s="155"/>
      <c r="AJ326" s="155"/>
      <c r="AK326" s="155"/>
      <c r="AL326" s="155"/>
      <c r="AM326" s="155"/>
      <c r="AN326" s="155"/>
      <c r="AO326" s="155"/>
      <c r="AP326" s="155"/>
      <c r="AQ326" s="155"/>
      <c r="AR326" s="155"/>
      <c r="AS326" s="155"/>
    </row>
    <row r="327" spans="1:45" ht="12.6" customHeight="1" x14ac:dyDescent="0.3">
      <c r="A327" s="84"/>
      <c r="B327" s="41" t="s">
        <v>929</v>
      </c>
      <c r="C327" s="107"/>
      <c r="D327" s="107"/>
      <c r="E327" s="107"/>
      <c r="F327" s="107"/>
      <c r="G327" s="17" t="s">
        <v>928</v>
      </c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155"/>
      <c r="AN327" s="155"/>
      <c r="AO327" s="155"/>
      <c r="AP327" s="155"/>
      <c r="AQ327" s="155"/>
      <c r="AR327" s="155"/>
      <c r="AS327" s="155"/>
    </row>
    <row r="328" spans="1:45" ht="12.6" customHeight="1" x14ac:dyDescent="0.3">
      <c r="A328" s="107"/>
      <c r="B328" s="107"/>
      <c r="C328" s="107"/>
      <c r="D328" s="107"/>
      <c r="E328" s="107"/>
      <c r="F328" s="107"/>
      <c r="G328" s="17" t="s">
        <v>848</v>
      </c>
      <c r="Z328" s="155"/>
      <c r="AA328" s="155"/>
      <c r="AB328" s="155"/>
      <c r="AC328" s="155"/>
      <c r="AD328" s="155"/>
      <c r="AE328" s="155"/>
      <c r="AF328" s="155"/>
      <c r="AG328" s="155"/>
      <c r="AH328" s="155"/>
      <c r="AI328" s="155"/>
      <c r="AJ328" s="155"/>
      <c r="AK328" s="155"/>
      <c r="AL328" s="155"/>
      <c r="AM328" s="155"/>
      <c r="AN328" s="155"/>
      <c r="AO328" s="155"/>
      <c r="AP328" s="155"/>
      <c r="AQ328" s="155"/>
      <c r="AR328" s="155"/>
      <c r="AS328" s="155"/>
    </row>
    <row r="329" spans="1:45" ht="12.6" customHeight="1" x14ac:dyDescent="0.3">
      <c r="A329" s="84"/>
      <c r="B329" s="41" t="s">
        <v>856</v>
      </c>
      <c r="C329" s="107"/>
      <c r="D329" s="107"/>
      <c r="E329" s="107"/>
      <c r="F329" s="107"/>
      <c r="G329" s="17" t="s">
        <v>855</v>
      </c>
      <c r="Z329" s="155"/>
      <c r="AA329" s="155"/>
      <c r="AB329" s="155"/>
      <c r="AC329" s="155"/>
      <c r="AD329" s="155"/>
      <c r="AE329" s="155"/>
      <c r="AF329" s="155"/>
      <c r="AG329" s="155"/>
      <c r="AH329" s="155"/>
      <c r="AI329" s="155"/>
      <c r="AJ329" s="155"/>
      <c r="AK329" s="155"/>
      <c r="AL329" s="155"/>
      <c r="AM329" s="155"/>
      <c r="AN329" s="155"/>
      <c r="AO329" s="155"/>
      <c r="AP329" s="155"/>
      <c r="AQ329" s="155"/>
      <c r="AR329" s="155"/>
      <c r="AS329" s="155"/>
    </row>
    <row r="330" spans="1:45" ht="12.6" customHeight="1" x14ac:dyDescent="0.3">
      <c r="A330" s="107"/>
      <c r="B330" s="107"/>
      <c r="C330" s="107"/>
      <c r="D330" s="107"/>
      <c r="E330" s="107"/>
      <c r="F330" s="107"/>
      <c r="G330" s="17" t="s">
        <v>848</v>
      </c>
      <c r="Z330" s="155"/>
      <c r="AA330" s="155"/>
      <c r="AB330" s="155"/>
      <c r="AC330" s="155"/>
      <c r="AD330" s="155"/>
      <c r="AE330" s="155"/>
      <c r="AF330" s="155"/>
      <c r="AG330" s="155"/>
      <c r="AH330" s="155"/>
      <c r="AI330" s="155"/>
      <c r="AJ330" s="155"/>
      <c r="AK330" s="155"/>
      <c r="AL330" s="155"/>
      <c r="AM330" s="155"/>
      <c r="AN330" s="155"/>
      <c r="AO330" s="155"/>
      <c r="AP330" s="155"/>
      <c r="AQ330" s="155"/>
      <c r="AR330" s="155"/>
      <c r="AS330" s="155"/>
    </row>
    <row r="331" spans="1:45" ht="12.6" customHeight="1" x14ac:dyDescent="0.3">
      <c r="A331" s="84"/>
      <c r="B331" s="41" t="s">
        <v>931</v>
      </c>
      <c r="C331" s="107"/>
      <c r="D331" s="107"/>
      <c r="E331" s="107"/>
      <c r="F331" s="107"/>
      <c r="G331" s="17" t="s">
        <v>930</v>
      </c>
      <c r="Z331" s="155"/>
      <c r="AA331" s="155"/>
      <c r="AB331" s="155"/>
      <c r="AC331" s="155"/>
      <c r="AD331" s="155"/>
      <c r="AE331" s="155"/>
      <c r="AF331" s="155"/>
      <c r="AG331" s="155"/>
      <c r="AH331" s="155"/>
      <c r="AI331" s="155"/>
      <c r="AJ331" s="155"/>
      <c r="AK331" s="155"/>
      <c r="AL331" s="155"/>
      <c r="AM331" s="155"/>
      <c r="AN331" s="155"/>
      <c r="AO331" s="155"/>
      <c r="AP331" s="155"/>
      <c r="AQ331" s="155"/>
      <c r="AR331" s="155"/>
      <c r="AS331" s="155"/>
    </row>
    <row r="332" spans="1:45" ht="12.6" customHeight="1" x14ac:dyDescent="0.3">
      <c r="A332" s="107"/>
      <c r="B332" s="107"/>
      <c r="C332" s="107"/>
      <c r="D332" s="107"/>
      <c r="E332" s="107"/>
      <c r="F332" s="107"/>
      <c r="G332" s="17" t="s">
        <v>848</v>
      </c>
      <c r="Z332" s="155"/>
      <c r="AA332" s="155"/>
      <c r="AB332" s="155"/>
      <c r="AC332" s="155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  <c r="AO332" s="155"/>
      <c r="AP332" s="155"/>
      <c r="AQ332" s="155"/>
      <c r="AR332" s="155"/>
      <c r="AS332" s="155"/>
    </row>
    <row r="333" spans="1:45" ht="12.6" customHeight="1" x14ac:dyDescent="0.3">
      <c r="A333" s="84"/>
      <c r="B333" s="41" t="s">
        <v>933</v>
      </c>
      <c r="C333" s="107"/>
      <c r="D333" s="107"/>
      <c r="E333" s="107"/>
      <c r="F333" s="107"/>
      <c r="G333" s="17" t="s">
        <v>932</v>
      </c>
      <c r="Z333" s="155"/>
      <c r="AA333" s="155"/>
      <c r="AB333" s="155"/>
      <c r="AC333" s="155"/>
      <c r="AD333" s="155"/>
      <c r="AE333" s="155"/>
      <c r="AF333" s="155"/>
      <c r="AG333" s="155"/>
      <c r="AH333" s="155"/>
      <c r="AI333" s="155"/>
      <c r="AJ333" s="155"/>
      <c r="AK333" s="155"/>
      <c r="AL333" s="155"/>
      <c r="AM333" s="155"/>
      <c r="AN333" s="155"/>
      <c r="AO333" s="155"/>
      <c r="AP333" s="155"/>
      <c r="AQ333" s="155"/>
      <c r="AR333" s="155"/>
      <c r="AS333" s="155"/>
    </row>
    <row r="334" spans="1:45" ht="12.6" customHeight="1" x14ac:dyDescent="0.3">
      <c r="A334" s="107"/>
      <c r="B334" s="107"/>
      <c r="C334" s="107"/>
      <c r="D334" s="107"/>
      <c r="E334" s="107"/>
      <c r="F334" s="107"/>
      <c r="G334" s="17" t="s">
        <v>848</v>
      </c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155"/>
      <c r="AN334" s="155"/>
      <c r="AO334" s="155"/>
      <c r="AP334" s="155"/>
      <c r="AQ334" s="155"/>
      <c r="AR334" s="155"/>
      <c r="AS334" s="155"/>
    </row>
    <row r="335" spans="1:45" ht="12.6" customHeight="1" x14ac:dyDescent="0.3">
      <c r="A335" s="84"/>
      <c r="B335" s="41" t="s">
        <v>935</v>
      </c>
      <c r="C335" s="107"/>
      <c r="D335" s="107"/>
      <c r="E335" s="107"/>
      <c r="F335" s="107"/>
      <c r="G335" s="17" t="s">
        <v>934</v>
      </c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5"/>
      <c r="AP335" s="155"/>
      <c r="AQ335" s="155"/>
      <c r="AR335" s="155"/>
      <c r="AS335" s="155"/>
    </row>
    <row r="336" spans="1:45" ht="12.6" customHeight="1" x14ac:dyDescent="0.3">
      <c r="A336" s="107"/>
      <c r="B336" s="107"/>
      <c r="C336" s="107"/>
      <c r="D336" s="107"/>
      <c r="E336" s="107"/>
      <c r="F336" s="107"/>
      <c r="G336" s="17" t="s">
        <v>848</v>
      </c>
      <c r="Z336" s="155"/>
      <c r="AA336" s="155"/>
      <c r="AB336" s="155"/>
      <c r="AC336" s="155"/>
      <c r="AD336" s="155"/>
      <c r="AE336" s="155"/>
      <c r="AF336" s="155"/>
      <c r="AG336" s="155"/>
      <c r="AH336" s="155"/>
      <c r="AI336" s="155"/>
      <c r="AJ336" s="155"/>
      <c r="AK336" s="155"/>
      <c r="AL336" s="155"/>
      <c r="AM336" s="155"/>
      <c r="AN336" s="155"/>
      <c r="AO336" s="155"/>
      <c r="AP336" s="155"/>
      <c r="AQ336" s="155"/>
      <c r="AR336" s="155"/>
      <c r="AS336" s="155"/>
    </row>
    <row r="337" spans="1:45" ht="12.6" customHeight="1" x14ac:dyDescent="0.3">
      <c r="A337" s="84"/>
      <c r="B337" s="41" t="s">
        <v>937</v>
      </c>
      <c r="C337" s="107"/>
      <c r="D337" s="107"/>
      <c r="E337" s="107"/>
      <c r="F337" s="107"/>
      <c r="G337" s="17" t="s">
        <v>936</v>
      </c>
      <c r="Z337" s="155"/>
      <c r="AA337" s="155"/>
      <c r="AB337" s="155"/>
      <c r="AC337" s="155"/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5"/>
      <c r="AN337" s="155"/>
      <c r="AO337" s="155"/>
      <c r="AP337" s="155"/>
      <c r="AQ337" s="155"/>
      <c r="AR337" s="155"/>
      <c r="AS337" s="155"/>
    </row>
    <row r="338" spans="1:45" ht="12.6" customHeight="1" x14ac:dyDescent="0.3">
      <c r="A338" s="107"/>
      <c r="B338" s="107"/>
      <c r="C338" s="107"/>
      <c r="D338" s="107"/>
      <c r="E338" s="107"/>
      <c r="F338" s="107"/>
      <c r="G338" s="17" t="s">
        <v>848</v>
      </c>
      <c r="Z338" s="155"/>
      <c r="AA338" s="155"/>
      <c r="AB338" s="155"/>
      <c r="AC338" s="155"/>
      <c r="AD338" s="155"/>
      <c r="AE338" s="155"/>
      <c r="AF338" s="155"/>
      <c r="AG338" s="155"/>
      <c r="AH338" s="155"/>
      <c r="AI338" s="155"/>
      <c r="AJ338" s="155"/>
      <c r="AK338" s="155"/>
      <c r="AL338" s="155"/>
      <c r="AM338" s="155"/>
      <c r="AN338" s="155"/>
      <c r="AO338" s="155"/>
      <c r="AP338" s="155"/>
      <c r="AQ338" s="155"/>
      <c r="AR338" s="155"/>
      <c r="AS338" s="155"/>
    </row>
    <row r="339" spans="1:45" ht="12.6" customHeight="1" x14ac:dyDescent="0.3">
      <c r="A339" s="84"/>
      <c r="B339" s="41" t="s">
        <v>939</v>
      </c>
      <c r="C339" s="107"/>
      <c r="D339" s="107"/>
      <c r="E339" s="107"/>
      <c r="F339" s="107"/>
      <c r="G339" s="17" t="s">
        <v>938</v>
      </c>
      <c r="Z339" s="155"/>
      <c r="AA339" s="155"/>
      <c r="AB339" s="155"/>
      <c r="AC339" s="155"/>
      <c r="AD339" s="155"/>
      <c r="AE339" s="155"/>
      <c r="AF339" s="155"/>
      <c r="AG339" s="155"/>
      <c r="AH339" s="155"/>
      <c r="AI339" s="155"/>
      <c r="AJ339" s="155"/>
      <c r="AK339" s="155"/>
      <c r="AL339" s="155"/>
      <c r="AM339" s="155"/>
      <c r="AN339" s="155"/>
      <c r="AO339" s="155"/>
      <c r="AP339" s="155"/>
      <c r="AQ339" s="155"/>
      <c r="AR339" s="155"/>
      <c r="AS339" s="155"/>
    </row>
    <row r="340" spans="1:45" ht="12.6" customHeight="1" x14ac:dyDescent="0.3">
      <c r="A340" s="107"/>
      <c r="B340" s="107"/>
      <c r="C340" s="107"/>
      <c r="D340" s="107"/>
      <c r="E340" s="107"/>
      <c r="F340" s="107"/>
      <c r="G340" s="17" t="s">
        <v>848</v>
      </c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  <c r="AO340" s="155"/>
      <c r="AP340" s="155"/>
      <c r="AQ340" s="155"/>
      <c r="AR340" s="155"/>
      <c r="AS340" s="155"/>
    </row>
    <row r="341" spans="1:45" ht="12.6" customHeight="1" x14ac:dyDescent="0.3">
      <c r="A341" s="84"/>
      <c r="B341" s="41" t="s">
        <v>941</v>
      </c>
      <c r="C341" s="107"/>
      <c r="D341" s="107"/>
      <c r="E341" s="107"/>
      <c r="F341" s="107"/>
      <c r="G341" s="17" t="s">
        <v>940</v>
      </c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155"/>
      <c r="AN341" s="155"/>
      <c r="AO341" s="155"/>
      <c r="AP341" s="155"/>
      <c r="AQ341" s="155"/>
      <c r="AR341" s="155"/>
      <c r="AS341" s="155"/>
    </row>
    <row r="342" spans="1:45" ht="12.6" customHeight="1" x14ac:dyDescent="0.3">
      <c r="A342" s="107"/>
      <c r="B342" s="107"/>
      <c r="C342" s="107"/>
      <c r="D342" s="107"/>
      <c r="E342" s="107"/>
      <c r="F342" s="107"/>
      <c r="G342" s="17" t="s">
        <v>848</v>
      </c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  <c r="AO342" s="155"/>
      <c r="AP342" s="155"/>
      <c r="AQ342" s="155"/>
      <c r="AR342" s="155"/>
      <c r="AS342" s="155"/>
    </row>
    <row r="343" spans="1:45" ht="12.6" customHeight="1" x14ac:dyDescent="0.3">
      <c r="A343" s="84"/>
      <c r="B343" s="41" t="s">
        <v>943</v>
      </c>
      <c r="C343" s="107"/>
      <c r="D343" s="107"/>
      <c r="E343" s="107"/>
      <c r="F343" s="107"/>
      <c r="G343" s="17" t="s">
        <v>942</v>
      </c>
      <c r="Z343" s="155"/>
      <c r="AA343" s="155"/>
      <c r="AB343" s="155"/>
      <c r="AC343" s="155"/>
      <c r="AD343" s="155"/>
      <c r="AE343" s="155"/>
      <c r="AF343" s="155"/>
      <c r="AG343" s="155"/>
      <c r="AH343" s="155"/>
      <c r="AI343" s="155"/>
      <c r="AJ343" s="155"/>
      <c r="AK343" s="155"/>
      <c r="AL343" s="155"/>
      <c r="AM343" s="155"/>
      <c r="AN343" s="155"/>
      <c r="AO343" s="155"/>
      <c r="AP343" s="155"/>
      <c r="AQ343" s="155"/>
      <c r="AR343" s="155"/>
      <c r="AS343" s="155"/>
    </row>
    <row r="344" spans="1:45" ht="12.6" customHeight="1" x14ac:dyDescent="0.3">
      <c r="A344" s="107"/>
      <c r="B344" s="107"/>
      <c r="C344" s="107"/>
      <c r="D344" s="107"/>
      <c r="E344" s="107"/>
      <c r="F344" s="107"/>
      <c r="G344" s="17" t="s">
        <v>848</v>
      </c>
      <c r="Z344" s="155"/>
      <c r="AA344" s="155"/>
      <c r="AB344" s="155"/>
      <c r="AC344" s="155"/>
      <c r="AD344" s="155"/>
      <c r="AE344" s="155"/>
      <c r="AF344" s="155"/>
      <c r="AG344" s="155"/>
      <c r="AH344" s="155"/>
      <c r="AI344" s="155"/>
      <c r="AJ344" s="155"/>
      <c r="AK344" s="155"/>
      <c r="AL344" s="155"/>
      <c r="AM344" s="155"/>
      <c r="AN344" s="155"/>
      <c r="AO344" s="155"/>
      <c r="AP344" s="155"/>
      <c r="AQ344" s="155"/>
      <c r="AR344" s="155"/>
      <c r="AS344" s="155"/>
    </row>
    <row r="345" spans="1:45" ht="12.6" customHeight="1" x14ac:dyDescent="0.3">
      <c r="A345" s="84"/>
      <c r="B345" s="41" t="s">
        <v>858</v>
      </c>
      <c r="C345" s="107"/>
      <c r="D345" s="107"/>
      <c r="E345" s="107"/>
      <c r="F345" s="107"/>
      <c r="G345" s="17" t="s">
        <v>857</v>
      </c>
      <c r="Z345" s="155"/>
      <c r="AA345" s="155"/>
      <c r="AB345" s="155"/>
      <c r="AC345" s="155"/>
      <c r="AD345" s="155"/>
      <c r="AE345" s="155"/>
      <c r="AF345" s="155"/>
      <c r="AG345" s="155"/>
      <c r="AH345" s="155"/>
      <c r="AI345" s="155"/>
      <c r="AJ345" s="155"/>
      <c r="AK345" s="155"/>
      <c r="AL345" s="155"/>
      <c r="AM345" s="155"/>
      <c r="AN345" s="155"/>
      <c r="AO345" s="155"/>
      <c r="AP345" s="155"/>
      <c r="AQ345" s="155"/>
      <c r="AR345" s="155"/>
      <c r="AS345" s="155"/>
    </row>
    <row r="346" spans="1:45" ht="12.6" customHeight="1" x14ac:dyDescent="0.3">
      <c r="A346" s="107"/>
      <c r="B346" s="107"/>
      <c r="C346" s="107"/>
      <c r="D346" s="107"/>
      <c r="E346" s="107"/>
      <c r="F346" s="107"/>
      <c r="G346" s="17" t="s">
        <v>848</v>
      </c>
      <c r="Z346" s="155"/>
      <c r="AA346" s="155"/>
      <c r="AB346" s="155"/>
      <c r="AC346" s="155"/>
      <c r="AD346" s="155"/>
      <c r="AE346" s="155"/>
      <c r="AF346" s="155"/>
      <c r="AG346" s="155"/>
      <c r="AH346" s="155"/>
      <c r="AI346" s="155"/>
      <c r="AJ346" s="155"/>
      <c r="AK346" s="155"/>
      <c r="AL346" s="155"/>
      <c r="AM346" s="155"/>
      <c r="AN346" s="155"/>
      <c r="AO346" s="155"/>
      <c r="AP346" s="155"/>
      <c r="AQ346" s="155"/>
      <c r="AR346" s="155"/>
      <c r="AS346" s="155"/>
    </row>
    <row r="347" spans="1:45" ht="12.6" customHeight="1" x14ac:dyDescent="0.3">
      <c r="A347" s="84"/>
      <c r="B347" s="41" t="s">
        <v>945</v>
      </c>
      <c r="C347" s="107"/>
      <c r="D347" s="107"/>
      <c r="E347" s="107"/>
      <c r="F347" s="107"/>
      <c r="G347" s="17" t="s">
        <v>944</v>
      </c>
      <c r="Z347" s="155"/>
      <c r="AA347" s="155"/>
      <c r="AB347" s="155"/>
      <c r="AC347" s="155"/>
      <c r="AD347" s="155"/>
      <c r="AE347" s="155"/>
      <c r="AF347" s="155"/>
      <c r="AG347" s="155"/>
      <c r="AH347" s="155"/>
      <c r="AI347" s="155"/>
      <c r="AJ347" s="155"/>
      <c r="AK347" s="155"/>
      <c r="AL347" s="155"/>
      <c r="AM347" s="155"/>
      <c r="AN347" s="155"/>
      <c r="AO347" s="155"/>
      <c r="AP347" s="155"/>
      <c r="AQ347" s="155"/>
      <c r="AR347" s="155"/>
      <c r="AS347" s="155"/>
    </row>
    <row r="348" spans="1:45" ht="12.6" customHeight="1" x14ac:dyDescent="0.3">
      <c r="A348" s="107"/>
      <c r="B348" s="107"/>
      <c r="C348" s="107"/>
      <c r="D348" s="107"/>
      <c r="E348" s="107"/>
      <c r="F348" s="107"/>
      <c r="G348" s="17" t="s">
        <v>848</v>
      </c>
      <c r="Z348" s="155"/>
      <c r="AA348" s="155"/>
      <c r="AB348" s="155"/>
      <c r="AC348" s="155"/>
      <c r="AD348" s="155"/>
      <c r="AE348" s="155"/>
      <c r="AF348" s="155"/>
      <c r="AG348" s="155"/>
      <c r="AH348" s="155"/>
      <c r="AI348" s="155"/>
      <c r="AJ348" s="155"/>
      <c r="AK348" s="155"/>
      <c r="AL348" s="155"/>
      <c r="AM348" s="155"/>
      <c r="AN348" s="155"/>
      <c r="AO348" s="155"/>
      <c r="AP348" s="155"/>
      <c r="AQ348" s="155"/>
      <c r="AR348" s="155"/>
      <c r="AS348" s="155"/>
    </row>
    <row r="349" spans="1:45" ht="12.6" customHeight="1" x14ac:dyDescent="0.3">
      <c r="A349" s="84"/>
      <c r="B349" s="41" t="s">
        <v>947</v>
      </c>
      <c r="C349" s="107"/>
      <c r="D349" s="107"/>
      <c r="E349" s="107"/>
      <c r="F349" s="107"/>
      <c r="G349" s="17" t="s">
        <v>946</v>
      </c>
      <c r="Z349" s="155"/>
      <c r="AA349" s="155"/>
      <c r="AB349" s="155"/>
      <c r="AC349" s="155"/>
      <c r="AD349" s="155"/>
      <c r="AE349" s="155"/>
      <c r="AF349" s="155"/>
      <c r="AG349" s="155"/>
      <c r="AH349" s="155"/>
      <c r="AI349" s="155"/>
      <c r="AJ349" s="155"/>
      <c r="AK349" s="155"/>
      <c r="AL349" s="155"/>
      <c r="AM349" s="155"/>
      <c r="AN349" s="155"/>
      <c r="AO349" s="155"/>
      <c r="AP349" s="155"/>
      <c r="AQ349" s="155"/>
      <c r="AR349" s="155"/>
      <c r="AS349" s="155"/>
    </row>
    <row r="350" spans="1:45" ht="12.6" customHeight="1" x14ac:dyDescent="0.3">
      <c r="A350" s="107"/>
      <c r="B350" s="107"/>
      <c r="C350" s="107"/>
      <c r="D350" s="107"/>
      <c r="E350" s="107"/>
      <c r="F350" s="107"/>
      <c r="G350" s="17" t="s">
        <v>848</v>
      </c>
      <c r="Z350" s="155"/>
      <c r="AA350" s="155"/>
      <c r="AB350" s="155"/>
      <c r="AC350" s="155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5"/>
      <c r="AN350" s="155"/>
      <c r="AO350" s="155"/>
      <c r="AP350" s="155"/>
      <c r="AQ350" s="155"/>
      <c r="AR350" s="155"/>
      <c r="AS350" s="155"/>
    </row>
    <row r="351" spans="1:45" ht="12.6" customHeight="1" x14ac:dyDescent="0.3">
      <c r="A351" s="84"/>
      <c r="B351" s="41" t="s">
        <v>949</v>
      </c>
      <c r="C351" s="107"/>
      <c r="D351" s="107"/>
      <c r="E351" s="107"/>
      <c r="F351" s="107"/>
      <c r="G351" s="17" t="s">
        <v>948</v>
      </c>
      <c r="Z351" s="155"/>
      <c r="AA351" s="155"/>
      <c r="AB351" s="155"/>
      <c r="AC351" s="155"/>
      <c r="AD351" s="155"/>
      <c r="AE351" s="155"/>
      <c r="AF351" s="155"/>
      <c r="AG351" s="155"/>
      <c r="AH351" s="155"/>
      <c r="AI351" s="155"/>
      <c r="AJ351" s="155"/>
      <c r="AK351" s="155"/>
      <c r="AL351" s="155"/>
      <c r="AM351" s="155"/>
      <c r="AN351" s="155"/>
      <c r="AO351" s="155"/>
      <c r="AP351" s="155"/>
      <c r="AQ351" s="155"/>
      <c r="AR351" s="155"/>
      <c r="AS351" s="155"/>
    </row>
    <row r="352" spans="1:45" ht="12.6" customHeight="1" x14ac:dyDescent="0.3">
      <c r="A352" s="107"/>
      <c r="B352" s="107"/>
      <c r="C352" s="107"/>
      <c r="D352" s="107"/>
      <c r="E352" s="107"/>
      <c r="F352" s="107"/>
      <c r="G352" s="17" t="s">
        <v>848</v>
      </c>
      <c r="Z352" s="155"/>
      <c r="AA352" s="155"/>
      <c r="AB352" s="155"/>
      <c r="AC352" s="155"/>
      <c r="AD352" s="155"/>
      <c r="AE352" s="155"/>
      <c r="AF352" s="155"/>
      <c r="AG352" s="155"/>
      <c r="AH352" s="155"/>
      <c r="AI352" s="155"/>
      <c r="AJ352" s="155"/>
      <c r="AK352" s="155"/>
      <c r="AL352" s="155"/>
      <c r="AM352" s="155"/>
      <c r="AN352" s="155"/>
      <c r="AO352" s="155"/>
      <c r="AP352" s="155"/>
      <c r="AQ352" s="155"/>
      <c r="AR352" s="155"/>
      <c r="AS352" s="155"/>
    </row>
    <row r="353" spans="1:45" ht="12.6" customHeight="1" x14ac:dyDescent="0.3">
      <c r="A353" s="84"/>
      <c r="B353" s="41" t="s">
        <v>951</v>
      </c>
      <c r="C353" s="107"/>
      <c r="D353" s="107"/>
      <c r="E353" s="107"/>
      <c r="F353" s="107"/>
      <c r="G353" s="17" t="s">
        <v>950</v>
      </c>
      <c r="Z353" s="155"/>
      <c r="AA353" s="155"/>
      <c r="AB353" s="155"/>
      <c r="AC353" s="155"/>
      <c r="AD353" s="155"/>
      <c r="AE353" s="155"/>
      <c r="AF353" s="155"/>
      <c r="AG353" s="155"/>
      <c r="AH353" s="155"/>
      <c r="AI353" s="155"/>
      <c r="AJ353" s="155"/>
      <c r="AK353" s="155"/>
      <c r="AL353" s="155"/>
      <c r="AM353" s="155"/>
      <c r="AN353" s="155"/>
      <c r="AO353" s="155"/>
      <c r="AP353" s="155"/>
      <c r="AQ353" s="155"/>
      <c r="AR353" s="155"/>
      <c r="AS353" s="155"/>
    </row>
    <row r="354" spans="1:45" ht="12.6" customHeight="1" x14ac:dyDescent="0.3">
      <c r="A354" s="107"/>
      <c r="B354" s="107"/>
      <c r="C354" s="107"/>
      <c r="D354" s="107"/>
      <c r="E354" s="107"/>
      <c r="F354" s="107"/>
      <c r="G354" s="17" t="s">
        <v>848</v>
      </c>
      <c r="Z354" s="155"/>
      <c r="AA354" s="155"/>
      <c r="AB354" s="155"/>
      <c r="AC354" s="155"/>
      <c r="AD354" s="155"/>
      <c r="AE354" s="155"/>
      <c r="AF354" s="155"/>
      <c r="AG354" s="155"/>
      <c r="AH354" s="155"/>
      <c r="AI354" s="155"/>
      <c r="AJ354" s="155"/>
      <c r="AK354" s="155"/>
      <c r="AL354" s="155"/>
      <c r="AM354" s="155"/>
      <c r="AN354" s="155"/>
      <c r="AO354" s="155"/>
      <c r="AP354" s="155"/>
      <c r="AQ354" s="155"/>
      <c r="AR354" s="155"/>
      <c r="AS354" s="155"/>
    </row>
    <row r="355" spans="1:45" ht="12.6" customHeight="1" x14ac:dyDescent="0.3">
      <c r="A355" s="84"/>
      <c r="B355" s="41" t="s">
        <v>953</v>
      </c>
      <c r="C355" s="107"/>
      <c r="D355" s="107"/>
      <c r="E355" s="107"/>
      <c r="F355" s="107"/>
      <c r="G355" s="17" t="s">
        <v>952</v>
      </c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  <c r="AS355" s="155"/>
    </row>
    <row r="356" spans="1:45" ht="12.6" customHeight="1" x14ac:dyDescent="0.3">
      <c r="A356" s="107"/>
      <c r="B356" s="107"/>
      <c r="C356" s="107"/>
      <c r="D356" s="107"/>
      <c r="E356" s="107"/>
      <c r="F356" s="107"/>
      <c r="G356" s="17" t="s">
        <v>848</v>
      </c>
      <c r="Z356" s="155"/>
      <c r="AA356" s="155"/>
      <c r="AB356" s="155"/>
      <c r="AC356" s="155"/>
      <c r="AD356" s="155"/>
      <c r="AE356" s="155"/>
      <c r="AF356" s="155"/>
      <c r="AG356" s="155"/>
      <c r="AH356" s="155"/>
      <c r="AI356" s="155"/>
      <c r="AJ356" s="155"/>
      <c r="AK356" s="155"/>
      <c r="AL356" s="155"/>
      <c r="AM356" s="155"/>
      <c r="AN356" s="155"/>
      <c r="AO356" s="155"/>
      <c r="AP356" s="155"/>
      <c r="AQ356" s="155"/>
      <c r="AR356" s="155"/>
      <c r="AS356" s="155"/>
    </row>
    <row r="357" spans="1:45" ht="12.6" customHeight="1" x14ac:dyDescent="0.3">
      <c r="A357" s="84"/>
      <c r="B357" s="41" t="s">
        <v>955</v>
      </c>
      <c r="C357" s="107"/>
      <c r="D357" s="107"/>
      <c r="E357" s="107"/>
      <c r="F357" s="107"/>
      <c r="G357" s="17" t="s">
        <v>954</v>
      </c>
      <c r="Z357" s="155"/>
      <c r="AA357" s="155"/>
      <c r="AB357" s="155"/>
      <c r="AC357" s="155"/>
      <c r="AD357" s="155"/>
      <c r="AE357" s="155"/>
      <c r="AF357" s="155"/>
      <c r="AG357" s="155"/>
      <c r="AH357" s="155"/>
      <c r="AI357" s="155"/>
      <c r="AJ357" s="155"/>
      <c r="AK357" s="155"/>
      <c r="AL357" s="155"/>
      <c r="AM357" s="155"/>
      <c r="AN357" s="155"/>
      <c r="AO357" s="155"/>
      <c r="AP357" s="155"/>
      <c r="AQ357" s="155"/>
      <c r="AR357" s="155"/>
      <c r="AS357" s="155"/>
    </row>
    <row r="358" spans="1:45" ht="12.6" customHeight="1" x14ac:dyDescent="0.3">
      <c r="A358" s="107"/>
      <c r="B358" s="107"/>
      <c r="C358" s="107"/>
      <c r="D358" s="107"/>
      <c r="E358" s="107"/>
      <c r="F358" s="107"/>
      <c r="G358" s="17" t="s">
        <v>848</v>
      </c>
      <c r="Z358" s="155"/>
      <c r="AA358" s="155"/>
      <c r="AB358" s="155"/>
      <c r="AC358" s="155"/>
      <c r="AD358" s="155"/>
      <c r="AE358" s="155"/>
      <c r="AF358" s="155"/>
      <c r="AG358" s="155"/>
      <c r="AH358" s="155"/>
      <c r="AI358" s="155"/>
      <c r="AJ358" s="155"/>
      <c r="AK358" s="155"/>
      <c r="AL358" s="155"/>
      <c r="AM358" s="155"/>
      <c r="AN358" s="155"/>
      <c r="AO358" s="155"/>
      <c r="AP358" s="155"/>
      <c r="AQ358" s="155"/>
      <c r="AR358" s="155"/>
      <c r="AS358" s="155"/>
    </row>
    <row r="359" spans="1:45" ht="12.6" customHeight="1" x14ac:dyDescent="0.3">
      <c r="A359" s="84"/>
      <c r="B359" s="41" t="s">
        <v>1015</v>
      </c>
      <c r="C359" s="107"/>
      <c r="D359" s="107"/>
      <c r="E359" s="107"/>
      <c r="F359" s="107"/>
      <c r="G359" s="17" t="s">
        <v>1014</v>
      </c>
      <c r="Z359" s="155"/>
      <c r="AA359" s="155"/>
      <c r="AB359" s="155"/>
      <c r="AC359" s="155"/>
      <c r="AD359" s="155"/>
      <c r="AE359" s="155"/>
      <c r="AF359" s="155"/>
      <c r="AG359" s="155"/>
      <c r="AH359" s="155"/>
      <c r="AI359" s="155"/>
      <c r="AJ359" s="155"/>
      <c r="AK359" s="155"/>
      <c r="AL359" s="155"/>
      <c r="AM359" s="155"/>
      <c r="AN359" s="155"/>
      <c r="AO359" s="155"/>
      <c r="AP359" s="155"/>
      <c r="AQ359" s="155"/>
      <c r="AR359" s="155"/>
      <c r="AS359" s="155"/>
    </row>
    <row r="360" spans="1:45" ht="12.6" customHeight="1" x14ac:dyDescent="0.3">
      <c r="A360" s="107"/>
      <c r="B360" s="107"/>
      <c r="C360" s="107"/>
      <c r="D360" s="107"/>
      <c r="E360" s="107"/>
      <c r="F360" s="107"/>
      <c r="G360" s="17" t="s">
        <v>848</v>
      </c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5"/>
      <c r="AP360" s="155"/>
      <c r="AQ360" s="155"/>
      <c r="AR360" s="155"/>
      <c r="AS360" s="155"/>
    </row>
    <row r="361" spans="1:45" ht="12.6" customHeight="1" x14ac:dyDescent="0.3">
      <c r="A361" s="107"/>
      <c r="B361" s="107"/>
      <c r="C361" s="107"/>
      <c r="D361" s="107"/>
      <c r="E361" s="107"/>
      <c r="F361" s="107"/>
      <c r="G361" s="17" t="s">
        <v>848</v>
      </c>
      <c r="Z361" s="155"/>
      <c r="AA361" s="155"/>
      <c r="AB361" s="155"/>
      <c r="AC361" s="155"/>
      <c r="AD361" s="155"/>
      <c r="AE361" s="155"/>
      <c r="AF361" s="155"/>
      <c r="AG361" s="155"/>
      <c r="AH361" s="155"/>
      <c r="AI361" s="155"/>
      <c r="AJ361" s="155"/>
      <c r="AK361" s="155"/>
      <c r="AL361" s="155"/>
      <c r="AM361" s="155"/>
      <c r="AN361" s="155"/>
      <c r="AO361" s="155"/>
      <c r="AP361" s="155"/>
      <c r="AQ361" s="155"/>
      <c r="AR361" s="155"/>
      <c r="AS361" s="155"/>
    </row>
    <row r="362" spans="1:45" ht="12.6" customHeight="1" x14ac:dyDescent="0.3">
      <c r="A362" s="84"/>
      <c r="B362" s="41" t="s">
        <v>1017</v>
      </c>
      <c r="C362" s="107"/>
      <c r="D362" s="107"/>
      <c r="E362" s="107"/>
      <c r="F362" s="107"/>
      <c r="G362" s="17" t="s">
        <v>1016</v>
      </c>
      <c r="Z362" s="155"/>
      <c r="AA362" s="155"/>
      <c r="AB362" s="155"/>
      <c r="AC362" s="155"/>
      <c r="AD362" s="155"/>
      <c r="AE362" s="155"/>
      <c r="AF362" s="155"/>
      <c r="AG362" s="155"/>
      <c r="AH362" s="155"/>
      <c r="AI362" s="155"/>
      <c r="AJ362" s="155"/>
      <c r="AK362" s="155"/>
      <c r="AL362" s="155"/>
      <c r="AM362" s="155"/>
      <c r="AN362" s="155"/>
      <c r="AO362" s="155"/>
      <c r="AP362" s="155"/>
      <c r="AQ362" s="155"/>
      <c r="AR362" s="155"/>
      <c r="AS362" s="155"/>
    </row>
    <row r="363" spans="1:45" ht="12.6" customHeight="1" x14ac:dyDescent="0.3">
      <c r="A363" s="107"/>
      <c r="B363" s="107"/>
      <c r="C363" s="107"/>
      <c r="D363" s="107"/>
      <c r="E363" s="107"/>
      <c r="F363" s="107"/>
      <c r="G363" s="17" t="s">
        <v>848</v>
      </c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  <c r="AS363" s="155"/>
    </row>
    <row r="364" spans="1:45" ht="12.6" customHeight="1" x14ac:dyDescent="0.3">
      <c r="A364" s="84"/>
      <c r="B364" s="41" t="s">
        <v>1019</v>
      </c>
      <c r="C364" s="107"/>
      <c r="D364" s="107"/>
      <c r="E364" s="107"/>
      <c r="F364" s="107"/>
      <c r="G364" s="17" t="s">
        <v>1018</v>
      </c>
      <c r="Z364" s="155"/>
      <c r="AA364" s="155"/>
      <c r="AB364" s="155"/>
      <c r="AC364" s="155"/>
      <c r="AD364" s="155"/>
      <c r="AE364" s="155"/>
      <c r="AF364" s="155"/>
      <c r="AG364" s="155"/>
      <c r="AH364" s="155"/>
      <c r="AI364" s="155"/>
      <c r="AJ364" s="155"/>
      <c r="AK364" s="155"/>
      <c r="AL364" s="155"/>
      <c r="AM364" s="155"/>
      <c r="AN364" s="155"/>
      <c r="AO364" s="155"/>
      <c r="AP364" s="155"/>
      <c r="AQ364" s="155"/>
      <c r="AR364" s="155"/>
      <c r="AS364" s="155"/>
    </row>
    <row r="365" spans="1:45" ht="12.6" customHeight="1" x14ac:dyDescent="0.3">
      <c r="A365" s="107"/>
      <c r="B365" s="107"/>
      <c r="C365" s="107"/>
      <c r="D365" s="107"/>
      <c r="E365" s="107"/>
      <c r="F365" s="107"/>
      <c r="G365" s="17" t="s">
        <v>848</v>
      </c>
      <c r="Z365" s="155"/>
      <c r="AA365" s="155"/>
      <c r="AB365" s="155"/>
      <c r="AC365" s="155"/>
      <c r="AD365" s="155"/>
      <c r="AE365" s="155"/>
      <c r="AF365" s="155"/>
      <c r="AG365" s="155"/>
      <c r="AH365" s="155"/>
      <c r="AI365" s="155"/>
      <c r="AJ365" s="155"/>
      <c r="AK365" s="155"/>
      <c r="AL365" s="155"/>
      <c r="AM365" s="155"/>
      <c r="AN365" s="155"/>
      <c r="AO365" s="155"/>
      <c r="AP365" s="155"/>
      <c r="AQ365" s="155"/>
      <c r="AR365" s="155"/>
      <c r="AS365" s="155"/>
    </row>
    <row r="366" spans="1:45" ht="12.6" customHeight="1" x14ac:dyDescent="0.3">
      <c r="A366" s="107"/>
      <c r="B366" s="107"/>
      <c r="C366" s="107"/>
      <c r="D366" s="107"/>
      <c r="E366" s="107"/>
      <c r="F366" s="107"/>
      <c r="G366" s="17" t="s">
        <v>848</v>
      </c>
      <c r="Z366" s="155"/>
      <c r="AA366" s="155"/>
      <c r="AB366" s="155"/>
      <c r="AC366" s="155"/>
      <c r="AD366" s="155"/>
      <c r="AE366" s="155"/>
      <c r="AF366" s="155"/>
      <c r="AG366" s="155"/>
      <c r="AH366" s="155"/>
      <c r="AI366" s="155"/>
      <c r="AJ366" s="155"/>
      <c r="AK366" s="155"/>
      <c r="AL366" s="155"/>
      <c r="AM366" s="155"/>
      <c r="AN366" s="155"/>
      <c r="AO366" s="155"/>
      <c r="AP366" s="155"/>
      <c r="AQ366" s="155"/>
      <c r="AR366" s="155"/>
      <c r="AS366" s="155"/>
    </row>
    <row r="367" spans="1:45" ht="12.6" customHeight="1" x14ac:dyDescent="0.3">
      <c r="A367" s="107"/>
      <c r="B367" s="107"/>
      <c r="C367" s="107"/>
      <c r="D367" s="107"/>
      <c r="E367" s="107"/>
      <c r="F367" s="107"/>
      <c r="G367" s="17" t="s">
        <v>848</v>
      </c>
      <c r="Z367" s="155"/>
      <c r="AA367" s="155"/>
      <c r="AB367" s="155"/>
      <c r="AC367" s="155"/>
      <c r="AD367" s="155"/>
      <c r="AE367" s="155"/>
      <c r="AF367" s="155"/>
      <c r="AG367" s="155"/>
      <c r="AH367" s="155"/>
      <c r="AI367" s="155"/>
      <c r="AJ367" s="155"/>
      <c r="AK367" s="155"/>
      <c r="AL367" s="155"/>
      <c r="AM367" s="155"/>
      <c r="AN367" s="155"/>
      <c r="AO367" s="155"/>
      <c r="AP367" s="155"/>
      <c r="AQ367" s="155"/>
      <c r="AR367" s="155"/>
      <c r="AS367" s="155"/>
    </row>
    <row r="368" spans="1:45" ht="12.6" customHeight="1" x14ac:dyDescent="0.3">
      <c r="A368" s="84"/>
      <c r="B368" s="41" t="s">
        <v>966</v>
      </c>
      <c r="C368" s="107"/>
      <c r="D368" s="107"/>
      <c r="E368" s="107"/>
      <c r="F368" s="107"/>
      <c r="G368" s="17" t="s">
        <v>965</v>
      </c>
      <c r="Z368" s="155"/>
      <c r="AA368" s="155"/>
      <c r="AB368" s="155"/>
      <c r="AC368" s="155"/>
      <c r="AD368" s="155"/>
      <c r="AE368" s="155"/>
      <c r="AF368" s="155"/>
      <c r="AG368" s="155"/>
      <c r="AH368" s="155"/>
      <c r="AI368" s="155"/>
      <c r="AJ368" s="155"/>
      <c r="AK368" s="155"/>
      <c r="AL368" s="155"/>
      <c r="AM368" s="155"/>
      <c r="AN368" s="155"/>
      <c r="AO368" s="155"/>
      <c r="AP368" s="155"/>
      <c r="AQ368" s="155"/>
      <c r="AR368" s="155"/>
      <c r="AS368" s="155"/>
    </row>
    <row r="369" spans="1:45" ht="12.6" customHeight="1" x14ac:dyDescent="0.3">
      <c r="A369" s="107"/>
      <c r="B369" s="107"/>
      <c r="C369" s="107"/>
      <c r="D369" s="107"/>
      <c r="E369" s="107"/>
      <c r="F369" s="107"/>
      <c r="G369" s="17" t="s">
        <v>848</v>
      </c>
      <c r="Z369" s="155"/>
      <c r="AA369" s="155"/>
      <c r="AB369" s="155"/>
      <c r="AC369" s="155"/>
      <c r="AD369" s="155"/>
      <c r="AE369" s="155"/>
      <c r="AF369" s="155"/>
      <c r="AG369" s="155"/>
      <c r="AH369" s="155"/>
      <c r="AI369" s="155"/>
      <c r="AJ369" s="155"/>
      <c r="AK369" s="155"/>
      <c r="AL369" s="155"/>
      <c r="AM369" s="155"/>
      <c r="AN369" s="155"/>
      <c r="AO369" s="155"/>
      <c r="AP369" s="155"/>
      <c r="AQ369" s="155"/>
      <c r="AR369" s="155"/>
      <c r="AS369" s="155"/>
    </row>
    <row r="370" spans="1:45" ht="12.6" customHeight="1" x14ac:dyDescent="0.3">
      <c r="A370" s="84"/>
      <c r="B370" s="41" t="str">
        <f>" q (버킷용량)  = "&amp;Z370&amp;"/"&amp;AB370&amp;" = "&amp;AD370&amp;" m2  , f (토량환산계수)  = "&amp;AF370&amp;"  ,"</f>
        <v xml:space="preserve"> q (버킷용량)  = 5/17 = 0.29 m2  , f (토량환산계수)  = 1  ,</v>
      </c>
      <c r="C370" s="107"/>
      <c r="D370" s="107"/>
      <c r="E370" s="107"/>
      <c r="F370" s="107"/>
      <c r="G370" s="17" t="s">
        <v>1020</v>
      </c>
      <c r="Z370" s="157">
        <v>5</v>
      </c>
      <c r="AA370" s="34" t="s">
        <v>873</v>
      </c>
      <c r="AB370" s="157">
        <v>17</v>
      </c>
      <c r="AC370" s="34" t="s">
        <v>871</v>
      </c>
      <c r="AD370" s="158" t="str">
        <f>TEXT(ROUND(Z370/AB370,2),"#,0.00")</f>
        <v>0.29</v>
      </c>
      <c r="AE370" s="159" t="s">
        <v>872</v>
      </c>
      <c r="AF370" s="157">
        <v>1</v>
      </c>
      <c r="AG370" s="34" t="s">
        <v>871</v>
      </c>
      <c r="AH370" s="158">
        <f>AF370</f>
        <v>1</v>
      </c>
      <c r="AI370" s="159" t="s">
        <v>872</v>
      </c>
      <c r="AJ370" s="155"/>
      <c r="AK370" s="155"/>
      <c r="AL370" s="155"/>
      <c r="AM370" s="155"/>
      <c r="AN370" s="155"/>
      <c r="AO370" s="155"/>
      <c r="AP370" s="155"/>
      <c r="AQ370" s="155"/>
      <c r="AR370" s="155"/>
      <c r="AS370" s="155"/>
    </row>
    <row r="371" spans="1:45" ht="12.6" customHeight="1" x14ac:dyDescent="0.3">
      <c r="A371" s="107"/>
      <c r="B371" s="107"/>
      <c r="C371" s="107"/>
      <c r="D371" s="107"/>
      <c r="E371" s="107"/>
      <c r="F371" s="107"/>
      <c r="G371" s="17" t="s">
        <v>848</v>
      </c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  <c r="AS371" s="155"/>
    </row>
    <row r="372" spans="1:45" ht="12.6" customHeight="1" x14ac:dyDescent="0.3">
      <c r="A372" s="84"/>
      <c r="B372" s="41" t="str">
        <f>" K (버킷계수)  = "&amp;Z372&amp;""</f>
        <v xml:space="preserve"> K (버킷계수)  = 0.55</v>
      </c>
      <c r="C372" s="107"/>
      <c r="D372" s="107"/>
      <c r="E372" s="107"/>
      <c r="F372" s="107"/>
      <c r="G372" s="17" t="s">
        <v>968</v>
      </c>
      <c r="Z372" s="156">
        <v>0.55000000000000004</v>
      </c>
      <c r="AA372" s="34" t="s">
        <v>871</v>
      </c>
      <c r="AB372" s="158">
        <f>Z372</f>
        <v>0.55000000000000004</v>
      </c>
      <c r="AC372" s="155"/>
      <c r="AD372" s="155"/>
      <c r="AE372" s="155"/>
      <c r="AF372" s="155"/>
      <c r="AG372" s="155"/>
      <c r="AH372" s="155"/>
      <c r="AI372" s="155"/>
      <c r="AJ372" s="155"/>
      <c r="AK372" s="155"/>
      <c r="AL372" s="155"/>
      <c r="AM372" s="155"/>
      <c r="AN372" s="155"/>
      <c r="AO372" s="155"/>
      <c r="AP372" s="155"/>
      <c r="AQ372" s="155"/>
      <c r="AR372" s="155"/>
      <c r="AS372" s="155"/>
    </row>
    <row r="373" spans="1:45" ht="12.6" customHeight="1" x14ac:dyDescent="0.3">
      <c r="A373" s="107"/>
      <c r="B373" s="107"/>
      <c r="C373" s="107"/>
      <c r="D373" s="107"/>
      <c r="E373" s="107"/>
      <c r="F373" s="107"/>
      <c r="G373" s="17" t="s">
        <v>848</v>
      </c>
      <c r="Z373" s="155"/>
      <c r="AA373" s="155"/>
      <c r="AB373" s="155"/>
      <c r="AC373" s="155"/>
      <c r="AD373" s="155"/>
      <c r="AE373" s="155"/>
      <c r="AF373" s="155"/>
      <c r="AG373" s="155"/>
      <c r="AH373" s="155"/>
      <c r="AI373" s="155"/>
      <c r="AJ373" s="155"/>
      <c r="AK373" s="155"/>
      <c r="AL373" s="155"/>
      <c r="AM373" s="155"/>
      <c r="AN373" s="155"/>
      <c r="AO373" s="155"/>
      <c r="AP373" s="155"/>
      <c r="AQ373" s="155"/>
      <c r="AR373" s="155"/>
      <c r="AS373" s="155"/>
    </row>
    <row r="374" spans="1:45" ht="12.6" customHeight="1" x14ac:dyDescent="0.3">
      <c r="A374" s="84"/>
      <c r="B374" s="41" t="str">
        <f>" Cm (사이클)  = "&amp;Z374&amp;" sec (90˚) , E (작업효율)  = "&amp;AD374&amp;""</f>
        <v xml:space="preserve"> Cm (사이클)  = 18 sec (90˚) , E (작업효율)  = 0.45</v>
      </c>
      <c r="C374" s="107"/>
      <c r="D374" s="107"/>
      <c r="E374" s="107"/>
      <c r="F374" s="107"/>
      <c r="G374" s="17" t="s">
        <v>1021</v>
      </c>
      <c r="Z374" s="157">
        <v>18</v>
      </c>
      <c r="AA374" s="34" t="s">
        <v>871</v>
      </c>
      <c r="AB374" s="158">
        <f>Z374</f>
        <v>18</v>
      </c>
      <c r="AC374" s="159" t="s">
        <v>872</v>
      </c>
      <c r="AD374" s="156">
        <v>0.45</v>
      </c>
      <c r="AE374" s="34" t="s">
        <v>871</v>
      </c>
      <c r="AF374" s="158">
        <f>AD374</f>
        <v>0.45</v>
      </c>
      <c r="AG374" s="155"/>
      <c r="AH374" s="155"/>
      <c r="AI374" s="155"/>
      <c r="AJ374" s="155"/>
      <c r="AK374" s="155"/>
      <c r="AL374" s="155"/>
      <c r="AM374" s="155"/>
      <c r="AN374" s="155"/>
      <c r="AO374" s="155"/>
      <c r="AP374" s="155"/>
      <c r="AQ374" s="155"/>
      <c r="AR374" s="155"/>
      <c r="AS374" s="155"/>
    </row>
    <row r="375" spans="1:45" ht="12.6" customHeight="1" x14ac:dyDescent="0.3">
      <c r="A375" s="107"/>
      <c r="B375" s="107"/>
      <c r="C375" s="107"/>
      <c r="D375" s="107"/>
      <c r="E375" s="107"/>
      <c r="F375" s="107"/>
      <c r="G375" s="17" t="s">
        <v>848</v>
      </c>
      <c r="Z375" s="155"/>
      <c r="AA375" s="155"/>
      <c r="AB375" s="155"/>
      <c r="AC375" s="155"/>
      <c r="AD375" s="155"/>
      <c r="AE375" s="155"/>
      <c r="AF375" s="155"/>
      <c r="AG375" s="155"/>
      <c r="AH375" s="155"/>
      <c r="AI375" s="155"/>
      <c r="AJ375" s="155"/>
      <c r="AK375" s="155"/>
      <c r="AL375" s="155"/>
      <c r="AM375" s="155"/>
      <c r="AN375" s="155"/>
      <c r="AO375" s="155"/>
      <c r="AP375" s="155"/>
      <c r="AQ375" s="155"/>
      <c r="AR375" s="155"/>
      <c r="AS375" s="155"/>
    </row>
    <row r="376" spans="1:45" ht="12.6" customHeight="1" x14ac:dyDescent="0.3">
      <c r="A376" s="84"/>
      <c r="B376" s="41" t="str">
        <f>" Q (시간당 작업효율)  = "&amp;Z376&amp;"*q*K*f*E/Cm = "&amp;AL376&amp;" m2/hr "</f>
        <v xml:space="preserve"> Q (시간당 작업효율)  = 3600*q*K*f*E/Cm = 14.36 m2/hr </v>
      </c>
      <c r="C376" s="107"/>
      <c r="D376" s="107"/>
      <c r="E376" s="107"/>
      <c r="F376" s="107"/>
      <c r="G376" s="17" t="s">
        <v>970</v>
      </c>
      <c r="Z376" s="157">
        <v>3600</v>
      </c>
      <c r="AA376" s="34" t="s">
        <v>876</v>
      </c>
      <c r="AB376" s="158" t="str">
        <f>AD370</f>
        <v>0.29</v>
      </c>
      <c r="AC376" s="34" t="s">
        <v>876</v>
      </c>
      <c r="AD376" s="158">
        <f>AB372</f>
        <v>0.55000000000000004</v>
      </c>
      <c r="AE376" s="34" t="s">
        <v>876</v>
      </c>
      <c r="AF376" s="158">
        <f>AH370</f>
        <v>1</v>
      </c>
      <c r="AG376" s="34" t="s">
        <v>876</v>
      </c>
      <c r="AH376" s="158">
        <f>AF374</f>
        <v>0.45</v>
      </c>
      <c r="AI376" s="34" t="s">
        <v>873</v>
      </c>
      <c r="AJ376" s="158">
        <f>AB374</f>
        <v>18</v>
      </c>
      <c r="AK376" s="34" t="s">
        <v>871</v>
      </c>
      <c r="AL376" s="158" t="str">
        <f>TEXT(ROUND(Z376*AD370*AB372*AH370*AF374/AB374,2),"#,0.00")</f>
        <v>14.36</v>
      </c>
      <c r="AM376" s="155"/>
      <c r="AN376" s="155"/>
      <c r="AO376" s="155"/>
      <c r="AP376" s="155"/>
      <c r="AQ376" s="155"/>
      <c r="AR376" s="155"/>
      <c r="AS376" s="155"/>
    </row>
    <row r="377" spans="1:45" ht="12.6" customHeight="1" x14ac:dyDescent="0.3">
      <c r="A377" s="107"/>
      <c r="B377" s="107"/>
      <c r="C377" s="107"/>
      <c r="D377" s="107"/>
      <c r="E377" s="107"/>
      <c r="F377" s="107"/>
      <c r="G377" s="17" t="s">
        <v>848</v>
      </c>
      <c r="Z377" s="155"/>
      <c r="AA377" s="155"/>
      <c r="AB377" s="155"/>
      <c r="AC377" s="155"/>
      <c r="AD377" s="155"/>
      <c r="AE377" s="155"/>
      <c r="AF377" s="155"/>
      <c r="AG377" s="155"/>
      <c r="AH377" s="155"/>
      <c r="AI377" s="155"/>
      <c r="AJ377" s="155"/>
      <c r="AK377" s="155"/>
      <c r="AL377" s="155"/>
      <c r="AM377" s="155"/>
      <c r="AN377" s="155"/>
      <c r="AO377" s="155"/>
      <c r="AP377" s="155"/>
      <c r="AQ377" s="155"/>
      <c r="AR377" s="155"/>
      <c r="AS377" s="155"/>
    </row>
    <row r="378" spans="1:45" ht="12.6" customHeight="1" x14ac:dyDescent="0.3">
      <c r="A378" s="84" t="s">
        <v>1023</v>
      </c>
      <c r="B378" s="146" t="str">
        <f>" 노 무 비  : "&amp;TEXT(I378,"#,##0"&amp;IF(I378&lt;&gt;INT(I378),".###",""))&amp;" / Q = "&amp;TEXT(C378,"#,##0.0")&amp;""</f>
        <v xml:space="preserve"> 노 무 비  : 57,077 / Q = 3,974.7</v>
      </c>
      <c r="C378" s="148">
        <f>E378+D378+F378</f>
        <v>3974.7</v>
      </c>
      <c r="D378" s="148">
        <f>IF(H378=0,0,ROUNDDOWN(J378*H378,1))</f>
        <v>3974.7</v>
      </c>
      <c r="E378" s="148">
        <f>IF(H378=0,0,ROUNDDOWN(K378*H378,1))</f>
        <v>0</v>
      </c>
      <c r="F378" s="148">
        <f>IF(H378=0,0,ROUNDDOWN(L378*H378,1))</f>
        <v>0</v>
      </c>
      <c r="G378" s="17" t="s">
        <v>1022</v>
      </c>
      <c r="H378" s="152">
        <f>ROUNDUP(AC378,14-LEN(ABS(INT(AC378))))</f>
        <v>6.9637883008400001E-2</v>
      </c>
      <c r="I378" s="153">
        <f>K378+J378+L378</f>
        <v>57077</v>
      </c>
      <c r="J378" s="37">
        <f>중기목록표!F15</f>
        <v>57077</v>
      </c>
      <c r="M378" s="34" t="s">
        <v>1024</v>
      </c>
      <c r="N378" s="34" t="s">
        <v>886</v>
      </c>
      <c r="X378" s="154" t="str">
        <f>중기목록표!B15&amp;" / "&amp;중기목록표!C15</f>
        <v>굴삭기(0.7m3) / 할증율:1.20</v>
      </c>
      <c r="Y378" s="3" t="str">
        <f ca="1">HYPERLINK("#"&amp;중기목록표!J2&amp;"!A"&amp;ROW(중기목록표!A15),"X00088 →")</f>
        <v>X00088 →</v>
      </c>
      <c r="Z378" s="34" t="s">
        <v>879</v>
      </c>
      <c r="AA378" s="158" t="str">
        <f>AL376</f>
        <v>14.36</v>
      </c>
      <c r="AB378" s="34" t="s">
        <v>871</v>
      </c>
      <c r="AC378" s="158">
        <f>1/AL376</f>
        <v>6.9637883008356549E-2</v>
      </c>
      <c r="AD378" s="155"/>
      <c r="AE378" s="155"/>
      <c r="AF378" s="155"/>
      <c r="AG378" s="155"/>
      <c r="AH378" s="155"/>
      <c r="AI378" s="155"/>
      <c r="AJ378" s="155"/>
      <c r="AK378" s="155"/>
      <c r="AL378" s="155"/>
      <c r="AM378" s="155"/>
      <c r="AN378" s="155"/>
      <c r="AO378" s="155"/>
      <c r="AP378" s="155"/>
      <c r="AQ378" s="155"/>
      <c r="AR378" s="155"/>
      <c r="AS378" s="155"/>
    </row>
    <row r="379" spans="1:45" ht="12.6" customHeight="1" x14ac:dyDescent="0.3">
      <c r="A379" s="107"/>
      <c r="B379" s="107"/>
      <c r="C379" s="107"/>
      <c r="D379" s="107"/>
      <c r="E379" s="107"/>
      <c r="F379" s="107"/>
      <c r="G379" s="17" t="s">
        <v>848</v>
      </c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5"/>
      <c r="AP379" s="155"/>
      <c r="AQ379" s="155"/>
      <c r="AR379" s="155"/>
      <c r="AS379" s="155"/>
    </row>
    <row r="380" spans="1:45" ht="12.6" customHeight="1" x14ac:dyDescent="0.3">
      <c r="A380" s="84" t="s">
        <v>1026</v>
      </c>
      <c r="B380" s="146" t="str">
        <f>" 재 료 비  : "&amp;TEXT(I380,"#,##0"&amp;IF(I380&lt;&gt;INT(I380),".###",""))&amp;" / Q = "&amp;TEXT(C380,"#,##0.0")&amp;""</f>
        <v xml:space="preserve"> 재 료 비  : 17,845 / Q = 1,242.6</v>
      </c>
      <c r="C380" s="148">
        <f>E380+D380+F380</f>
        <v>1242.5999999999999</v>
      </c>
      <c r="D380" s="148">
        <f>IF(H380=0,0,ROUNDDOWN(J380*H380,1))</f>
        <v>0</v>
      </c>
      <c r="E380" s="148">
        <f>IF(H380=0,0,ROUNDDOWN(K380*H380,1))</f>
        <v>1242.5999999999999</v>
      </c>
      <c r="F380" s="148">
        <f>IF(H380=0,0,ROUNDDOWN(L380*H380,1))</f>
        <v>0</v>
      </c>
      <c r="G380" s="17" t="s">
        <v>1025</v>
      </c>
      <c r="H380" s="152">
        <f>ROUNDUP(AC380,14-LEN(ABS(INT(AC380))))</f>
        <v>6.9637883008400001E-2</v>
      </c>
      <c r="I380" s="153">
        <f>K380+J380+L380</f>
        <v>17845</v>
      </c>
      <c r="K380" s="37">
        <f>중기목록표!G15</f>
        <v>17845</v>
      </c>
      <c r="M380" s="34" t="s">
        <v>1024</v>
      </c>
      <c r="N380" s="34" t="s">
        <v>886</v>
      </c>
      <c r="X380" s="154" t="str">
        <f>중기목록표!B15&amp;" / "&amp;중기목록표!C15</f>
        <v>굴삭기(0.7m3) / 할증율:1.20</v>
      </c>
      <c r="Y380" s="3" t="str">
        <f ca="1">HYPERLINK("#"&amp;중기목록표!J2&amp;"!A"&amp;ROW(중기목록표!A15),"X00088 →")</f>
        <v>X00088 →</v>
      </c>
      <c r="Z380" s="34" t="s">
        <v>879</v>
      </c>
      <c r="AA380" s="158" t="str">
        <f>AL376</f>
        <v>14.36</v>
      </c>
      <c r="AB380" s="34" t="s">
        <v>871</v>
      </c>
      <c r="AC380" s="158">
        <f>1/AL376</f>
        <v>6.9637883008356549E-2</v>
      </c>
      <c r="AD380" s="155"/>
      <c r="AE380" s="155"/>
      <c r="AF380" s="155"/>
      <c r="AG380" s="155"/>
      <c r="AH380" s="155"/>
      <c r="AI380" s="155"/>
      <c r="AJ380" s="155"/>
      <c r="AK380" s="155"/>
      <c r="AL380" s="155"/>
      <c r="AM380" s="155"/>
      <c r="AN380" s="155"/>
      <c r="AO380" s="155"/>
      <c r="AP380" s="155"/>
      <c r="AQ380" s="155"/>
      <c r="AR380" s="155"/>
      <c r="AS380" s="155"/>
    </row>
    <row r="381" spans="1:45" ht="12.6" customHeight="1" x14ac:dyDescent="0.3">
      <c r="A381" s="107"/>
      <c r="B381" s="107"/>
      <c r="C381" s="107"/>
      <c r="D381" s="107"/>
      <c r="E381" s="107"/>
      <c r="F381" s="107"/>
      <c r="G381" s="17" t="s">
        <v>848</v>
      </c>
      <c r="Z381" s="155"/>
      <c r="AA381" s="155"/>
      <c r="AB381" s="155"/>
      <c r="AC381" s="155"/>
      <c r="AD381" s="155"/>
      <c r="AE381" s="155"/>
      <c r="AF381" s="155"/>
      <c r="AG381" s="155"/>
      <c r="AH381" s="155"/>
      <c r="AI381" s="155"/>
      <c r="AJ381" s="155"/>
      <c r="AK381" s="155"/>
      <c r="AL381" s="155"/>
      <c r="AM381" s="155"/>
      <c r="AN381" s="155"/>
      <c r="AO381" s="155"/>
      <c r="AP381" s="155"/>
      <c r="AQ381" s="155"/>
      <c r="AR381" s="155"/>
      <c r="AS381" s="155"/>
    </row>
    <row r="382" spans="1:45" ht="12.6" customHeight="1" x14ac:dyDescent="0.3">
      <c r="A382" s="84" t="s">
        <v>1028</v>
      </c>
      <c r="B382" s="146" t="str">
        <f>" 경    비  : "&amp;TEXT(I382,"#,##0"&amp;IF(I382&lt;&gt;INT(I382),".###",""))&amp;" / Q = "&amp;TEXT(C382,"#,##0.0")&amp;""</f>
        <v xml:space="preserve"> 경    비  : 27,685 / Q = 1,927.9</v>
      </c>
      <c r="C382" s="148">
        <f>E382+D382+F382</f>
        <v>1927.9</v>
      </c>
      <c r="D382" s="148">
        <f>IF(H382=0,0,ROUNDDOWN(J382*H382,1))</f>
        <v>0</v>
      </c>
      <c r="E382" s="148">
        <f>IF(H382=0,0,ROUNDDOWN(K382*H382,1))</f>
        <v>0</v>
      </c>
      <c r="F382" s="148">
        <f>IF(H382=0,0,ROUNDDOWN(L382*H382,1))</f>
        <v>1927.9</v>
      </c>
      <c r="G382" s="17" t="s">
        <v>1027</v>
      </c>
      <c r="H382" s="152">
        <f>ROUNDUP(AC382,14-LEN(ABS(INT(AC382))))</f>
        <v>6.9637883008400001E-2</v>
      </c>
      <c r="I382" s="153">
        <f>K382+J382+L382</f>
        <v>27685</v>
      </c>
      <c r="L382" s="37">
        <f>중기목록표!H15</f>
        <v>27685</v>
      </c>
      <c r="M382" s="34" t="s">
        <v>1024</v>
      </c>
      <c r="N382" s="34" t="s">
        <v>886</v>
      </c>
      <c r="X382" s="154" t="str">
        <f>중기목록표!B15&amp;" / "&amp;중기목록표!C15</f>
        <v>굴삭기(0.7m3) / 할증율:1.20</v>
      </c>
      <c r="Y382" s="3" t="str">
        <f ca="1">HYPERLINK("#"&amp;중기목록표!J2&amp;"!A"&amp;ROW(중기목록표!A15),"X00088 →")</f>
        <v>X00088 →</v>
      </c>
      <c r="Z382" s="34" t="s">
        <v>879</v>
      </c>
      <c r="AA382" s="158" t="str">
        <f>AL376</f>
        <v>14.36</v>
      </c>
      <c r="AB382" s="34" t="s">
        <v>871</v>
      </c>
      <c r="AC382" s="158">
        <f>1/AL376</f>
        <v>6.9637883008356549E-2</v>
      </c>
      <c r="AD382" s="155"/>
      <c r="AE382" s="155"/>
      <c r="AF382" s="155"/>
      <c r="AG382" s="155"/>
      <c r="AH382" s="155"/>
      <c r="AI382" s="155"/>
      <c r="AJ382" s="155"/>
      <c r="AK382" s="155"/>
      <c r="AL382" s="155"/>
      <c r="AM382" s="155"/>
      <c r="AN382" s="155"/>
      <c r="AO382" s="155"/>
      <c r="AP382" s="155"/>
      <c r="AQ382" s="155"/>
      <c r="AR382" s="155"/>
      <c r="AS382" s="155"/>
    </row>
    <row r="383" spans="1:45" ht="12.6" customHeight="1" x14ac:dyDescent="0.3">
      <c r="A383" s="107"/>
      <c r="B383" s="107"/>
      <c r="C383" s="107"/>
      <c r="D383" s="107"/>
      <c r="E383" s="107"/>
      <c r="F383" s="107"/>
      <c r="G383" s="17" t="s">
        <v>848</v>
      </c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155"/>
    </row>
    <row r="384" spans="1:45" ht="12.6" customHeight="1" x14ac:dyDescent="0.3">
      <c r="A384" s="84"/>
      <c r="B384" s="41" t="s">
        <v>885</v>
      </c>
      <c r="C384" s="149">
        <f>E384+D384+F384</f>
        <v>7145.1999999999989</v>
      </c>
      <c r="D384" s="149">
        <f>SUMIF(N319:N383,M384,D319:D383)</f>
        <v>3974.7</v>
      </c>
      <c r="E384" s="149">
        <f>SUMIF(N319:N383,M384,E319:E383)</f>
        <v>1242.5999999999999</v>
      </c>
      <c r="F384" s="149">
        <f>SUMIF(N319:N383,M384,F319:F383)</f>
        <v>1927.9</v>
      </c>
      <c r="G384" s="17" t="s">
        <v>884</v>
      </c>
      <c r="M384" s="34" t="s">
        <v>886</v>
      </c>
      <c r="N384" s="34" t="s">
        <v>891</v>
      </c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5"/>
      <c r="AK384" s="155"/>
      <c r="AL384" s="155"/>
      <c r="AM384" s="155"/>
      <c r="AN384" s="155"/>
      <c r="AO384" s="155"/>
      <c r="AP384" s="155"/>
      <c r="AQ384" s="155"/>
      <c r="AR384" s="155"/>
      <c r="AS384" s="155"/>
    </row>
    <row r="385" spans="1:45" ht="12.6" customHeight="1" x14ac:dyDescent="0.3">
      <c r="A385" s="107"/>
      <c r="B385" s="107"/>
      <c r="C385" s="147"/>
      <c r="D385" s="147"/>
      <c r="E385" s="147"/>
      <c r="F385" s="147"/>
      <c r="G385" s="17" t="s">
        <v>848</v>
      </c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5"/>
      <c r="AK385" s="155"/>
      <c r="AL385" s="155"/>
      <c r="AM385" s="155"/>
      <c r="AN385" s="155"/>
      <c r="AO385" s="155"/>
      <c r="AP385" s="155"/>
      <c r="AQ385" s="155"/>
      <c r="AR385" s="155"/>
      <c r="AS385" s="155"/>
    </row>
    <row r="386" spans="1:45" ht="12.6" customHeight="1" x14ac:dyDescent="0.3">
      <c r="A386" s="107"/>
      <c r="B386" s="107"/>
      <c r="C386" s="107"/>
      <c r="D386" s="107"/>
      <c r="E386" s="107"/>
      <c r="F386" s="107"/>
      <c r="G386" s="17" t="s">
        <v>848</v>
      </c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5"/>
      <c r="AK386" s="155"/>
      <c r="AL386" s="155"/>
      <c r="AM386" s="155"/>
      <c r="AN386" s="155"/>
      <c r="AO386" s="155"/>
      <c r="AP386" s="155"/>
      <c r="AQ386" s="155"/>
      <c r="AR386" s="155"/>
      <c r="AS386" s="155"/>
    </row>
    <row r="387" spans="1:45" ht="12.6" customHeight="1" x14ac:dyDescent="0.3">
      <c r="A387" s="84"/>
      <c r="B387" s="41" t="s">
        <v>979</v>
      </c>
      <c r="C387" s="107"/>
      <c r="D387" s="107"/>
      <c r="E387" s="107"/>
      <c r="F387" s="107"/>
      <c r="G387" s="17" t="s">
        <v>978</v>
      </c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  <c r="AS387" s="155"/>
    </row>
    <row r="388" spans="1:45" ht="12.6" customHeight="1" x14ac:dyDescent="0.3">
      <c r="A388" s="107"/>
      <c r="B388" s="107"/>
      <c r="C388" s="107"/>
      <c r="D388" s="107"/>
      <c r="E388" s="107"/>
      <c r="F388" s="107"/>
      <c r="G388" s="17" t="s">
        <v>848</v>
      </c>
      <c r="Z388" s="155"/>
      <c r="AA388" s="155"/>
      <c r="AB388" s="155"/>
      <c r="AC388" s="155"/>
      <c r="AD388" s="155"/>
      <c r="AE388" s="155"/>
      <c r="AF388" s="155"/>
      <c r="AG388" s="155"/>
      <c r="AH388" s="155"/>
      <c r="AI388" s="155"/>
      <c r="AJ388" s="155"/>
      <c r="AK388" s="155"/>
      <c r="AL388" s="155"/>
      <c r="AM388" s="155"/>
      <c r="AN388" s="155"/>
      <c r="AO388" s="155"/>
      <c r="AP388" s="155"/>
      <c r="AQ388" s="155"/>
      <c r="AR388" s="155"/>
      <c r="AS388" s="155"/>
    </row>
    <row r="389" spans="1:45" ht="12.6" customHeight="1" x14ac:dyDescent="0.3">
      <c r="A389" s="84"/>
      <c r="B389" s="41" t="str">
        <f>" q (버킷용량)  = "&amp;Z389&amp;"/"&amp;AB389&amp;" = "&amp;AD389&amp;" m2  , f (토량환산계수)  = "&amp;AF389&amp;"  ,"</f>
        <v xml:space="preserve"> q (버킷용량)  = 5/17 = 0.29 m2  , f (토량환산계수)  = 1  ,</v>
      </c>
      <c r="C389" s="107"/>
      <c r="D389" s="107"/>
      <c r="E389" s="107"/>
      <c r="F389" s="107"/>
      <c r="G389" s="17" t="s">
        <v>1020</v>
      </c>
      <c r="Z389" s="157">
        <v>5</v>
      </c>
      <c r="AA389" s="34" t="s">
        <v>873</v>
      </c>
      <c r="AB389" s="157">
        <v>17</v>
      </c>
      <c r="AC389" s="34" t="s">
        <v>871</v>
      </c>
      <c r="AD389" s="158" t="str">
        <f>TEXT(ROUND(Z389/AB389,2),"#,0.00")</f>
        <v>0.29</v>
      </c>
      <c r="AE389" s="159" t="s">
        <v>872</v>
      </c>
      <c r="AF389" s="157">
        <v>1</v>
      </c>
      <c r="AG389" s="34" t="s">
        <v>871</v>
      </c>
      <c r="AH389" s="158">
        <f>AF389</f>
        <v>1</v>
      </c>
      <c r="AI389" s="159" t="s">
        <v>872</v>
      </c>
      <c r="AJ389" s="155"/>
      <c r="AK389" s="155"/>
      <c r="AL389" s="155"/>
      <c r="AM389" s="155"/>
      <c r="AN389" s="155"/>
      <c r="AO389" s="155"/>
      <c r="AP389" s="155"/>
      <c r="AQ389" s="155"/>
      <c r="AR389" s="155"/>
      <c r="AS389" s="155"/>
    </row>
    <row r="390" spans="1:45" ht="12.6" customHeight="1" x14ac:dyDescent="0.3">
      <c r="A390" s="107"/>
      <c r="B390" s="107"/>
      <c r="C390" s="107"/>
      <c r="D390" s="107"/>
      <c r="E390" s="107"/>
      <c r="F390" s="107"/>
      <c r="G390" s="17" t="s">
        <v>848</v>
      </c>
      <c r="Z390" s="155"/>
      <c r="AA390" s="155"/>
      <c r="AB390" s="155"/>
      <c r="AC390" s="155"/>
      <c r="AD390" s="155"/>
      <c r="AE390" s="155"/>
      <c r="AF390" s="155"/>
      <c r="AG390" s="155"/>
      <c r="AH390" s="155"/>
      <c r="AI390" s="155"/>
      <c r="AJ390" s="155"/>
      <c r="AK390" s="155"/>
      <c r="AL390" s="155"/>
      <c r="AM390" s="155"/>
      <c r="AN390" s="155"/>
      <c r="AO390" s="155"/>
      <c r="AP390" s="155"/>
      <c r="AQ390" s="155"/>
      <c r="AR390" s="155"/>
      <c r="AS390" s="155"/>
    </row>
    <row r="391" spans="1:45" ht="12.6" customHeight="1" x14ac:dyDescent="0.3">
      <c r="A391" s="84"/>
      <c r="B391" s="41" t="str">
        <f>" K (버킷계수)  = "&amp;Z391&amp;""</f>
        <v xml:space="preserve"> K (버킷계수)  = 0.55</v>
      </c>
      <c r="C391" s="107"/>
      <c r="D391" s="107"/>
      <c r="E391" s="107"/>
      <c r="F391" s="107"/>
      <c r="G391" s="17" t="s">
        <v>968</v>
      </c>
      <c r="Z391" s="156">
        <v>0.55000000000000004</v>
      </c>
      <c r="AA391" s="34" t="s">
        <v>871</v>
      </c>
      <c r="AB391" s="158">
        <f>Z391</f>
        <v>0.55000000000000004</v>
      </c>
      <c r="AC391" s="155"/>
      <c r="AD391" s="155"/>
      <c r="AE391" s="155"/>
      <c r="AF391" s="155"/>
      <c r="AG391" s="155"/>
      <c r="AH391" s="155"/>
      <c r="AI391" s="155"/>
      <c r="AJ391" s="155"/>
      <c r="AK391" s="155"/>
      <c r="AL391" s="155"/>
      <c r="AM391" s="155"/>
      <c r="AN391" s="155"/>
      <c r="AO391" s="155"/>
      <c r="AP391" s="155"/>
      <c r="AQ391" s="155"/>
      <c r="AR391" s="155"/>
      <c r="AS391" s="155"/>
    </row>
    <row r="392" spans="1:45" ht="12.6" customHeight="1" x14ac:dyDescent="0.3">
      <c r="A392" s="107"/>
      <c r="B392" s="107"/>
      <c r="C392" s="107"/>
      <c r="D392" s="107"/>
      <c r="E392" s="107"/>
      <c r="F392" s="107"/>
      <c r="G392" s="17" t="s">
        <v>848</v>
      </c>
      <c r="Z392" s="155"/>
      <c r="AA392" s="155"/>
      <c r="AB392" s="155"/>
      <c r="AC392" s="155"/>
      <c r="AD392" s="155"/>
      <c r="AE392" s="155"/>
      <c r="AF392" s="155"/>
      <c r="AG392" s="155"/>
      <c r="AH392" s="155"/>
      <c r="AI392" s="155"/>
      <c r="AJ392" s="155"/>
      <c r="AK392" s="155"/>
      <c r="AL392" s="155"/>
      <c r="AM392" s="155"/>
      <c r="AN392" s="155"/>
      <c r="AO392" s="155"/>
      <c r="AP392" s="155"/>
      <c r="AQ392" s="155"/>
      <c r="AR392" s="155"/>
      <c r="AS392" s="155"/>
    </row>
    <row r="393" spans="1:45" ht="12.6" customHeight="1" x14ac:dyDescent="0.3">
      <c r="A393" s="84"/>
      <c r="B393" s="41" t="str">
        <f>" Cm1 (사이클)  = "&amp;Z393&amp;" sec (90˚) , E1 (작업효율)  = "&amp;AD393&amp;""</f>
        <v xml:space="preserve"> Cm1 (사이클)  = 18 sec (90˚) , E1 (작업효율)  = 0.45</v>
      </c>
      <c r="C393" s="107"/>
      <c r="D393" s="107"/>
      <c r="E393" s="107"/>
      <c r="F393" s="107"/>
      <c r="G393" s="17" t="s">
        <v>980</v>
      </c>
      <c r="Z393" s="157">
        <v>18</v>
      </c>
      <c r="AA393" s="34" t="s">
        <v>871</v>
      </c>
      <c r="AB393" s="158">
        <f>Z393</f>
        <v>18</v>
      </c>
      <c r="AC393" s="159" t="s">
        <v>872</v>
      </c>
      <c r="AD393" s="156">
        <v>0.45</v>
      </c>
      <c r="AE393" s="34" t="s">
        <v>871</v>
      </c>
      <c r="AF393" s="158">
        <f>AD393</f>
        <v>0.45</v>
      </c>
      <c r="AG393" s="155"/>
      <c r="AH393" s="155"/>
      <c r="AI393" s="155"/>
      <c r="AJ393" s="155"/>
      <c r="AK393" s="155"/>
      <c r="AL393" s="155"/>
      <c r="AM393" s="155"/>
      <c r="AN393" s="155"/>
      <c r="AO393" s="155"/>
      <c r="AP393" s="155"/>
      <c r="AQ393" s="155"/>
      <c r="AR393" s="155"/>
      <c r="AS393" s="155"/>
    </row>
    <row r="394" spans="1:45" ht="12.6" customHeight="1" x14ac:dyDescent="0.3">
      <c r="A394" s="107"/>
      <c r="B394" s="107"/>
      <c r="C394" s="107"/>
      <c r="D394" s="107"/>
      <c r="E394" s="107"/>
      <c r="F394" s="107"/>
      <c r="G394" s="17" t="s">
        <v>848</v>
      </c>
      <c r="Z394" s="155"/>
      <c r="AA394" s="155"/>
      <c r="AB394" s="155"/>
      <c r="AC394" s="155"/>
      <c r="AD394" s="155"/>
      <c r="AE394" s="155"/>
      <c r="AF394" s="155"/>
      <c r="AG394" s="155"/>
      <c r="AH394" s="155"/>
      <c r="AI394" s="155"/>
      <c r="AJ394" s="155"/>
      <c r="AK394" s="155"/>
      <c r="AL394" s="155"/>
      <c r="AM394" s="155"/>
      <c r="AN394" s="155"/>
      <c r="AO394" s="155"/>
      <c r="AP394" s="155"/>
      <c r="AQ394" s="155"/>
      <c r="AR394" s="155"/>
      <c r="AS394" s="155"/>
    </row>
    <row r="395" spans="1:45" ht="12.6" customHeight="1" x14ac:dyDescent="0.3">
      <c r="A395" s="84"/>
      <c r="B395" s="41" t="str">
        <f>" Q (시간당 작업효율)  = "&amp;Z395&amp;"*q*K*f*E1/Cm1 = "&amp;AL395&amp;" m2/hr "</f>
        <v xml:space="preserve"> Q (시간당 작업효율)  = 3600*q*K*f*E1/Cm1 = 14.36 m2/hr </v>
      </c>
      <c r="C395" s="107"/>
      <c r="D395" s="107"/>
      <c r="E395" s="107"/>
      <c r="F395" s="107"/>
      <c r="G395" s="17" t="s">
        <v>981</v>
      </c>
      <c r="Z395" s="157">
        <v>3600</v>
      </c>
      <c r="AA395" s="34" t="s">
        <v>876</v>
      </c>
      <c r="AB395" s="158" t="str">
        <f>AD389</f>
        <v>0.29</v>
      </c>
      <c r="AC395" s="34" t="s">
        <v>876</v>
      </c>
      <c r="AD395" s="158">
        <f>AB391</f>
        <v>0.55000000000000004</v>
      </c>
      <c r="AE395" s="34" t="s">
        <v>876</v>
      </c>
      <c r="AF395" s="158">
        <f>AH389</f>
        <v>1</v>
      </c>
      <c r="AG395" s="34" t="s">
        <v>876</v>
      </c>
      <c r="AH395" s="158">
        <f>AF393</f>
        <v>0.45</v>
      </c>
      <c r="AI395" s="34" t="s">
        <v>873</v>
      </c>
      <c r="AJ395" s="158">
        <f>AB393</f>
        <v>18</v>
      </c>
      <c r="AK395" s="34" t="s">
        <v>871</v>
      </c>
      <c r="AL395" s="158" t="str">
        <f>TEXT(ROUND(Z395*AD389*AB391*AH389*AF393/AB393,2),"#,0.00")</f>
        <v>14.36</v>
      </c>
      <c r="AM395" s="155"/>
      <c r="AN395" s="155"/>
      <c r="AO395" s="155"/>
      <c r="AP395" s="155"/>
      <c r="AQ395" s="155"/>
      <c r="AR395" s="155"/>
      <c r="AS395" s="155"/>
    </row>
    <row r="396" spans="1:45" ht="12.6" customHeight="1" x14ac:dyDescent="0.3">
      <c r="A396" s="107"/>
      <c r="B396" s="107"/>
      <c r="C396" s="107"/>
      <c r="D396" s="107"/>
      <c r="E396" s="107"/>
      <c r="F396" s="107"/>
      <c r="G396" s="17" t="s">
        <v>848</v>
      </c>
      <c r="Z396" s="155"/>
      <c r="AA396" s="155"/>
      <c r="AB396" s="155"/>
      <c r="AC396" s="155"/>
      <c r="AD396" s="155"/>
      <c r="AE396" s="155"/>
      <c r="AF396" s="155"/>
      <c r="AG396" s="155"/>
      <c r="AH396" s="155"/>
      <c r="AI396" s="155"/>
      <c r="AJ396" s="155"/>
      <c r="AK396" s="155"/>
      <c r="AL396" s="155"/>
      <c r="AM396" s="155"/>
      <c r="AN396" s="155"/>
      <c r="AO396" s="155"/>
      <c r="AP396" s="155"/>
      <c r="AQ396" s="155"/>
      <c r="AR396" s="155"/>
      <c r="AS396" s="155"/>
    </row>
    <row r="397" spans="1:45" ht="12.6" customHeight="1" x14ac:dyDescent="0.3">
      <c r="A397" s="84" t="s">
        <v>1023</v>
      </c>
      <c r="B397" s="146" t="str">
        <f>" 노 무 비  : "&amp;TEXT(I397,"#,##0"&amp;IF(I397&lt;&gt;INT(I397),".###",""))&amp;" / Q  = "&amp;TEXT(C397,"#,##0.0")&amp;""</f>
        <v xml:space="preserve"> 노 무 비  : 57,077 / Q  = 3,974.7</v>
      </c>
      <c r="C397" s="148">
        <f>E397+D397+F397</f>
        <v>3974.7</v>
      </c>
      <c r="D397" s="148">
        <f>IF(H397=0,0,ROUNDDOWN(J397*H397,1))</f>
        <v>3974.7</v>
      </c>
      <c r="E397" s="148">
        <f>IF(H397=0,0,ROUNDDOWN(K397*H397,1))</f>
        <v>0</v>
      </c>
      <c r="F397" s="148">
        <f>IF(H397=0,0,ROUNDDOWN(L397*H397,1))</f>
        <v>0</v>
      </c>
      <c r="G397" s="17" t="s">
        <v>1029</v>
      </c>
      <c r="H397" s="152">
        <f>ROUNDUP(AC397,14-LEN(ABS(INT(AC397))))</f>
        <v>6.9637883008400001E-2</v>
      </c>
      <c r="I397" s="153">
        <f>K397+J397+L397</f>
        <v>57077</v>
      </c>
      <c r="J397" s="37">
        <f>중기목록표!F15</f>
        <v>57077</v>
      </c>
      <c r="M397" s="34" t="s">
        <v>1024</v>
      </c>
      <c r="N397" s="34" t="s">
        <v>886</v>
      </c>
      <c r="X397" s="154" t="str">
        <f>중기목록표!B15&amp;" / "&amp;중기목록표!C15</f>
        <v>굴삭기(0.7m3) / 할증율:1.20</v>
      </c>
      <c r="Y397" s="3" t="str">
        <f ca="1">HYPERLINK("#"&amp;중기목록표!J2&amp;"!A"&amp;ROW(중기목록표!A15),"X00088 →")</f>
        <v>X00088 →</v>
      </c>
      <c r="Z397" s="34" t="s">
        <v>879</v>
      </c>
      <c r="AA397" s="158" t="str">
        <f>AL395</f>
        <v>14.36</v>
      </c>
      <c r="AB397" s="34" t="s">
        <v>871</v>
      </c>
      <c r="AC397" s="158">
        <f>1/AL395</f>
        <v>6.9637883008356549E-2</v>
      </c>
      <c r="AD397" s="155"/>
      <c r="AE397" s="155"/>
      <c r="AF397" s="155"/>
      <c r="AG397" s="155"/>
      <c r="AH397" s="155"/>
      <c r="AI397" s="155"/>
      <c r="AJ397" s="155"/>
      <c r="AK397" s="155"/>
      <c r="AL397" s="155"/>
      <c r="AM397" s="155"/>
      <c r="AN397" s="155"/>
      <c r="AO397" s="155"/>
      <c r="AP397" s="155"/>
      <c r="AQ397" s="155"/>
      <c r="AR397" s="155"/>
      <c r="AS397" s="155"/>
    </row>
    <row r="398" spans="1:45" ht="12.6" customHeight="1" x14ac:dyDescent="0.3">
      <c r="A398" s="107"/>
      <c r="B398" s="107"/>
      <c r="C398" s="107"/>
      <c r="D398" s="107"/>
      <c r="E398" s="107"/>
      <c r="F398" s="107"/>
      <c r="G398" s="17" t="s">
        <v>848</v>
      </c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  <c r="AM398" s="155"/>
      <c r="AN398" s="155"/>
      <c r="AO398" s="155"/>
      <c r="AP398" s="155"/>
      <c r="AQ398" s="155"/>
      <c r="AR398" s="155"/>
      <c r="AS398" s="155"/>
    </row>
    <row r="399" spans="1:45" ht="12.6" customHeight="1" x14ac:dyDescent="0.3">
      <c r="A399" s="84" t="s">
        <v>1026</v>
      </c>
      <c r="B399" s="146" t="str">
        <f>" 재 료 비  : "&amp;TEXT(I399,"#,##0"&amp;IF(I399&lt;&gt;INT(I399),".###",""))&amp;" / Q  = "&amp;TEXT(C399,"#,##0.0")&amp;""</f>
        <v xml:space="preserve"> 재 료 비  : 17,845 / Q  = 1,242.6</v>
      </c>
      <c r="C399" s="148">
        <f>E399+D399+F399</f>
        <v>1242.5999999999999</v>
      </c>
      <c r="D399" s="148">
        <f>IF(H399=0,0,ROUNDDOWN(J399*H399,1))</f>
        <v>0</v>
      </c>
      <c r="E399" s="148">
        <f>IF(H399=0,0,ROUNDDOWN(K399*H399,1))</f>
        <v>1242.5999999999999</v>
      </c>
      <c r="F399" s="148">
        <f>IF(H399=0,0,ROUNDDOWN(L399*H399,1))</f>
        <v>0</v>
      </c>
      <c r="G399" s="17" t="s">
        <v>1030</v>
      </c>
      <c r="H399" s="152">
        <f>ROUNDUP(AC399,14-LEN(ABS(INT(AC399))))</f>
        <v>6.9637883008400001E-2</v>
      </c>
      <c r="I399" s="153">
        <f>K399+J399+L399</f>
        <v>17845</v>
      </c>
      <c r="K399" s="37">
        <f>중기목록표!G15</f>
        <v>17845</v>
      </c>
      <c r="M399" s="34" t="s">
        <v>1024</v>
      </c>
      <c r="N399" s="34" t="s">
        <v>886</v>
      </c>
      <c r="X399" s="154" t="str">
        <f>중기목록표!B15&amp;" / "&amp;중기목록표!C15</f>
        <v>굴삭기(0.7m3) / 할증율:1.20</v>
      </c>
      <c r="Y399" s="3" t="str">
        <f ca="1">HYPERLINK("#"&amp;중기목록표!J2&amp;"!A"&amp;ROW(중기목록표!A15),"X00088 →")</f>
        <v>X00088 →</v>
      </c>
      <c r="Z399" s="34" t="s">
        <v>879</v>
      </c>
      <c r="AA399" s="158" t="str">
        <f>AL395</f>
        <v>14.36</v>
      </c>
      <c r="AB399" s="34" t="s">
        <v>871</v>
      </c>
      <c r="AC399" s="158">
        <f>1/AL395</f>
        <v>6.9637883008356549E-2</v>
      </c>
      <c r="AD399" s="155"/>
      <c r="AE399" s="155"/>
      <c r="AF399" s="155"/>
      <c r="AG399" s="155"/>
      <c r="AH399" s="155"/>
      <c r="AI399" s="155"/>
      <c r="AJ399" s="155"/>
      <c r="AK399" s="155"/>
      <c r="AL399" s="155"/>
      <c r="AM399" s="155"/>
      <c r="AN399" s="155"/>
      <c r="AO399" s="155"/>
      <c r="AP399" s="155"/>
      <c r="AQ399" s="155"/>
      <c r="AR399" s="155"/>
      <c r="AS399" s="155"/>
    </row>
    <row r="400" spans="1:45" ht="12.6" customHeight="1" x14ac:dyDescent="0.3">
      <c r="A400" s="107"/>
      <c r="B400" s="107"/>
      <c r="C400" s="107"/>
      <c r="D400" s="107"/>
      <c r="E400" s="107"/>
      <c r="F400" s="107"/>
      <c r="G400" s="17" t="s">
        <v>848</v>
      </c>
      <c r="Z400" s="155"/>
      <c r="AA400" s="155"/>
      <c r="AB400" s="155"/>
      <c r="AC400" s="155"/>
      <c r="AD400" s="155"/>
      <c r="AE400" s="155"/>
      <c r="AF400" s="155"/>
      <c r="AG400" s="155"/>
      <c r="AH400" s="155"/>
      <c r="AI400" s="155"/>
      <c r="AJ400" s="155"/>
      <c r="AK400" s="155"/>
      <c r="AL400" s="155"/>
      <c r="AM400" s="155"/>
      <c r="AN400" s="155"/>
      <c r="AO400" s="155"/>
      <c r="AP400" s="155"/>
      <c r="AQ400" s="155"/>
      <c r="AR400" s="155"/>
      <c r="AS400" s="155"/>
    </row>
    <row r="401" spans="1:45" ht="12.6" customHeight="1" x14ac:dyDescent="0.3">
      <c r="A401" s="84" t="s">
        <v>1028</v>
      </c>
      <c r="B401" s="146" t="str">
        <f>" 경    비  : "&amp;TEXT(I401,"#,##0"&amp;IF(I401&lt;&gt;INT(I401),".###",""))&amp;" / Q  = "&amp;TEXT(C401,"#,##0.0")&amp;""</f>
        <v xml:space="preserve"> 경    비  : 27,685 / Q  = 1,927.9</v>
      </c>
      <c r="C401" s="148">
        <f>E401+D401+F401</f>
        <v>1927.9</v>
      </c>
      <c r="D401" s="148">
        <f>IF(H401=0,0,ROUNDDOWN(J401*H401,1))</f>
        <v>0</v>
      </c>
      <c r="E401" s="148">
        <f>IF(H401=0,0,ROUNDDOWN(K401*H401,1))</f>
        <v>0</v>
      </c>
      <c r="F401" s="148">
        <f>IF(H401=0,0,ROUNDDOWN(L401*H401,1))</f>
        <v>1927.9</v>
      </c>
      <c r="G401" s="17" t="s">
        <v>1031</v>
      </c>
      <c r="H401" s="152">
        <f>ROUNDUP(AC401,14-LEN(ABS(INT(AC401))))</f>
        <v>6.9637883008400001E-2</v>
      </c>
      <c r="I401" s="153">
        <f>K401+J401+L401</f>
        <v>27685</v>
      </c>
      <c r="L401" s="37">
        <f>중기목록표!H15</f>
        <v>27685</v>
      </c>
      <c r="M401" s="34" t="s">
        <v>1024</v>
      </c>
      <c r="N401" s="34" t="s">
        <v>886</v>
      </c>
      <c r="X401" s="154" t="str">
        <f>중기목록표!B15&amp;" / "&amp;중기목록표!C15</f>
        <v>굴삭기(0.7m3) / 할증율:1.20</v>
      </c>
      <c r="Y401" s="3" t="str">
        <f ca="1">HYPERLINK("#"&amp;중기목록표!J2&amp;"!A"&amp;ROW(중기목록표!A15),"X00088 →")</f>
        <v>X00088 →</v>
      </c>
      <c r="Z401" s="34" t="s">
        <v>879</v>
      </c>
      <c r="AA401" s="158" t="str">
        <f>AL395</f>
        <v>14.36</v>
      </c>
      <c r="AB401" s="34" t="s">
        <v>871</v>
      </c>
      <c r="AC401" s="158">
        <f>1/AL395</f>
        <v>6.9637883008356549E-2</v>
      </c>
      <c r="AD401" s="155"/>
      <c r="AE401" s="155"/>
      <c r="AF401" s="155"/>
      <c r="AG401" s="155"/>
      <c r="AH401" s="155"/>
      <c r="AI401" s="155"/>
      <c r="AJ401" s="155"/>
      <c r="AK401" s="155"/>
      <c r="AL401" s="155"/>
      <c r="AM401" s="155"/>
      <c r="AN401" s="155"/>
      <c r="AO401" s="155"/>
      <c r="AP401" s="155"/>
      <c r="AQ401" s="155"/>
      <c r="AR401" s="155"/>
      <c r="AS401" s="155"/>
    </row>
    <row r="402" spans="1:45" ht="12.6" customHeight="1" x14ac:dyDescent="0.3">
      <c r="A402" s="107"/>
      <c r="B402" s="107"/>
      <c r="C402" s="107"/>
      <c r="D402" s="107"/>
      <c r="E402" s="107"/>
      <c r="F402" s="107"/>
      <c r="G402" s="17" t="s">
        <v>848</v>
      </c>
      <c r="Z402" s="155"/>
      <c r="AA402" s="155"/>
      <c r="AB402" s="155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5"/>
      <c r="AN402" s="155"/>
      <c r="AO402" s="155"/>
      <c r="AP402" s="155"/>
      <c r="AQ402" s="155"/>
      <c r="AR402" s="155"/>
      <c r="AS402" s="155"/>
    </row>
    <row r="403" spans="1:45" ht="12.6" customHeight="1" x14ac:dyDescent="0.3">
      <c r="A403" s="84"/>
      <c r="B403" s="41" t="s">
        <v>885</v>
      </c>
      <c r="C403" s="149">
        <f>E403+D403+F403</f>
        <v>7145.1999999999989</v>
      </c>
      <c r="D403" s="149">
        <f>SUMIF(N385:N402,M403,D385:D402)</f>
        <v>3974.7</v>
      </c>
      <c r="E403" s="149">
        <f>SUMIF(N385:N402,M403,E385:E402)</f>
        <v>1242.5999999999999</v>
      </c>
      <c r="F403" s="149">
        <f>SUMIF(N385:N402,M403,F385:F402)</f>
        <v>1927.9</v>
      </c>
      <c r="G403" s="17" t="s">
        <v>884</v>
      </c>
      <c r="M403" s="34" t="s">
        <v>886</v>
      </c>
      <c r="N403" s="34" t="s">
        <v>891</v>
      </c>
      <c r="Z403" s="155"/>
      <c r="AA403" s="155"/>
      <c r="AB403" s="155"/>
      <c r="AC403" s="155"/>
      <c r="AD403" s="155"/>
      <c r="AE403" s="155"/>
      <c r="AF403" s="155"/>
      <c r="AG403" s="155"/>
      <c r="AH403" s="155"/>
      <c r="AI403" s="155"/>
      <c r="AJ403" s="155"/>
      <c r="AK403" s="155"/>
      <c r="AL403" s="155"/>
      <c r="AM403" s="155"/>
      <c r="AN403" s="155"/>
      <c r="AO403" s="155"/>
      <c r="AP403" s="155"/>
      <c r="AQ403" s="155"/>
      <c r="AR403" s="155"/>
      <c r="AS403" s="155"/>
    </row>
    <row r="404" spans="1:45" ht="12.6" customHeight="1" x14ac:dyDescent="0.3">
      <c r="A404" s="107"/>
      <c r="B404" s="107"/>
      <c r="C404" s="147"/>
      <c r="D404" s="147"/>
      <c r="E404" s="147"/>
      <c r="F404" s="147"/>
      <c r="G404" s="17" t="s">
        <v>848</v>
      </c>
      <c r="Z404" s="155"/>
      <c r="AA404" s="155"/>
      <c r="AB404" s="155"/>
      <c r="AC404" s="155"/>
      <c r="AD404" s="155"/>
      <c r="AE404" s="155"/>
      <c r="AF404" s="155"/>
      <c r="AG404" s="155"/>
      <c r="AH404" s="155"/>
      <c r="AI404" s="155"/>
      <c r="AJ404" s="155"/>
      <c r="AK404" s="155"/>
      <c r="AL404" s="155"/>
      <c r="AM404" s="155"/>
      <c r="AN404" s="155"/>
      <c r="AO404" s="155"/>
      <c r="AP404" s="155"/>
      <c r="AQ404" s="155"/>
      <c r="AR404" s="155"/>
      <c r="AS404" s="155"/>
    </row>
    <row r="405" spans="1:45" ht="12.6" customHeight="1" x14ac:dyDescent="0.3">
      <c r="A405" s="107"/>
      <c r="B405" s="107"/>
      <c r="C405" s="107"/>
      <c r="D405" s="107"/>
      <c r="E405" s="107"/>
      <c r="F405" s="107"/>
      <c r="G405" s="17" t="s">
        <v>848</v>
      </c>
      <c r="Z405" s="155"/>
      <c r="AA405" s="155"/>
      <c r="AB405" s="155"/>
      <c r="AC405" s="155"/>
      <c r="AD405" s="155"/>
      <c r="AE405" s="155"/>
      <c r="AF405" s="155"/>
      <c r="AG405" s="155"/>
      <c r="AH405" s="155"/>
      <c r="AI405" s="155"/>
      <c r="AJ405" s="155"/>
      <c r="AK405" s="155"/>
      <c r="AL405" s="155"/>
      <c r="AM405" s="155"/>
      <c r="AN405" s="155"/>
      <c r="AO405" s="155"/>
      <c r="AP405" s="155"/>
      <c r="AQ405" s="155"/>
      <c r="AR405" s="155"/>
      <c r="AS405" s="155"/>
    </row>
    <row r="406" spans="1:45" ht="12.6" customHeight="1" x14ac:dyDescent="0.3">
      <c r="A406" s="84"/>
      <c r="B406" s="41" t="s">
        <v>1033</v>
      </c>
      <c r="C406" s="107"/>
      <c r="D406" s="107"/>
      <c r="E406" s="107"/>
      <c r="F406" s="107"/>
      <c r="G406" s="17" t="s">
        <v>1032</v>
      </c>
      <c r="Z406" s="155"/>
      <c r="AA406" s="155"/>
      <c r="AB406" s="155"/>
      <c r="AC406" s="155"/>
      <c r="AD406" s="155"/>
      <c r="AE406" s="155"/>
      <c r="AF406" s="155"/>
      <c r="AG406" s="155"/>
      <c r="AH406" s="155"/>
      <c r="AI406" s="155"/>
      <c r="AJ406" s="155"/>
      <c r="AK406" s="155"/>
      <c r="AL406" s="155"/>
      <c r="AM406" s="155"/>
      <c r="AN406" s="155"/>
      <c r="AO406" s="155"/>
      <c r="AP406" s="155"/>
      <c r="AQ406" s="155"/>
      <c r="AR406" s="155"/>
      <c r="AS406" s="155"/>
    </row>
    <row r="407" spans="1:45" ht="12.6" customHeight="1" x14ac:dyDescent="0.3">
      <c r="A407" s="107"/>
      <c r="B407" s="107"/>
      <c r="C407" s="107"/>
      <c r="D407" s="107"/>
      <c r="E407" s="107"/>
      <c r="F407" s="107"/>
      <c r="G407" s="17" t="s">
        <v>848</v>
      </c>
      <c r="Z407" s="155"/>
      <c r="AA407" s="155"/>
      <c r="AB407" s="155"/>
      <c r="AC407" s="155"/>
      <c r="AD407" s="155"/>
      <c r="AE407" s="155"/>
      <c r="AF407" s="155"/>
      <c r="AG407" s="155"/>
      <c r="AH407" s="155"/>
      <c r="AI407" s="155"/>
      <c r="AJ407" s="155"/>
      <c r="AK407" s="155"/>
      <c r="AL407" s="155"/>
      <c r="AM407" s="155"/>
      <c r="AN407" s="155"/>
      <c r="AO407" s="155"/>
      <c r="AP407" s="155"/>
      <c r="AQ407" s="155"/>
      <c r="AR407" s="155"/>
      <c r="AS407" s="155"/>
    </row>
    <row r="408" spans="1:45" ht="12.6" customHeight="1" x14ac:dyDescent="0.3">
      <c r="A408" s="84"/>
      <c r="B408" s="41" t="str">
        <f>"L (거리)  = "&amp;Z408&amp;"  Km "</f>
        <v xml:space="preserve">L (거리)  = 0.2  Km </v>
      </c>
      <c r="C408" s="107"/>
      <c r="D408" s="107"/>
      <c r="E408" s="107"/>
      <c r="F408" s="107"/>
      <c r="G408" s="17" t="s">
        <v>987</v>
      </c>
      <c r="Z408" s="156">
        <v>0.2</v>
      </c>
      <c r="AA408" s="34" t="s">
        <v>871</v>
      </c>
      <c r="AB408" s="158">
        <f>Z408</f>
        <v>0.2</v>
      </c>
      <c r="AC408" s="155"/>
      <c r="AD408" s="155"/>
      <c r="AE408" s="155"/>
      <c r="AF408" s="155"/>
      <c r="AG408" s="155"/>
      <c r="AH408" s="155"/>
      <c r="AI408" s="155"/>
      <c r="AJ408" s="155"/>
      <c r="AK408" s="155"/>
      <c r="AL408" s="155"/>
      <c r="AM408" s="155"/>
      <c r="AN408" s="155"/>
      <c r="AO408" s="155"/>
      <c r="AP408" s="155"/>
      <c r="AQ408" s="155"/>
      <c r="AR408" s="155"/>
      <c r="AS408" s="155"/>
    </row>
    <row r="409" spans="1:45" ht="12.6" customHeight="1" x14ac:dyDescent="0.3">
      <c r="A409" s="107"/>
      <c r="B409" s="107"/>
      <c r="C409" s="107"/>
      <c r="D409" s="107"/>
      <c r="E409" s="107"/>
      <c r="F409" s="107"/>
      <c r="G409" s="17" t="s">
        <v>848</v>
      </c>
      <c r="Z409" s="155"/>
      <c r="AA409" s="155"/>
      <c r="AB409" s="155"/>
      <c r="AC409" s="155"/>
      <c r="AD409" s="155"/>
      <c r="AE409" s="155"/>
      <c r="AF409" s="155"/>
      <c r="AG409" s="155"/>
      <c r="AH409" s="155"/>
      <c r="AI409" s="155"/>
      <c r="AJ409" s="155"/>
      <c r="AK409" s="155"/>
      <c r="AL409" s="155"/>
      <c r="AM409" s="155"/>
      <c r="AN409" s="155"/>
      <c r="AO409" s="155"/>
      <c r="AP409" s="155"/>
      <c r="AQ409" s="155"/>
      <c r="AR409" s="155"/>
      <c r="AS409" s="155"/>
    </row>
    <row r="410" spans="1:45" ht="12.6" customHeight="1" x14ac:dyDescent="0.3">
      <c r="A410" s="84"/>
      <c r="B410" s="41" t="str">
        <f>"q1 (버킷용량)  = "&amp;Z410&amp;" / "&amp;AB410&amp;" = "&amp;AD410&amp;"  m2 "</f>
        <v xml:space="preserve">q1 (버킷용량)  = 2500 / 720 = 3.47  m2 </v>
      </c>
      <c r="C410" s="107"/>
      <c r="D410" s="107"/>
      <c r="E410" s="107"/>
      <c r="F410" s="107"/>
      <c r="G410" s="17" t="s">
        <v>1034</v>
      </c>
      <c r="Z410" s="157">
        <v>2500</v>
      </c>
      <c r="AA410" s="34" t="s">
        <v>873</v>
      </c>
      <c r="AB410" s="157">
        <v>720</v>
      </c>
      <c r="AC410" s="34" t="s">
        <v>871</v>
      </c>
      <c r="AD410" s="158" t="str">
        <f>TEXT(ROUND(Z410/AB410,2),"#,0.00")</f>
        <v>3.47</v>
      </c>
      <c r="AE410" s="155"/>
      <c r="AF410" s="155"/>
      <c r="AG410" s="155"/>
      <c r="AH410" s="155"/>
      <c r="AI410" s="155"/>
      <c r="AJ410" s="155"/>
      <c r="AK410" s="155"/>
      <c r="AL410" s="155"/>
      <c r="AM410" s="155"/>
      <c r="AN410" s="155"/>
      <c r="AO410" s="155"/>
      <c r="AP410" s="155"/>
      <c r="AQ410" s="155"/>
      <c r="AR410" s="155"/>
      <c r="AS410" s="155"/>
    </row>
    <row r="411" spans="1:45" ht="12.6" customHeight="1" x14ac:dyDescent="0.3">
      <c r="A411" s="107"/>
      <c r="B411" s="107"/>
      <c r="C411" s="107"/>
      <c r="D411" s="107"/>
      <c r="E411" s="107"/>
      <c r="F411" s="107"/>
      <c r="G411" s="17" t="s">
        <v>848</v>
      </c>
      <c r="Z411" s="155"/>
      <c r="AA411" s="155"/>
      <c r="AB411" s="155"/>
      <c r="AC411" s="155"/>
      <c r="AD411" s="155"/>
      <c r="AE411" s="155"/>
      <c r="AF411" s="155"/>
      <c r="AG411" s="155"/>
      <c r="AH411" s="155"/>
      <c r="AI411" s="155"/>
      <c r="AJ411" s="155"/>
      <c r="AK411" s="155"/>
      <c r="AL411" s="155"/>
      <c r="AM411" s="155"/>
      <c r="AN411" s="155"/>
      <c r="AO411" s="155"/>
      <c r="AP411" s="155"/>
      <c r="AQ411" s="155"/>
      <c r="AR411" s="155"/>
      <c r="AS411" s="155"/>
    </row>
    <row r="412" spans="1:45" ht="12.6" customHeight="1" x14ac:dyDescent="0.3">
      <c r="A412" s="84"/>
      <c r="B412" s="41" t="str">
        <f>"E (작업효율)  = "&amp;Z412&amp;" , f (토량환산계수)  = "&amp;AD412&amp;" ,"</f>
        <v>E (작업효율)  = 0.9 , f (토량환산계수)  = 1 ,</v>
      </c>
      <c r="C412" s="107"/>
      <c r="D412" s="107"/>
      <c r="E412" s="107"/>
      <c r="F412" s="107"/>
      <c r="G412" s="17" t="s">
        <v>989</v>
      </c>
      <c r="Z412" s="156">
        <v>0.9</v>
      </c>
      <c r="AA412" s="34" t="s">
        <v>871</v>
      </c>
      <c r="AB412" s="158">
        <f>Z412</f>
        <v>0.9</v>
      </c>
      <c r="AC412" s="159" t="s">
        <v>872</v>
      </c>
      <c r="AD412" s="157">
        <v>1</v>
      </c>
      <c r="AE412" s="34" t="s">
        <v>871</v>
      </c>
      <c r="AF412" s="158">
        <f>AD412</f>
        <v>1</v>
      </c>
      <c r="AG412" s="159" t="s">
        <v>872</v>
      </c>
      <c r="AH412" s="155"/>
      <c r="AI412" s="155"/>
      <c r="AJ412" s="155"/>
      <c r="AK412" s="155"/>
      <c r="AL412" s="155"/>
      <c r="AM412" s="155"/>
      <c r="AN412" s="155"/>
      <c r="AO412" s="155"/>
      <c r="AP412" s="155"/>
      <c r="AQ412" s="155"/>
      <c r="AR412" s="155"/>
      <c r="AS412" s="155"/>
    </row>
    <row r="413" spans="1:45" ht="12.6" customHeight="1" x14ac:dyDescent="0.3">
      <c r="A413" s="107"/>
      <c r="B413" s="107"/>
      <c r="C413" s="107"/>
      <c r="D413" s="107"/>
      <c r="E413" s="107"/>
      <c r="F413" s="107"/>
      <c r="G413" s="17" t="s">
        <v>848</v>
      </c>
      <c r="Z413" s="155"/>
      <c r="AA413" s="155"/>
      <c r="AB413" s="155"/>
      <c r="AC413" s="155"/>
      <c r="AD413" s="155"/>
      <c r="AE413" s="155"/>
      <c r="AF413" s="155"/>
      <c r="AG413" s="155"/>
      <c r="AH413" s="155"/>
      <c r="AI413" s="155"/>
      <c r="AJ413" s="155"/>
      <c r="AK413" s="155"/>
      <c r="AL413" s="155"/>
      <c r="AM413" s="155"/>
      <c r="AN413" s="155"/>
      <c r="AO413" s="155"/>
      <c r="AP413" s="155"/>
      <c r="AQ413" s="155"/>
      <c r="AR413" s="155"/>
      <c r="AS413" s="155"/>
    </row>
    <row r="414" spans="1:45" ht="12.6" customHeight="1" x14ac:dyDescent="0.3">
      <c r="A414" s="84"/>
      <c r="B414" s="41" t="str">
        <f>"k (버킷계수)  = "&amp;Z414&amp;""</f>
        <v>k (버킷계수)  = 0.55</v>
      </c>
      <c r="C414" s="107"/>
      <c r="D414" s="107"/>
      <c r="E414" s="107"/>
      <c r="F414" s="107"/>
      <c r="G414" s="17" t="s">
        <v>992</v>
      </c>
      <c r="Z414" s="156">
        <v>0.55000000000000004</v>
      </c>
      <c r="AA414" s="34" t="s">
        <v>871</v>
      </c>
      <c r="AB414" s="158">
        <f>Z414</f>
        <v>0.55000000000000004</v>
      </c>
      <c r="AC414" s="155"/>
      <c r="AD414" s="155"/>
      <c r="AE414" s="155"/>
      <c r="AF414" s="155"/>
      <c r="AG414" s="155"/>
      <c r="AH414" s="155"/>
      <c r="AI414" s="155"/>
      <c r="AJ414" s="155"/>
      <c r="AK414" s="155"/>
      <c r="AL414" s="155"/>
      <c r="AM414" s="155"/>
      <c r="AN414" s="155"/>
      <c r="AO414" s="155"/>
      <c r="AP414" s="155"/>
      <c r="AQ414" s="155"/>
      <c r="AR414" s="155"/>
      <c r="AS414" s="155"/>
    </row>
    <row r="415" spans="1:45" ht="12.6" customHeight="1" x14ac:dyDescent="0.3">
      <c r="A415" s="107"/>
      <c r="B415" s="107"/>
      <c r="C415" s="107"/>
      <c r="D415" s="107"/>
      <c r="E415" s="107"/>
      <c r="F415" s="107"/>
      <c r="G415" s="17" t="s">
        <v>848</v>
      </c>
      <c r="Z415" s="155"/>
      <c r="AA415" s="155"/>
      <c r="AB415" s="155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5"/>
      <c r="AN415" s="155"/>
      <c r="AO415" s="155"/>
      <c r="AP415" s="155"/>
      <c r="AQ415" s="155"/>
      <c r="AR415" s="155"/>
      <c r="AS415" s="155"/>
    </row>
    <row r="416" spans="1:45" ht="12.6" customHeight="1" x14ac:dyDescent="0.3">
      <c r="A416" s="84"/>
      <c r="B416" s="41" t="str">
        <f>"q2 (굴삭기 버킷용량)  = "&amp;Z416&amp;"/"&amp;AB416&amp;" = "&amp;AD416&amp;"  m2 "</f>
        <v xml:space="preserve">q2 (굴삭기 버킷용량)  = 5/23 = 0.22  m2 </v>
      </c>
      <c r="C416" s="107"/>
      <c r="D416" s="107"/>
      <c r="E416" s="107"/>
      <c r="F416" s="107"/>
      <c r="G416" s="17" t="s">
        <v>1035</v>
      </c>
      <c r="Z416" s="157">
        <v>5</v>
      </c>
      <c r="AA416" s="34" t="s">
        <v>873</v>
      </c>
      <c r="AB416" s="157">
        <v>23</v>
      </c>
      <c r="AC416" s="34" t="s">
        <v>871</v>
      </c>
      <c r="AD416" s="158" t="str">
        <f>TEXT(ROUND(Z416/AB416,2),"#,0.00")</f>
        <v>0.22</v>
      </c>
      <c r="AE416" s="155"/>
      <c r="AF416" s="155"/>
      <c r="AG416" s="155"/>
      <c r="AH416" s="155"/>
      <c r="AI416" s="155"/>
      <c r="AJ416" s="155"/>
      <c r="AK416" s="155"/>
      <c r="AL416" s="155"/>
      <c r="AM416" s="155"/>
      <c r="AN416" s="155"/>
      <c r="AO416" s="155"/>
      <c r="AP416" s="155"/>
      <c r="AQ416" s="155"/>
      <c r="AR416" s="155"/>
      <c r="AS416" s="155"/>
    </row>
    <row r="417" spans="1:45" ht="12.6" customHeight="1" x14ac:dyDescent="0.3">
      <c r="A417" s="107"/>
      <c r="B417" s="107"/>
      <c r="C417" s="107"/>
      <c r="D417" s="107"/>
      <c r="E417" s="107"/>
      <c r="F417" s="107"/>
      <c r="G417" s="17" t="s">
        <v>848</v>
      </c>
      <c r="Z417" s="155"/>
      <c r="AA417" s="155"/>
      <c r="AB417" s="155"/>
      <c r="AC417" s="155"/>
      <c r="AD417" s="155"/>
      <c r="AE417" s="155"/>
      <c r="AF417" s="155"/>
      <c r="AG417" s="155"/>
      <c r="AH417" s="155"/>
      <c r="AI417" s="155"/>
      <c r="AJ417" s="155"/>
      <c r="AK417" s="155"/>
      <c r="AL417" s="155"/>
      <c r="AM417" s="155"/>
      <c r="AN417" s="155"/>
      <c r="AO417" s="155"/>
      <c r="AP417" s="155"/>
      <c r="AQ417" s="155"/>
      <c r="AR417" s="155"/>
      <c r="AS417" s="155"/>
    </row>
    <row r="418" spans="1:45" ht="12.6" customHeight="1" x14ac:dyDescent="0.3">
      <c r="A418" s="84"/>
      <c r="B418" s="41" t="str">
        <f>"n = q1 / (q2 * k) = "&amp;AG418&amp;"  회 "</f>
        <v xml:space="preserve">n = q1 / (q2 * k) = 28.68  회 </v>
      </c>
      <c r="C418" s="107"/>
      <c r="D418" s="107"/>
      <c r="E418" s="107"/>
      <c r="F418" s="107"/>
      <c r="G418" s="17" t="s">
        <v>994</v>
      </c>
      <c r="Z418" s="158" t="str">
        <f>AD410</f>
        <v>3.47</v>
      </c>
      <c r="AA418" s="34" t="s">
        <v>990</v>
      </c>
      <c r="AB418" s="158" t="str">
        <f>AD416</f>
        <v>0.22</v>
      </c>
      <c r="AC418" s="34" t="s">
        <v>876</v>
      </c>
      <c r="AD418" s="158">
        <f>AB414</f>
        <v>0.55000000000000004</v>
      </c>
      <c r="AE418" s="34" t="s">
        <v>991</v>
      </c>
      <c r="AF418" s="34" t="s">
        <v>871</v>
      </c>
      <c r="AG418" s="158" t="str">
        <f>TEXT(ROUND(AD410/(AD416*AB414),2),"#,0.00")</f>
        <v>28.68</v>
      </c>
      <c r="AH418" s="155"/>
      <c r="AI418" s="155"/>
      <c r="AJ418" s="155"/>
      <c r="AK418" s="155"/>
      <c r="AL418" s="155"/>
      <c r="AM418" s="155"/>
      <c r="AN418" s="155"/>
      <c r="AO418" s="155"/>
      <c r="AP418" s="155"/>
      <c r="AQ418" s="155"/>
      <c r="AR418" s="155"/>
      <c r="AS418" s="155"/>
    </row>
    <row r="419" spans="1:45" ht="12.6" customHeight="1" x14ac:dyDescent="0.3">
      <c r="A419" s="107"/>
      <c r="B419" s="107"/>
      <c r="C419" s="107"/>
      <c r="D419" s="107"/>
      <c r="E419" s="107"/>
      <c r="F419" s="107"/>
      <c r="G419" s="17" t="s">
        <v>848</v>
      </c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  <c r="AS419" s="155"/>
    </row>
    <row r="420" spans="1:45" ht="12.6" customHeight="1" x14ac:dyDescent="0.3">
      <c r="A420" s="84"/>
      <c r="B420" s="41" t="str">
        <f>"t1 = Cm1 * n / ("&amp;AD420&amp;" * E1) = "&amp;AI420&amp;" 분 "</f>
        <v xml:space="preserve">t1 = Cm1 * n / (60 * E1) = 19.12 분 </v>
      </c>
      <c r="C420" s="107"/>
      <c r="D420" s="107"/>
      <c r="E420" s="107"/>
      <c r="F420" s="107"/>
      <c r="G420" s="17" t="s">
        <v>995</v>
      </c>
      <c r="Z420" s="158">
        <f>AB393</f>
        <v>18</v>
      </c>
      <c r="AA420" s="34" t="s">
        <v>876</v>
      </c>
      <c r="AB420" s="158" t="str">
        <f>AG418</f>
        <v>28.68</v>
      </c>
      <c r="AC420" s="34" t="s">
        <v>990</v>
      </c>
      <c r="AD420" s="157">
        <v>60</v>
      </c>
      <c r="AE420" s="34" t="s">
        <v>876</v>
      </c>
      <c r="AF420" s="158">
        <f>AF393</f>
        <v>0.45</v>
      </c>
      <c r="AG420" s="34" t="s">
        <v>991</v>
      </c>
      <c r="AH420" s="34" t="s">
        <v>871</v>
      </c>
      <c r="AI420" s="158" t="str">
        <f>TEXT(ROUND(AB393*AG418/(AD420*AF393),2),"#,0.00")</f>
        <v>19.12</v>
      </c>
      <c r="AJ420" s="155"/>
      <c r="AK420" s="155"/>
      <c r="AL420" s="155"/>
      <c r="AM420" s="155"/>
      <c r="AN420" s="155"/>
      <c r="AO420" s="155"/>
      <c r="AP420" s="155"/>
      <c r="AQ420" s="155"/>
      <c r="AR420" s="155"/>
      <c r="AS420" s="155"/>
    </row>
    <row r="421" spans="1:45" ht="12.6" customHeight="1" x14ac:dyDescent="0.3">
      <c r="A421" s="107"/>
      <c r="B421" s="107"/>
      <c r="C421" s="107"/>
      <c r="D421" s="107"/>
      <c r="E421" s="107"/>
      <c r="F421" s="107"/>
      <c r="G421" s="17" t="s">
        <v>848</v>
      </c>
      <c r="Z421" s="155"/>
      <c r="AA421" s="155"/>
      <c r="AB421" s="155"/>
      <c r="AC421" s="155"/>
      <c r="AD421" s="155"/>
      <c r="AE421" s="155"/>
      <c r="AF421" s="155"/>
      <c r="AG421" s="155"/>
      <c r="AH421" s="155"/>
      <c r="AI421" s="155"/>
      <c r="AJ421" s="155"/>
      <c r="AK421" s="155"/>
      <c r="AL421" s="155"/>
      <c r="AM421" s="155"/>
      <c r="AN421" s="155"/>
      <c r="AO421" s="155"/>
      <c r="AP421" s="155"/>
      <c r="AQ421" s="155"/>
      <c r="AR421" s="155"/>
      <c r="AS421" s="155"/>
    </row>
    <row r="422" spans="1:45" ht="12.6" customHeight="1" x14ac:dyDescent="0.3">
      <c r="A422" s="84"/>
      <c r="B422" s="41" t="str">
        <f>"t2 =(L/"&amp;AC422&amp;"+L/"&amp;AG422&amp;") * "&amp;AI422&amp;" = "&amp;AK422&amp;" 분 "</f>
        <v xml:space="preserve">t2 =(L/10+L/15) * 60 = 2.00 분 </v>
      </c>
      <c r="C422" s="107"/>
      <c r="D422" s="107"/>
      <c r="E422" s="107"/>
      <c r="F422" s="107"/>
      <c r="G422" s="17" t="s">
        <v>996</v>
      </c>
      <c r="Z422" s="34" t="s">
        <v>998</v>
      </c>
      <c r="AA422" s="158">
        <f>AB408</f>
        <v>0.2</v>
      </c>
      <c r="AB422" s="34" t="s">
        <v>873</v>
      </c>
      <c r="AC422" s="157">
        <v>10</v>
      </c>
      <c r="AD422" s="34" t="s">
        <v>999</v>
      </c>
      <c r="AE422" s="158">
        <f>AB408</f>
        <v>0.2</v>
      </c>
      <c r="AF422" s="34" t="s">
        <v>873</v>
      </c>
      <c r="AG422" s="157">
        <v>15</v>
      </c>
      <c r="AH422" s="34" t="s">
        <v>1000</v>
      </c>
      <c r="AI422" s="157">
        <v>60</v>
      </c>
      <c r="AJ422" s="34" t="s">
        <v>871</v>
      </c>
      <c r="AK422" s="158" t="str">
        <f>TEXT(ROUND((AB408/AC422+AB408/AG422)*AI422,2),"#,0.00")</f>
        <v>2.00</v>
      </c>
      <c r="AL422" s="155"/>
      <c r="AM422" s="155"/>
      <c r="AN422" s="155"/>
      <c r="AO422" s="155"/>
      <c r="AP422" s="155"/>
      <c r="AQ422" s="155"/>
      <c r="AR422" s="155"/>
      <c r="AS422" s="155"/>
    </row>
    <row r="423" spans="1:45" ht="12.6" customHeight="1" x14ac:dyDescent="0.3">
      <c r="A423" s="107"/>
      <c r="B423" s="107"/>
      <c r="C423" s="107"/>
      <c r="D423" s="107"/>
      <c r="E423" s="107"/>
      <c r="F423" s="107"/>
      <c r="G423" s="17" t="s">
        <v>848</v>
      </c>
      <c r="Z423" s="155"/>
      <c r="AA423" s="155"/>
      <c r="AB423" s="155"/>
      <c r="AC423" s="155"/>
      <c r="AD423" s="155"/>
      <c r="AE423" s="155"/>
      <c r="AF423" s="155"/>
      <c r="AG423" s="155"/>
      <c r="AH423" s="155"/>
      <c r="AI423" s="155"/>
      <c r="AJ423" s="155"/>
      <c r="AK423" s="155"/>
      <c r="AL423" s="155"/>
      <c r="AM423" s="155"/>
      <c r="AN423" s="155"/>
      <c r="AO423" s="155"/>
      <c r="AP423" s="155"/>
      <c r="AQ423" s="155"/>
      <c r="AR423" s="155"/>
      <c r="AS423" s="155"/>
    </row>
    <row r="424" spans="1:45" ht="12.6" customHeight="1" x14ac:dyDescent="0.3">
      <c r="A424" s="84"/>
      <c r="B424" s="41" t="str">
        <f>"t3 = "&amp;Z424&amp;" 분 , t4 = "&amp;AD424&amp;" 분 "</f>
        <v xml:space="preserve">t3 = 1.1 분 , t4 = 0.7 분 </v>
      </c>
      <c r="C424" s="107"/>
      <c r="D424" s="107"/>
      <c r="E424" s="107"/>
      <c r="F424" s="107"/>
      <c r="G424" s="17" t="s">
        <v>1036</v>
      </c>
      <c r="Z424" s="156">
        <v>1.1000000000000001</v>
      </c>
      <c r="AA424" s="34" t="s">
        <v>871</v>
      </c>
      <c r="AB424" s="158">
        <f>Z424</f>
        <v>1.1000000000000001</v>
      </c>
      <c r="AC424" s="159" t="s">
        <v>872</v>
      </c>
      <c r="AD424" s="156">
        <v>0.7</v>
      </c>
      <c r="AE424" s="34" t="s">
        <v>871</v>
      </c>
      <c r="AF424" s="158">
        <f>AD424</f>
        <v>0.7</v>
      </c>
      <c r="AG424" s="155"/>
      <c r="AH424" s="155"/>
      <c r="AI424" s="155"/>
      <c r="AJ424" s="155"/>
      <c r="AK424" s="155"/>
      <c r="AL424" s="155"/>
      <c r="AM424" s="155"/>
      <c r="AN424" s="155"/>
      <c r="AO424" s="155"/>
      <c r="AP424" s="155"/>
      <c r="AQ424" s="155"/>
      <c r="AR424" s="155"/>
      <c r="AS424" s="155"/>
    </row>
    <row r="425" spans="1:45" ht="12.6" customHeight="1" x14ac:dyDescent="0.3">
      <c r="A425" s="107"/>
      <c r="B425" s="107"/>
      <c r="C425" s="107"/>
      <c r="D425" s="107"/>
      <c r="E425" s="107"/>
      <c r="F425" s="107"/>
      <c r="G425" s="17" t="s">
        <v>848</v>
      </c>
      <c r="Z425" s="155"/>
      <c r="AA425" s="155"/>
      <c r="AB425" s="155"/>
      <c r="AC425" s="155"/>
      <c r="AD425" s="155"/>
      <c r="AE425" s="155"/>
      <c r="AF425" s="155"/>
      <c r="AG425" s="155"/>
      <c r="AH425" s="155"/>
      <c r="AI425" s="155"/>
      <c r="AJ425" s="155"/>
      <c r="AK425" s="155"/>
      <c r="AL425" s="155"/>
      <c r="AM425" s="155"/>
      <c r="AN425" s="155"/>
      <c r="AO425" s="155"/>
      <c r="AP425" s="155"/>
      <c r="AQ425" s="155"/>
      <c r="AR425" s="155"/>
      <c r="AS425" s="155"/>
    </row>
    <row r="426" spans="1:45" ht="12.6" customHeight="1" x14ac:dyDescent="0.3">
      <c r="A426" s="84"/>
      <c r="B426" s="41" t="str">
        <f>"Cm = t1 + t2 + t3 + t4 = "&amp;AH426&amp;" 분 "</f>
        <v xml:space="preserve">Cm = t1 + t2 + t3 + t4 = 22.92 분 </v>
      </c>
      <c r="C426" s="107"/>
      <c r="D426" s="107"/>
      <c r="E426" s="107"/>
      <c r="F426" s="107"/>
      <c r="G426" s="17" t="s">
        <v>1037</v>
      </c>
      <c r="Z426" s="158" t="str">
        <f>AI420</f>
        <v>19.12</v>
      </c>
      <c r="AA426" s="34" t="s">
        <v>999</v>
      </c>
      <c r="AB426" s="158" t="str">
        <f>AK422</f>
        <v>2.00</v>
      </c>
      <c r="AC426" s="34" t="s">
        <v>999</v>
      </c>
      <c r="AD426" s="158">
        <f>AB424</f>
        <v>1.1000000000000001</v>
      </c>
      <c r="AE426" s="34" t="s">
        <v>999</v>
      </c>
      <c r="AF426" s="158">
        <f>AF424</f>
        <v>0.7</v>
      </c>
      <c r="AG426" s="34" t="s">
        <v>871</v>
      </c>
      <c r="AH426" s="158" t="str">
        <f>TEXT(ROUND(AI420+AK422+AB424+AF424,2),"#,0.00")</f>
        <v>22.92</v>
      </c>
      <c r="AI426" s="155"/>
      <c r="AJ426" s="155"/>
      <c r="AK426" s="155"/>
      <c r="AL426" s="155"/>
      <c r="AM426" s="155"/>
      <c r="AN426" s="155"/>
      <c r="AO426" s="155"/>
      <c r="AP426" s="155"/>
      <c r="AQ426" s="155"/>
      <c r="AR426" s="155"/>
      <c r="AS426" s="155"/>
    </row>
    <row r="427" spans="1:45" ht="12.6" customHeight="1" x14ac:dyDescent="0.3">
      <c r="A427" s="107"/>
      <c r="B427" s="107"/>
      <c r="C427" s="107"/>
      <c r="D427" s="107"/>
      <c r="E427" s="107"/>
      <c r="F427" s="107"/>
      <c r="G427" s="17" t="s">
        <v>848</v>
      </c>
      <c r="Z427" s="155"/>
      <c r="AA427" s="155"/>
      <c r="AB427" s="155"/>
      <c r="AC427" s="155"/>
      <c r="AD427" s="155"/>
      <c r="AE427" s="155"/>
      <c r="AF427" s="155"/>
      <c r="AG427" s="155"/>
      <c r="AH427" s="155"/>
      <c r="AI427" s="155"/>
      <c r="AJ427" s="155"/>
      <c r="AK427" s="155"/>
      <c r="AL427" s="155"/>
      <c r="AM427" s="155"/>
      <c r="AN427" s="155"/>
      <c r="AO427" s="155"/>
      <c r="AP427" s="155"/>
      <c r="AQ427" s="155"/>
      <c r="AR427" s="155"/>
      <c r="AS427" s="155"/>
    </row>
    <row r="428" spans="1:45" ht="12.6" customHeight="1" x14ac:dyDescent="0.3">
      <c r="A428" s="84"/>
      <c r="B428" s="41" t="str">
        <f>"Q = "&amp;Z428&amp;" * q1 * f * E / Cm = "&amp;AJ428&amp;" m2/hr "</f>
        <v xml:space="preserve">Q = 60 * q1 * f * E / Cm = 8.18 m2/hr </v>
      </c>
      <c r="C428" s="107"/>
      <c r="D428" s="107"/>
      <c r="E428" s="107"/>
      <c r="F428" s="107"/>
      <c r="G428" s="17" t="s">
        <v>1038</v>
      </c>
      <c r="Z428" s="157">
        <v>60</v>
      </c>
      <c r="AA428" s="34" t="s">
        <v>876</v>
      </c>
      <c r="AB428" s="158" t="str">
        <f>AD410</f>
        <v>3.47</v>
      </c>
      <c r="AC428" s="34" t="s">
        <v>876</v>
      </c>
      <c r="AD428" s="158">
        <f>AF412</f>
        <v>1</v>
      </c>
      <c r="AE428" s="34" t="s">
        <v>876</v>
      </c>
      <c r="AF428" s="158">
        <f>AB412</f>
        <v>0.9</v>
      </c>
      <c r="AG428" s="34" t="s">
        <v>873</v>
      </c>
      <c r="AH428" s="158" t="str">
        <f>AH426</f>
        <v>22.92</v>
      </c>
      <c r="AI428" s="34" t="s">
        <v>871</v>
      </c>
      <c r="AJ428" s="158" t="str">
        <f>TEXT(ROUND(Z428*AD410*AF412*AB412/AH426,2),"#,0.00")</f>
        <v>8.18</v>
      </c>
      <c r="AK428" s="155"/>
      <c r="AL428" s="155"/>
      <c r="AM428" s="155"/>
      <c r="AN428" s="155"/>
      <c r="AO428" s="155"/>
      <c r="AP428" s="155"/>
      <c r="AQ428" s="155"/>
      <c r="AR428" s="155"/>
      <c r="AS428" s="155"/>
    </row>
    <row r="429" spans="1:45" ht="12.6" customHeight="1" x14ac:dyDescent="0.3">
      <c r="A429" s="107"/>
      <c r="B429" s="107"/>
      <c r="C429" s="107"/>
      <c r="D429" s="107"/>
      <c r="E429" s="107"/>
      <c r="F429" s="107"/>
      <c r="G429" s="17" t="s">
        <v>848</v>
      </c>
      <c r="Z429" s="155"/>
      <c r="AA429" s="155"/>
      <c r="AB429" s="155"/>
      <c r="AC429" s="155"/>
      <c r="AD429" s="155"/>
      <c r="AE429" s="155"/>
      <c r="AF429" s="155"/>
      <c r="AG429" s="155"/>
      <c r="AH429" s="155"/>
      <c r="AI429" s="155"/>
      <c r="AJ429" s="155"/>
      <c r="AK429" s="155"/>
      <c r="AL429" s="155"/>
      <c r="AM429" s="155"/>
      <c r="AN429" s="155"/>
      <c r="AO429" s="155"/>
      <c r="AP429" s="155"/>
      <c r="AQ429" s="155"/>
      <c r="AR429" s="155"/>
      <c r="AS429" s="155"/>
    </row>
    <row r="430" spans="1:45" ht="12.6" customHeight="1" x14ac:dyDescent="0.3">
      <c r="A430" s="107"/>
      <c r="B430" s="107"/>
      <c r="C430" s="107"/>
      <c r="D430" s="107"/>
      <c r="E430" s="107"/>
      <c r="F430" s="107"/>
      <c r="G430" s="17" t="s">
        <v>848</v>
      </c>
      <c r="Z430" s="155"/>
      <c r="AA430" s="155"/>
      <c r="AB430" s="155"/>
      <c r="AC430" s="155"/>
      <c r="AD430" s="155"/>
      <c r="AE430" s="155"/>
      <c r="AF430" s="155"/>
      <c r="AG430" s="155"/>
      <c r="AH430" s="155"/>
      <c r="AI430" s="155"/>
      <c r="AJ430" s="155"/>
      <c r="AK430" s="155"/>
      <c r="AL430" s="155"/>
      <c r="AM430" s="155"/>
      <c r="AN430" s="155"/>
      <c r="AO430" s="155"/>
      <c r="AP430" s="155"/>
      <c r="AQ430" s="155"/>
      <c r="AR430" s="155"/>
      <c r="AS430" s="155"/>
    </row>
    <row r="431" spans="1:45" ht="12.6" customHeight="1" x14ac:dyDescent="0.3">
      <c r="A431" s="84" t="s">
        <v>1040</v>
      </c>
      <c r="B431" s="146" t="str">
        <f>" 노 무 비  :   "&amp;TEXT(I431,"#,##0"&amp;IF(I431&lt;&gt;INT(I431),".###",""))&amp;" / Q = "&amp;TEXT(C431,"#,##0.0")&amp;""</f>
        <v xml:space="preserve"> 노 무 비  :   49,479 / Q = 6,048.7</v>
      </c>
      <c r="C431" s="148">
        <f>E431+D431+F431</f>
        <v>6048.7</v>
      </c>
      <c r="D431" s="148">
        <f>IF(H431=0,0,ROUNDDOWN(J431*H431,1))</f>
        <v>6048.7</v>
      </c>
      <c r="E431" s="148">
        <f>IF(H431=0,0,ROUNDDOWN(K431*H431,1))</f>
        <v>0</v>
      </c>
      <c r="F431" s="148">
        <f>IF(H431=0,0,ROUNDDOWN(L431*H431,1))</f>
        <v>0</v>
      </c>
      <c r="G431" s="17" t="s">
        <v>1039</v>
      </c>
      <c r="H431" s="152">
        <f>ROUNDUP(AC431,14-LEN(ABS(INT(AC431))))</f>
        <v>0.1222493887531</v>
      </c>
      <c r="I431" s="153">
        <f>K431+J431+L431</f>
        <v>49479</v>
      </c>
      <c r="J431" s="37">
        <f>중기목록표!F16</f>
        <v>49479</v>
      </c>
      <c r="M431" s="34" t="s">
        <v>1041</v>
      </c>
      <c r="N431" s="34" t="s">
        <v>886</v>
      </c>
      <c r="X431" s="154" t="str">
        <f>중기목록표!B16&amp;" / "&amp;중기목록표!C16</f>
        <v>덤프트럭(2.5ton) / 할증율:1.25</v>
      </c>
      <c r="Y431" s="3" t="str">
        <f ca="1">HYPERLINK("#"&amp;중기목록표!J2&amp;"!A"&amp;ROW(중기목록표!A16),"X00090 →")</f>
        <v>X00090 →</v>
      </c>
      <c r="Z431" s="34" t="s">
        <v>879</v>
      </c>
      <c r="AA431" s="158" t="str">
        <f>AJ428</f>
        <v>8.18</v>
      </c>
      <c r="AB431" s="34" t="s">
        <v>871</v>
      </c>
      <c r="AC431" s="158">
        <f>1/AJ428</f>
        <v>0.12224938875305624</v>
      </c>
      <c r="AD431" s="155"/>
      <c r="AE431" s="155"/>
      <c r="AF431" s="155"/>
      <c r="AG431" s="155"/>
      <c r="AH431" s="155"/>
      <c r="AI431" s="155"/>
      <c r="AJ431" s="155"/>
      <c r="AK431" s="155"/>
      <c r="AL431" s="155"/>
      <c r="AM431" s="155"/>
      <c r="AN431" s="155"/>
      <c r="AO431" s="155"/>
      <c r="AP431" s="155"/>
      <c r="AQ431" s="155"/>
      <c r="AR431" s="155"/>
      <c r="AS431" s="155"/>
    </row>
    <row r="432" spans="1:45" ht="12.6" customHeight="1" x14ac:dyDescent="0.3">
      <c r="A432" s="107"/>
      <c r="B432" s="107"/>
      <c r="C432" s="107"/>
      <c r="D432" s="107"/>
      <c r="E432" s="107"/>
      <c r="F432" s="107"/>
      <c r="G432" s="17" t="s">
        <v>848</v>
      </c>
      <c r="Z432" s="155"/>
      <c r="AA432" s="155"/>
      <c r="AB432" s="155"/>
      <c r="AC432" s="155"/>
      <c r="AD432" s="155"/>
      <c r="AE432" s="155"/>
      <c r="AF432" s="155"/>
      <c r="AG432" s="155"/>
      <c r="AH432" s="155"/>
      <c r="AI432" s="155"/>
      <c r="AJ432" s="155"/>
      <c r="AK432" s="155"/>
      <c r="AL432" s="155"/>
      <c r="AM432" s="155"/>
      <c r="AN432" s="155"/>
      <c r="AO432" s="155"/>
      <c r="AP432" s="155"/>
      <c r="AQ432" s="155"/>
      <c r="AR432" s="155"/>
      <c r="AS432" s="155"/>
    </row>
    <row r="433" spans="1:45" ht="12.6" customHeight="1" x14ac:dyDescent="0.3">
      <c r="A433" s="84" t="s">
        <v>1043</v>
      </c>
      <c r="B433" s="146" t="str">
        <f>" 재 료 비  :   "&amp;TEXT(I433,"#,##0"&amp;IF(I433&lt;&gt;INT(I433),".###",""))&amp;" / Q = "&amp;TEXT(C433,"#,##0.0")&amp;""</f>
        <v xml:space="preserve"> 재 료 비  :   5,046 / Q = 616.8</v>
      </c>
      <c r="C433" s="148">
        <f>E433+D433+F433</f>
        <v>616.79999999999995</v>
      </c>
      <c r="D433" s="148">
        <f>IF(H433=0,0,ROUNDDOWN(J433*H433,1))</f>
        <v>0</v>
      </c>
      <c r="E433" s="148">
        <f>IF(H433=0,0,ROUNDDOWN(K433*H433,1))</f>
        <v>616.79999999999995</v>
      </c>
      <c r="F433" s="148">
        <f>IF(H433=0,0,ROUNDDOWN(L433*H433,1))</f>
        <v>0</v>
      </c>
      <c r="G433" s="17" t="s">
        <v>1042</v>
      </c>
      <c r="H433" s="152">
        <f>ROUNDUP(AC433,14-LEN(ABS(INT(AC433))))</f>
        <v>0.1222493887531</v>
      </c>
      <c r="I433" s="153">
        <f>K433+J433+L433</f>
        <v>5046</v>
      </c>
      <c r="K433" s="37">
        <f>중기목록표!G16</f>
        <v>5046</v>
      </c>
      <c r="M433" s="34" t="s">
        <v>1041</v>
      </c>
      <c r="N433" s="34" t="s">
        <v>886</v>
      </c>
      <c r="X433" s="154" t="str">
        <f>중기목록표!B16&amp;" / "&amp;중기목록표!C16</f>
        <v>덤프트럭(2.5ton) / 할증율:1.25</v>
      </c>
      <c r="Y433" s="3" t="str">
        <f ca="1">HYPERLINK("#"&amp;중기목록표!J2&amp;"!A"&amp;ROW(중기목록표!A16),"X00090 →")</f>
        <v>X00090 →</v>
      </c>
      <c r="Z433" s="34" t="s">
        <v>879</v>
      </c>
      <c r="AA433" s="158" t="str">
        <f>AJ428</f>
        <v>8.18</v>
      </c>
      <c r="AB433" s="34" t="s">
        <v>871</v>
      </c>
      <c r="AC433" s="158">
        <f>1/AJ428</f>
        <v>0.12224938875305624</v>
      </c>
      <c r="AD433" s="155"/>
      <c r="AE433" s="155"/>
      <c r="AF433" s="155"/>
      <c r="AG433" s="155"/>
      <c r="AH433" s="155"/>
      <c r="AI433" s="155"/>
      <c r="AJ433" s="155"/>
      <c r="AK433" s="155"/>
      <c r="AL433" s="155"/>
      <c r="AM433" s="155"/>
      <c r="AN433" s="155"/>
      <c r="AO433" s="155"/>
      <c r="AP433" s="155"/>
      <c r="AQ433" s="155"/>
      <c r="AR433" s="155"/>
      <c r="AS433" s="155"/>
    </row>
    <row r="434" spans="1:45" ht="12.6" customHeight="1" x14ac:dyDescent="0.3">
      <c r="A434" s="107"/>
      <c r="B434" s="107"/>
      <c r="C434" s="107"/>
      <c r="D434" s="107"/>
      <c r="E434" s="107"/>
      <c r="F434" s="107"/>
      <c r="G434" s="17" t="s">
        <v>848</v>
      </c>
      <c r="Z434" s="155"/>
      <c r="AA434" s="155"/>
      <c r="AB434" s="155"/>
      <c r="AC434" s="155"/>
      <c r="AD434" s="155"/>
      <c r="AE434" s="155"/>
      <c r="AF434" s="155"/>
      <c r="AG434" s="155"/>
      <c r="AH434" s="155"/>
      <c r="AI434" s="155"/>
      <c r="AJ434" s="155"/>
      <c r="AK434" s="155"/>
      <c r="AL434" s="155"/>
      <c r="AM434" s="155"/>
      <c r="AN434" s="155"/>
      <c r="AO434" s="155"/>
      <c r="AP434" s="155"/>
      <c r="AQ434" s="155"/>
      <c r="AR434" s="155"/>
      <c r="AS434" s="155"/>
    </row>
    <row r="435" spans="1:45" ht="12.6" customHeight="1" x14ac:dyDescent="0.3">
      <c r="A435" s="84" t="s">
        <v>1045</v>
      </c>
      <c r="B435" s="146" t="str">
        <f>" 경    비  :   "&amp;TEXT(I435,"#,##0"&amp;IF(I435&lt;&gt;INT(I435),".###",""))&amp;" / Q = "&amp;TEXT(C435,"#,##0.0")&amp;""</f>
        <v xml:space="preserve"> 경    비  :   7,621 / Q = 931.6</v>
      </c>
      <c r="C435" s="148">
        <f>E435+D435+F435</f>
        <v>931.6</v>
      </c>
      <c r="D435" s="148">
        <f>IF(H435=0,0,ROUNDDOWN(J435*H435,1))</f>
        <v>0</v>
      </c>
      <c r="E435" s="148">
        <f>IF(H435=0,0,ROUNDDOWN(K435*H435,1))</f>
        <v>0</v>
      </c>
      <c r="F435" s="148">
        <f>IF(H435=0,0,ROUNDDOWN(L435*H435,1))</f>
        <v>931.6</v>
      </c>
      <c r="G435" s="17" t="s">
        <v>1044</v>
      </c>
      <c r="H435" s="152">
        <f>ROUNDUP(AC435,14-LEN(ABS(INT(AC435))))</f>
        <v>0.1222493887531</v>
      </c>
      <c r="I435" s="153">
        <f>K435+J435+L435</f>
        <v>7621</v>
      </c>
      <c r="L435" s="37">
        <f>중기목록표!H16</f>
        <v>7621</v>
      </c>
      <c r="M435" s="34" t="s">
        <v>1041</v>
      </c>
      <c r="N435" s="34" t="s">
        <v>886</v>
      </c>
      <c r="X435" s="154" t="str">
        <f>중기목록표!B16&amp;" / "&amp;중기목록표!C16</f>
        <v>덤프트럭(2.5ton) / 할증율:1.25</v>
      </c>
      <c r="Y435" s="3" t="str">
        <f ca="1">HYPERLINK("#"&amp;중기목록표!J2&amp;"!A"&amp;ROW(중기목록표!A16),"X00090 →")</f>
        <v>X00090 →</v>
      </c>
      <c r="Z435" s="34" t="s">
        <v>879</v>
      </c>
      <c r="AA435" s="158" t="str">
        <f>AJ428</f>
        <v>8.18</v>
      </c>
      <c r="AB435" s="34" t="s">
        <v>871</v>
      </c>
      <c r="AC435" s="158">
        <f>1/AJ428</f>
        <v>0.12224938875305624</v>
      </c>
      <c r="AD435" s="155"/>
      <c r="AE435" s="155"/>
      <c r="AF435" s="155"/>
      <c r="AG435" s="155"/>
      <c r="AH435" s="155"/>
      <c r="AI435" s="155"/>
      <c r="AJ435" s="155"/>
      <c r="AK435" s="155"/>
      <c r="AL435" s="155"/>
      <c r="AM435" s="155"/>
      <c r="AN435" s="155"/>
      <c r="AO435" s="155"/>
      <c r="AP435" s="155"/>
      <c r="AQ435" s="155"/>
      <c r="AR435" s="155"/>
      <c r="AS435" s="155"/>
    </row>
    <row r="436" spans="1:45" ht="12.6" customHeight="1" x14ac:dyDescent="0.3">
      <c r="A436" s="107"/>
      <c r="B436" s="107"/>
      <c r="C436" s="107"/>
      <c r="D436" s="107"/>
      <c r="E436" s="107"/>
      <c r="F436" s="107"/>
      <c r="G436" s="17" t="s">
        <v>848</v>
      </c>
      <c r="Z436" s="155"/>
      <c r="AA436" s="155"/>
      <c r="AB436" s="155"/>
      <c r="AC436" s="155"/>
      <c r="AD436" s="155"/>
      <c r="AE436" s="155"/>
      <c r="AF436" s="155"/>
      <c r="AG436" s="155"/>
      <c r="AH436" s="155"/>
      <c r="AI436" s="155"/>
      <c r="AJ436" s="155"/>
      <c r="AK436" s="155"/>
      <c r="AL436" s="155"/>
      <c r="AM436" s="155"/>
      <c r="AN436" s="155"/>
      <c r="AO436" s="155"/>
      <c r="AP436" s="155"/>
      <c r="AQ436" s="155"/>
      <c r="AR436" s="155"/>
      <c r="AS436" s="155"/>
    </row>
    <row r="437" spans="1:45" ht="12.6" customHeight="1" x14ac:dyDescent="0.3">
      <c r="A437" s="84"/>
      <c r="B437" s="41" t="s">
        <v>885</v>
      </c>
      <c r="C437" s="149">
        <f>E437+D437+F437</f>
        <v>7597.1</v>
      </c>
      <c r="D437" s="149">
        <f>SUMIF(N404:N436,M437,D404:D436)</f>
        <v>6048.7</v>
      </c>
      <c r="E437" s="149">
        <f>SUMIF(N404:N436,M437,E404:E436)</f>
        <v>616.79999999999995</v>
      </c>
      <c r="F437" s="149">
        <f>SUMIF(N404:N436,M437,F404:F436)</f>
        <v>931.6</v>
      </c>
      <c r="G437" s="17" t="s">
        <v>884</v>
      </c>
      <c r="M437" s="34" t="s">
        <v>886</v>
      </c>
      <c r="N437" s="34" t="s">
        <v>891</v>
      </c>
      <c r="Z437" s="155"/>
      <c r="AA437" s="155"/>
      <c r="AB437" s="155"/>
      <c r="AC437" s="155"/>
      <c r="AD437" s="155"/>
      <c r="AE437" s="155"/>
      <c r="AF437" s="155"/>
      <c r="AG437" s="155"/>
      <c r="AH437" s="155"/>
      <c r="AI437" s="155"/>
      <c r="AJ437" s="155"/>
      <c r="AK437" s="155"/>
      <c r="AL437" s="155"/>
      <c r="AM437" s="155"/>
      <c r="AN437" s="155"/>
      <c r="AO437" s="155"/>
      <c r="AP437" s="155"/>
      <c r="AQ437" s="155"/>
      <c r="AR437" s="155"/>
      <c r="AS437" s="155"/>
    </row>
    <row r="438" spans="1:45" ht="12.6" customHeight="1" x14ac:dyDescent="0.3">
      <c r="A438" s="107"/>
      <c r="B438" s="107"/>
      <c r="C438" s="147"/>
      <c r="D438" s="147"/>
      <c r="E438" s="147"/>
      <c r="F438" s="147"/>
      <c r="G438" s="17" t="s">
        <v>848</v>
      </c>
      <c r="Z438" s="155"/>
      <c r="AA438" s="155"/>
      <c r="AB438" s="155"/>
      <c r="AC438" s="155"/>
      <c r="AD438" s="155"/>
      <c r="AE438" s="155"/>
      <c r="AF438" s="155"/>
      <c r="AG438" s="155"/>
      <c r="AH438" s="155"/>
      <c r="AI438" s="155"/>
      <c r="AJ438" s="155"/>
      <c r="AK438" s="155"/>
      <c r="AL438" s="155"/>
      <c r="AM438" s="155"/>
      <c r="AN438" s="155"/>
      <c r="AO438" s="155"/>
      <c r="AP438" s="155"/>
      <c r="AQ438" s="155"/>
      <c r="AR438" s="155"/>
      <c r="AS438" s="155"/>
    </row>
    <row r="439" spans="1:45" ht="12.6" customHeight="1" x14ac:dyDescent="0.3">
      <c r="A439" s="84"/>
      <c r="B439" s="41" t="s">
        <v>769</v>
      </c>
      <c r="C439" s="149">
        <f>E439+D439+F439</f>
        <v>21887.5</v>
      </c>
      <c r="D439" s="149">
        <f>SUMIF(N319:N438,M439,D319:D438)</f>
        <v>13998.099999999999</v>
      </c>
      <c r="E439" s="149">
        <f>SUMIF(N319:N438,M439,E319:E438)</f>
        <v>3102</v>
      </c>
      <c r="F439" s="149">
        <f>SUMIF(N319:N438,M439,F319:F438)</f>
        <v>4787.4000000000005</v>
      </c>
      <c r="G439" s="17" t="s">
        <v>890</v>
      </c>
      <c r="M439" s="34" t="s">
        <v>891</v>
      </c>
      <c r="N439" s="34" t="s">
        <v>768</v>
      </c>
      <c r="Z439" s="155"/>
      <c r="AA439" s="155"/>
      <c r="AB439" s="155"/>
      <c r="AC439" s="155"/>
      <c r="AD439" s="155"/>
      <c r="AE439" s="155"/>
      <c r="AF439" s="155"/>
      <c r="AG439" s="155"/>
      <c r="AH439" s="155"/>
      <c r="AI439" s="155"/>
      <c r="AJ439" s="155"/>
      <c r="AK439" s="155"/>
      <c r="AL439" s="155"/>
      <c r="AM439" s="155"/>
      <c r="AN439" s="155"/>
      <c r="AO439" s="155"/>
      <c r="AP439" s="155"/>
      <c r="AQ439" s="155"/>
      <c r="AR439" s="155"/>
      <c r="AS439" s="155"/>
    </row>
    <row r="440" spans="1:45" ht="12.6" customHeight="1" x14ac:dyDescent="0.3">
      <c r="A440" s="107"/>
      <c r="B440" s="107"/>
      <c r="C440" s="147"/>
      <c r="D440" s="147"/>
      <c r="E440" s="147"/>
      <c r="F440" s="147"/>
      <c r="Z440" s="155"/>
      <c r="AA440" s="155"/>
      <c r="AB440" s="155"/>
      <c r="AC440" s="155"/>
      <c r="AD440" s="155"/>
      <c r="AE440" s="155"/>
      <c r="AF440" s="155"/>
      <c r="AG440" s="155"/>
      <c r="AH440" s="155"/>
      <c r="AI440" s="155"/>
      <c r="AJ440" s="155"/>
      <c r="AK440" s="155"/>
      <c r="AL440" s="155"/>
      <c r="AM440" s="155"/>
      <c r="AN440" s="155"/>
      <c r="AO440" s="155"/>
      <c r="AP440" s="155"/>
      <c r="AQ440" s="155"/>
      <c r="AR440" s="155"/>
      <c r="AS440" s="155"/>
    </row>
    <row r="441" spans="1:45" ht="12.6" customHeight="1" x14ac:dyDescent="0.3">
      <c r="A441" s="107"/>
      <c r="B441" s="107"/>
      <c r="C441" s="107"/>
      <c r="D441" s="107"/>
      <c r="E441" s="107"/>
      <c r="F441" s="107"/>
      <c r="Z441" s="155"/>
      <c r="AA441" s="155"/>
      <c r="AB441" s="155"/>
      <c r="AC441" s="155"/>
      <c r="AD441" s="155"/>
      <c r="AE441" s="155"/>
      <c r="AF441" s="155"/>
      <c r="AG441" s="155"/>
      <c r="AH441" s="155"/>
      <c r="AI441" s="155"/>
      <c r="AJ441" s="155"/>
      <c r="AK441" s="155"/>
      <c r="AL441" s="155"/>
      <c r="AM441" s="155"/>
      <c r="AN441" s="155"/>
      <c r="AO441" s="155"/>
      <c r="AP441" s="155"/>
      <c r="AQ441" s="155"/>
      <c r="AR441" s="155"/>
      <c r="AS441" s="155"/>
    </row>
    <row r="442" spans="1:45" ht="12.6" customHeight="1" x14ac:dyDescent="0.3">
      <c r="A442" s="107"/>
      <c r="B442" s="107"/>
      <c r="C442" s="107"/>
      <c r="D442" s="107"/>
      <c r="E442" s="107"/>
      <c r="F442" s="107"/>
      <c r="Z442" s="155"/>
      <c r="AA442" s="155"/>
      <c r="AB442" s="155"/>
      <c r="AC442" s="155"/>
      <c r="AD442" s="155"/>
      <c r="AE442" s="155"/>
      <c r="AF442" s="155"/>
      <c r="AG442" s="155"/>
      <c r="AH442" s="155"/>
      <c r="AI442" s="155"/>
      <c r="AJ442" s="155"/>
      <c r="AK442" s="155"/>
      <c r="AL442" s="155"/>
      <c r="AM442" s="155"/>
      <c r="AN442" s="155"/>
      <c r="AO442" s="155"/>
      <c r="AP442" s="155"/>
      <c r="AQ442" s="155"/>
      <c r="AR442" s="155"/>
      <c r="AS442" s="155"/>
    </row>
    <row r="443" spans="1:45" ht="12.6" customHeight="1" x14ac:dyDescent="0.3">
      <c r="A443" s="107"/>
      <c r="B443" s="107"/>
      <c r="C443" s="107"/>
      <c r="D443" s="107"/>
      <c r="E443" s="107"/>
      <c r="F443" s="107"/>
      <c r="Z443" s="155"/>
      <c r="AA443" s="155"/>
      <c r="AB443" s="155"/>
      <c r="AC443" s="155"/>
      <c r="AD443" s="155"/>
      <c r="AE443" s="155"/>
      <c r="AF443" s="155"/>
      <c r="AG443" s="155"/>
      <c r="AH443" s="155"/>
      <c r="AI443" s="155"/>
      <c r="AJ443" s="155"/>
      <c r="AK443" s="155"/>
      <c r="AL443" s="155"/>
      <c r="AM443" s="155"/>
      <c r="AN443" s="155"/>
      <c r="AO443" s="155"/>
      <c r="AP443" s="155"/>
      <c r="AQ443" s="155"/>
      <c r="AR443" s="155"/>
      <c r="AS443" s="155"/>
    </row>
    <row r="444" spans="1:45" ht="12.6" customHeight="1" x14ac:dyDescent="0.3">
      <c r="A444" s="107"/>
      <c r="B444" s="107"/>
      <c r="C444" s="107"/>
      <c r="D444" s="107"/>
      <c r="E444" s="107"/>
      <c r="F444" s="107"/>
      <c r="Z444" s="155"/>
      <c r="AA444" s="155"/>
      <c r="AB444" s="155"/>
      <c r="AC444" s="155"/>
      <c r="AD444" s="155"/>
      <c r="AE444" s="155"/>
      <c r="AF444" s="155"/>
      <c r="AG444" s="155"/>
      <c r="AH444" s="155"/>
      <c r="AI444" s="155"/>
      <c r="AJ444" s="155"/>
      <c r="AK444" s="155"/>
      <c r="AL444" s="155"/>
      <c r="AM444" s="155"/>
      <c r="AN444" s="155"/>
      <c r="AO444" s="155"/>
      <c r="AP444" s="155"/>
      <c r="AQ444" s="155"/>
      <c r="AR444" s="155"/>
      <c r="AS444" s="155"/>
    </row>
    <row r="445" spans="1:45" ht="12.6" customHeight="1" x14ac:dyDescent="0.3">
      <c r="A445" s="107"/>
      <c r="B445" s="107"/>
      <c r="C445" s="107"/>
      <c r="D445" s="107"/>
      <c r="E445" s="107"/>
      <c r="F445" s="107"/>
      <c r="Z445" s="155"/>
      <c r="AA445" s="155"/>
      <c r="AB445" s="155"/>
      <c r="AC445" s="155"/>
      <c r="AD445" s="155"/>
      <c r="AE445" s="155"/>
      <c r="AF445" s="155"/>
      <c r="AG445" s="155"/>
      <c r="AH445" s="155"/>
      <c r="AI445" s="155"/>
      <c r="AJ445" s="155"/>
      <c r="AK445" s="155"/>
      <c r="AL445" s="155"/>
      <c r="AM445" s="155"/>
      <c r="AN445" s="155"/>
      <c r="AO445" s="155"/>
      <c r="AP445" s="155"/>
      <c r="AQ445" s="155"/>
      <c r="AR445" s="155"/>
      <c r="AS445" s="155"/>
    </row>
    <row r="446" spans="1:45" ht="12.6" customHeight="1" x14ac:dyDescent="0.3">
      <c r="A446" s="107"/>
      <c r="B446" s="107"/>
      <c r="C446" s="107"/>
      <c r="D446" s="107"/>
      <c r="E446" s="107"/>
      <c r="F446" s="107"/>
      <c r="Z446" s="155"/>
      <c r="AA446" s="155"/>
      <c r="AB446" s="155"/>
      <c r="AC446" s="155"/>
      <c r="AD446" s="155"/>
      <c r="AE446" s="155"/>
      <c r="AF446" s="155"/>
      <c r="AG446" s="155"/>
      <c r="AH446" s="155"/>
      <c r="AI446" s="155"/>
      <c r="AJ446" s="155"/>
      <c r="AK446" s="155"/>
      <c r="AL446" s="155"/>
      <c r="AM446" s="155"/>
      <c r="AN446" s="155"/>
      <c r="AO446" s="155"/>
      <c r="AP446" s="155"/>
      <c r="AQ446" s="155"/>
      <c r="AR446" s="155"/>
      <c r="AS446" s="155"/>
    </row>
    <row r="447" spans="1:45" ht="12.6" customHeight="1" x14ac:dyDescent="0.3">
      <c r="A447" s="107"/>
      <c r="B447" s="107"/>
      <c r="C447" s="107"/>
      <c r="D447" s="107"/>
      <c r="E447" s="107"/>
      <c r="F447" s="107"/>
      <c r="Z447" s="155"/>
      <c r="AA447" s="155"/>
      <c r="AB447" s="155"/>
      <c r="AC447" s="155"/>
      <c r="AD447" s="155"/>
      <c r="AE447" s="155"/>
      <c r="AF447" s="155"/>
      <c r="AG447" s="155"/>
      <c r="AH447" s="155"/>
      <c r="AI447" s="155"/>
      <c r="AJ447" s="155"/>
      <c r="AK447" s="155"/>
      <c r="AL447" s="155"/>
      <c r="AM447" s="155"/>
      <c r="AN447" s="155"/>
      <c r="AO447" s="155"/>
      <c r="AP447" s="155"/>
      <c r="AQ447" s="155"/>
      <c r="AR447" s="155"/>
      <c r="AS447" s="155"/>
    </row>
    <row r="448" spans="1:45" ht="12.6" customHeight="1" x14ac:dyDescent="0.3">
      <c r="A448" s="107"/>
      <c r="B448" s="107"/>
      <c r="C448" s="107"/>
      <c r="D448" s="107"/>
      <c r="E448" s="107"/>
      <c r="F448" s="107"/>
      <c r="Z448" s="155"/>
      <c r="AA448" s="155"/>
      <c r="AB448" s="155"/>
      <c r="AC448" s="155"/>
      <c r="AD448" s="155"/>
      <c r="AE448" s="155"/>
      <c r="AF448" s="155"/>
      <c r="AG448" s="155"/>
      <c r="AH448" s="155"/>
      <c r="AI448" s="155"/>
      <c r="AJ448" s="155"/>
      <c r="AK448" s="155"/>
      <c r="AL448" s="155"/>
      <c r="AM448" s="155"/>
      <c r="AN448" s="155"/>
      <c r="AO448" s="155"/>
      <c r="AP448" s="155"/>
      <c r="AQ448" s="155"/>
      <c r="AR448" s="155"/>
      <c r="AS448" s="155"/>
    </row>
    <row r="449" spans="1:45" ht="12.6" customHeight="1" x14ac:dyDescent="0.3">
      <c r="A449" s="107"/>
      <c r="B449" s="107"/>
      <c r="C449" s="107"/>
      <c r="D449" s="107"/>
      <c r="E449" s="107"/>
      <c r="F449" s="107"/>
      <c r="Z449" s="155"/>
      <c r="AA449" s="155"/>
      <c r="AB449" s="155"/>
      <c r="AC449" s="155"/>
      <c r="AD449" s="155"/>
      <c r="AE449" s="155"/>
      <c r="AF449" s="155"/>
      <c r="AG449" s="155"/>
      <c r="AH449" s="155"/>
      <c r="AI449" s="155"/>
      <c r="AJ449" s="155"/>
      <c r="AK449" s="155"/>
      <c r="AL449" s="155"/>
      <c r="AM449" s="155"/>
      <c r="AN449" s="155"/>
      <c r="AO449" s="155"/>
      <c r="AP449" s="155"/>
      <c r="AQ449" s="155"/>
      <c r="AR449" s="155"/>
      <c r="AS449" s="155"/>
    </row>
    <row r="450" spans="1:45" ht="12.6" customHeight="1" x14ac:dyDescent="0.3">
      <c r="A450" s="107"/>
      <c r="B450" s="107"/>
      <c r="C450" s="107"/>
      <c r="D450" s="107"/>
      <c r="E450" s="107"/>
      <c r="F450" s="107"/>
      <c r="Z450" s="155"/>
      <c r="AA450" s="155"/>
      <c r="AB450" s="155"/>
      <c r="AC450" s="155"/>
      <c r="AD450" s="155"/>
      <c r="AE450" s="155"/>
      <c r="AF450" s="155"/>
      <c r="AG450" s="155"/>
      <c r="AH450" s="155"/>
      <c r="AI450" s="155"/>
      <c r="AJ450" s="155"/>
      <c r="AK450" s="155"/>
      <c r="AL450" s="155"/>
      <c r="AM450" s="155"/>
      <c r="AN450" s="155"/>
      <c r="AO450" s="155"/>
      <c r="AP450" s="155"/>
      <c r="AQ450" s="155"/>
      <c r="AR450" s="155"/>
      <c r="AS450" s="155"/>
    </row>
    <row r="451" spans="1:45" ht="12.6" customHeight="1" x14ac:dyDescent="0.3">
      <c r="A451" s="107"/>
      <c r="B451" s="107"/>
      <c r="C451" s="107"/>
      <c r="D451" s="107"/>
      <c r="E451" s="107"/>
      <c r="F451" s="107"/>
      <c r="Z451" s="155"/>
      <c r="AA451" s="155"/>
      <c r="AB451" s="155"/>
      <c r="AC451" s="155"/>
      <c r="AD451" s="155"/>
      <c r="AE451" s="155"/>
      <c r="AF451" s="155"/>
      <c r="AG451" s="155"/>
      <c r="AH451" s="155"/>
      <c r="AI451" s="155"/>
      <c r="AJ451" s="155"/>
      <c r="AK451" s="155"/>
      <c r="AL451" s="155"/>
      <c r="AM451" s="155"/>
      <c r="AN451" s="155"/>
      <c r="AO451" s="155"/>
      <c r="AP451" s="155"/>
      <c r="AQ451" s="155"/>
      <c r="AR451" s="155"/>
      <c r="AS451" s="155"/>
    </row>
    <row r="452" spans="1:45" ht="12.6" customHeight="1" x14ac:dyDescent="0.3">
      <c r="A452" s="107"/>
      <c r="B452" s="107"/>
      <c r="C452" s="107"/>
      <c r="D452" s="107"/>
      <c r="E452" s="107"/>
      <c r="F452" s="107"/>
      <c r="Z452" s="155"/>
      <c r="AA452" s="155"/>
      <c r="AB452" s="155"/>
      <c r="AC452" s="155"/>
      <c r="AD452" s="155"/>
      <c r="AE452" s="155"/>
      <c r="AF452" s="155"/>
      <c r="AG452" s="155"/>
      <c r="AH452" s="155"/>
      <c r="AI452" s="155"/>
      <c r="AJ452" s="155"/>
      <c r="AK452" s="155"/>
      <c r="AL452" s="155"/>
      <c r="AM452" s="155"/>
      <c r="AN452" s="155"/>
      <c r="AO452" s="155"/>
      <c r="AP452" s="155"/>
      <c r="AQ452" s="155"/>
      <c r="AR452" s="155"/>
      <c r="AS452" s="155"/>
    </row>
    <row r="453" spans="1:45" ht="12.6" customHeight="1" x14ac:dyDescent="0.3">
      <c r="A453" s="123"/>
      <c r="B453" s="123"/>
      <c r="C453" s="123"/>
      <c r="D453" s="123"/>
      <c r="E453" s="123"/>
      <c r="F453" s="123"/>
      <c r="Z453" s="155"/>
      <c r="AA453" s="155"/>
      <c r="AB453" s="155"/>
      <c r="AC453" s="155"/>
      <c r="AD453" s="155"/>
      <c r="AE453" s="155"/>
      <c r="AF453" s="155"/>
      <c r="AG453" s="155"/>
      <c r="AH453" s="155"/>
      <c r="AI453" s="155"/>
      <c r="AJ453" s="155"/>
      <c r="AK453" s="155"/>
      <c r="AL453" s="155"/>
      <c r="AM453" s="155"/>
      <c r="AN453" s="155"/>
      <c r="AO453" s="155"/>
      <c r="AP453" s="155"/>
      <c r="AQ453" s="155"/>
      <c r="AR453" s="155"/>
      <c r="AS453" s="155"/>
    </row>
    <row r="454" spans="1:45" ht="12.6" customHeight="1" x14ac:dyDescent="0.3">
      <c r="A454" s="193" t="s">
        <v>769</v>
      </c>
      <c r="B454" s="194"/>
      <c r="C454" s="99">
        <f>E454+D454+F454</f>
        <v>21887</v>
      </c>
      <c r="D454" s="121">
        <f>ROUNDDOWN(SUMIF(N319:N439,M454,D319:D439),0)</f>
        <v>13998</v>
      </c>
      <c r="E454" s="120">
        <f>ROUNDDOWN(SUMIF(N319:N439,M454,E319:E439),0)</f>
        <v>3102</v>
      </c>
      <c r="F454" s="99">
        <f>ROUNDDOWN(SUMIF(N319:N439,M454,F319:F439),0)</f>
        <v>4787</v>
      </c>
      <c r="M454" s="34" t="s">
        <v>768</v>
      </c>
      <c r="N454" s="34" t="s">
        <v>770</v>
      </c>
      <c r="Z454" s="155"/>
      <c r="AA454" s="155"/>
      <c r="AB454" s="155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5"/>
      <c r="AN454" s="155"/>
      <c r="AO454" s="155"/>
      <c r="AP454" s="155"/>
      <c r="AQ454" s="155"/>
      <c r="AR454" s="155"/>
      <c r="AS454" s="155"/>
    </row>
    <row r="455" spans="1:45" ht="12.6" customHeight="1" x14ac:dyDescent="0.3">
      <c r="A455" s="193" t="s">
        <v>1046</v>
      </c>
      <c r="B455" s="194"/>
      <c r="C455" s="99">
        <f>E455+D455+F455</f>
        <v>19259</v>
      </c>
      <c r="D455" s="121">
        <f>ROUNDDOWN(D454*H455/100,0)</f>
        <v>12318</v>
      </c>
      <c r="E455" s="120">
        <f>ROUNDDOWN(E454*H455/100,0)</f>
        <v>2729</v>
      </c>
      <c r="F455" s="99">
        <f>ROUNDDOWN(F454*H455/100,0)</f>
        <v>4212</v>
      </c>
      <c r="H455" s="35">
        <v>88</v>
      </c>
      <c r="M455" s="34" t="s">
        <v>770</v>
      </c>
      <c r="Z455" s="155"/>
      <c r="AA455" s="155"/>
      <c r="AB455" s="155"/>
      <c r="AC455" s="155"/>
      <c r="AD455" s="155"/>
      <c r="AE455" s="155"/>
      <c r="AF455" s="155"/>
      <c r="AG455" s="155"/>
      <c r="AH455" s="155"/>
      <c r="AI455" s="155"/>
      <c r="AJ455" s="155"/>
      <c r="AK455" s="155"/>
      <c r="AL455" s="155"/>
      <c r="AM455" s="155"/>
      <c r="AN455" s="155"/>
      <c r="AO455" s="155"/>
      <c r="AP455" s="155"/>
      <c r="AQ455" s="155"/>
      <c r="AR455" s="155"/>
      <c r="AS455" s="155"/>
    </row>
    <row r="456" spans="1:45" ht="12.6" customHeight="1" x14ac:dyDescent="0.3">
      <c r="A456" s="144" t="s">
        <v>66</v>
      </c>
      <c r="B456" s="145" t="s">
        <v>66</v>
      </c>
      <c r="C456" s="232">
        <f>C594</f>
        <v>16568</v>
      </c>
      <c r="D456" s="232">
        <f>D594</f>
        <v>0</v>
      </c>
      <c r="E456" s="232">
        <f>E594</f>
        <v>0</v>
      </c>
      <c r="F456" s="232">
        <f>F594</f>
        <v>16568</v>
      </c>
      <c r="G456" s="141" t="str">
        <f>HYPERLINK("#G"&amp;ROW(G558),"_x0005_`BDCOD|D01439_x0007_`POSS|"&amp;ROW(G458)&amp;"_x0007_`POSE|"&amp;ROW(G558)&amp;"_x0007_`")</f>
        <v>_x0005_`BDCOD|D01439_x0007_`POSS|458_x0007_`POSE|558_x0007_`</v>
      </c>
      <c r="Z456" s="155"/>
      <c r="AA456" s="155"/>
      <c r="AB456" s="155"/>
      <c r="AC456" s="155"/>
      <c r="AD456" s="155"/>
      <c r="AE456" s="155"/>
      <c r="AF456" s="155"/>
      <c r="AG456" s="155"/>
      <c r="AH456" s="155"/>
      <c r="AI456" s="155"/>
      <c r="AJ456" s="155"/>
      <c r="AK456" s="155"/>
      <c r="AL456" s="155"/>
      <c r="AM456" s="155"/>
      <c r="AN456" s="155"/>
      <c r="AO456" s="155"/>
      <c r="AP456" s="155"/>
      <c r="AQ456" s="155"/>
      <c r="AR456" s="155"/>
      <c r="AS456" s="155"/>
    </row>
    <row r="457" spans="1:45" ht="12.6" customHeight="1" x14ac:dyDescent="0.3">
      <c r="A457" s="124"/>
      <c r="B457" s="145" t="s">
        <v>65</v>
      </c>
      <c r="C457" s="189"/>
      <c r="D457" s="189"/>
      <c r="E457" s="189"/>
      <c r="F457" s="189"/>
      <c r="M457" s="34" t="s">
        <v>1047</v>
      </c>
      <c r="Z457" s="155"/>
      <c r="AA457" s="155"/>
      <c r="AB457" s="155"/>
      <c r="AC457" s="155"/>
      <c r="AD457" s="155"/>
      <c r="AE457" s="155"/>
      <c r="AF457" s="155"/>
      <c r="AG457" s="155"/>
      <c r="AH457" s="155"/>
      <c r="AI457" s="155"/>
      <c r="AJ457" s="155"/>
      <c r="AK457" s="155"/>
      <c r="AL457" s="155"/>
      <c r="AM457" s="155"/>
      <c r="AN457" s="155"/>
      <c r="AO457" s="155"/>
      <c r="AP457" s="155"/>
      <c r="AQ457" s="155"/>
      <c r="AR457" s="155"/>
      <c r="AS457" s="155"/>
    </row>
    <row r="458" spans="1:45" ht="12.6" customHeight="1" x14ac:dyDescent="0.3">
      <c r="A458" s="107"/>
      <c r="B458" s="107"/>
      <c r="C458" s="147"/>
      <c r="D458" s="147"/>
      <c r="E458" s="147"/>
      <c r="F458" s="147"/>
      <c r="G458" s="17" t="s">
        <v>848</v>
      </c>
      <c r="Z458" s="155"/>
      <c r="AA458" s="155"/>
      <c r="AB458" s="155"/>
      <c r="AC458" s="155"/>
      <c r="AD458" s="155"/>
      <c r="AE458" s="155"/>
      <c r="AF458" s="155"/>
      <c r="AG458" s="155"/>
      <c r="AH458" s="155"/>
      <c r="AI458" s="155"/>
      <c r="AJ458" s="155"/>
      <c r="AK458" s="155"/>
      <c r="AL458" s="155"/>
      <c r="AM458" s="155"/>
      <c r="AN458" s="155"/>
      <c r="AO458" s="155"/>
      <c r="AP458" s="155"/>
      <c r="AQ458" s="155"/>
      <c r="AR458" s="155"/>
      <c r="AS458" s="155"/>
    </row>
    <row r="459" spans="1:45" ht="12.6" customHeight="1" x14ac:dyDescent="0.3">
      <c r="A459" s="84"/>
      <c r="B459" s="41" t="s">
        <v>1049</v>
      </c>
      <c r="C459" s="107"/>
      <c r="D459" s="107"/>
      <c r="E459" s="107"/>
      <c r="F459" s="107"/>
      <c r="G459" s="17" t="s">
        <v>1048</v>
      </c>
      <c r="Z459" s="155"/>
      <c r="AA459" s="155"/>
      <c r="AB459" s="155"/>
      <c r="AC459" s="155"/>
      <c r="AD459" s="155"/>
      <c r="AE459" s="155"/>
      <c r="AF459" s="155"/>
      <c r="AG459" s="155"/>
      <c r="AH459" s="155"/>
      <c r="AI459" s="155"/>
      <c r="AJ459" s="155"/>
      <c r="AK459" s="155"/>
      <c r="AL459" s="155"/>
      <c r="AM459" s="155"/>
      <c r="AN459" s="155"/>
      <c r="AO459" s="155"/>
      <c r="AP459" s="155"/>
      <c r="AQ459" s="155"/>
      <c r="AR459" s="155"/>
      <c r="AS459" s="155"/>
    </row>
    <row r="460" spans="1:45" ht="12.6" customHeight="1" x14ac:dyDescent="0.3">
      <c r="A460" s="107"/>
      <c r="B460" s="107"/>
      <c r="C460" s="107"/>
      <c r="D460" s="107"/>
      <c r="E460" s="107"/>
      <c r="F460" s="107"/>
      <c r="G460" s="17" t="s">
        <v>848</v>
      </c>
      <c r="Z460" s="155"/>
      <c r="AA460" s="155"/>
      <c r="AB460" s="155"/>
      <c r="AC460" s="155"/>
      <c r="AD460" s="155"/>
      <c r="AE460" s="155"/>
      <c r="AF460" s="155"/>
      <c r="AG460" s="155"/>
      <c r="AH460" s="155"/>
      <c r="AI460" s="155"/>
      <c r="AJ460" s="155"/>
      <c r="AK460" s="155"/>
      <c r="AL460" s="155"/>
      <c r="AM460" s="155"/>
      <c r="AN460" s="155"/>
      <c r="AO460" s="155"/>
      <c r="AP460" s="155"/>
      <c r="AQ460" s="155"/>
      <c r="AR460" s="155"/>
      <c r="AS460" s="155"/>
    </row>
    <row r="461" spans="1:45" ht="12.6" customHeight="1" x14ac:dyDescent="0.3">
      <c r="A461" s="107"/>
      <c r="B461" s="107"/>
      <c r="C461" s="107"/>
      <c r="D461" s="107"/>
      <c r="E461" s="107"/>
      <c r="F461" s="107"/>
      <c r="G461" s="17" t="s">
        <v>848</v>
      </c>
      <c r="Z461" s="155"/>
      <c r="AA461" s="155"/>
      <c r="AB461" s="155"/>
      <c r="AC461" s="155"/>
      <c r="AD461" s="155"/>
      <c r="AE461" s="155"/>
      <c r="AF461" s="155"/>
      <c r="AG461" s="155"/>
      <c r="AH461" s="155"/>
      <c r="AI461" s="155"/>
      <c r="AJ461" s="155"/>
      <c r="AK461" s="155"/>
      <c r="AL461" s="155"/>
      <c r="AM461" s="155"/>
      <c r="AN461" s="155"/>
      <c r="AO461" s="155"/>
      <c r="AP461" s="155"/>
      <c r="AQ461" s="155"/>
      <c r="AR461" s="155"/>
      <c r="AS461" s="155"/>
    </row>
    <row r="462" spans="1:45" ht="12.6" customHeight="1" x14ac:dyDescent="0.3">
      <c r="A462" s="107"/>
      <c r="B462" s="107"/>
      <c r="C462" s="107"/>
      <c r="D462" s="107"/>
      <c r="E462" s="107"/>
      <c r="F462" s="107"/>
      <c r="G462" s="17" t="s">
        <v>848</v>
      </c>
      <c r="Z462" s="155"/>
      <c r="AA462" s="155"/>
      <c r="AB462" s="155"/>
      <c r="AC462" s="155"/>
      <c r="AD462" s="155"/>
      <c r="AE462" s="155"/>
      <c r="AF462" s="155"/>
      <c r="AG462" s="155"/>
      <c r="AH462" s="155"/>
      <c r="AI462" s="155"/>
      <c r="AJ462" s="155"/>
      <c r="AK462" s="155"/>
      <c r="AL462" s="155"/>
      <c r="AM462" s="155"/>
      <c r="AN462" s="155"/>
      <c r="AO462" s="155"/>
      <c r="AP462" s="155"/>
      <c r="AQ462" s="155"/>
      <c r="AR462" s="155"/>
      <c r="AS462" s="155"/>
    </row>
    <row r="463" spans="1:45" ht="12.6" customHeight="1" x14ac:dyDescent="0.3">
      <c r="A463" s="84"/>
      <c r="B463" s="41" t="s">
        <v>1051</v>
      </c>
      <c r="C463" s="107"/>
      <c r="D463" s="107"/>
      <c r="E463" s="107"/>
      <c r="F463" s="107"/>
      <c r="G463" s="17" t="s">
        <v>1050</v>
      </c>
      <c r="Z463" s="155"/>
      <c r="AA463" s="155"/>
      <c r="AB463" s="155"/>
      <c r="AC463" s="155"/>
      <c r="AD463" s="155"/>
      <c r="AE463" s="155"/>
      <c r="AF463" s="155"/>
      <c r="AG463" s="155"/>
      <c r="AH463" s="155"/>
      <c r="AI463" s="155"/>
      <c r="AJ463" s="155"/>
      <c r="AK463" s="155"/>
      <c r="AL463" s="155"/>
      <c r="AM463" s="155"/>
      <c r="AN463" s="155"/>
      <c r="AO463" s="155"/>
      <c r="AP463" s="155"/>
      <c r="AQ463" s="155"/>
      <c r="AR463" s="155"/>
      <c r="AS463" s="155"/>
    </row>
    <row r="464" spans="1:45" ht="12.6" customHeight="1" x14ac:dyDescent="0.3">
      <c r="A464" s="107"/>
      <c r="B464" s="107"/>
      <c r="C464" s="107"/>
      <c r="D464" s="107"/>
      <c r="E464" s="107"/>
      <c r="F464" s="107"/>
      <c r="G464" s="17" t="s">
        <v>848</v>
      </c>
      <c r="Z464" s="155"/>
      <c r="AA464" s="155"/>
      <c r="AB464" s="155"/>
      <c r="AC464" s="155"/>
      <c r="AD464" s="155"/>
      <c r="AE464" s="155"/>
      <c r="AF464" s="155"/>
      <c r="AG464" s="155"/>
      <c r="AH464" s="155"/>
      <c r="AI464" s="155"/>
      <c r="AJ464" s="155"/>
      <c r="AK464" s="155"/>
      <c r="AL464" s="155"/>
      <c r="AM464" s="155"/>
      <c r="AN464" s="155"/>
      <c r="AO464" s="155"/>
      <c r="AP464" s="155"/>
      <c r="AQ464" s="155"/>
      <c r="AR464" s="155"/>
      <c r="AS464" s="155"/>
    </row>
    <row r="465" spans="1:45" ht="12.6" customHeight="1" x14ac:dyDescent="0.3">
      <c r="A465" s="107"/>
      <c r="B465" s="107"/>
      <c r="C465" s="107"/>
      <c r="D465" s="107"/>
      <c r="E465" s="107"/>
      <c r="F465" s="107"/>
      <c r="G465" s="17" t="s">
        <v>848</v>
      </c>
      <c r="Z465" s="155"/>
      <c r="AA465" s="155"/>
      <c r="AB465" s="155"/>
      <c r="AC465" s="155"/>
      <c r="AD465" s="155"/>
      <c r="AE465" s="155"/>
      <c r="AF465" s="155"/>
      <c r="AG465" s="155"/>
      <c r="AH465" s="155"/>
      <c r="AI465" s="155"/>
      <c r="AJ465" s="155"/>
      <c r="AK465" s="155"/>
      <c r="AL465" s="155"/>
      <c r="AM465" s="155"/>
      <c r="AN465" s="155"/>
      <c r="AO465" s="155"/>
      <c r="AP465" s="155"/>
      <c r="AQ465" s="155"/>
      <c r="AR465" s="155"/>
      <c r="AS465" s="155"/>
    </row>
    <row r="466" spans="1:45" ht="12.6" customHeight="1" x14ac:dyDescent="0.3">
      <c r="A466" s="107"/>
      <c r="B466" s="107"/>
      <c r="C466" s="107"/>
      <c r="D466" s="107"/>
      <c r="E466" s="107"/>
      <c r="F466" s="107"/>
      <c r="G466" s="17" t="s">
        <v>848</v>
      </c>
      <c r="Z466" s="155"/>
      <c r="AA466" s="155"/>
      <c r="AB466" s="155"/>
      <c r="AC466" s="155"/>
      <c r="AD466" s="155"/>
      <c r="AE466" s="155"/>
      <c r="AF466" s="155"/>
      <c r="AG466" s="155"/>
      <c r="AH466" s="155"/>
      <c r="AI466" s="155"/>
      <c r="AJ466" s="155"/>
      <c r="AK466" s="155"/>
      <c r="AL466" s="155"/>
      <c r="AM466" s="155"/>
      <c r="AN466" s="155"/>
      <c r="AO466" s="155"/>
      <c r="AP466" s="155"/>
      <c r="AQ466" s="155"/>
      <c r="AR466" s="155"/>
      <c r="AS466" s="155"/>
    </row>
    <row r="467" spans="1:45" ht="12.6" customHeight="1" x14ac:dyDescent="0.3">
      <c r="A467" s="84"/>
      <c r="B467" s="41" t="s">
        <v>1053</v>
      </c>
      <c r="C467" s="107"/>
      <c r="D467" s="107"/>
      <c r="E467" s="107"/>
      <c r="F467" s="107"/>
      <c r="G467" s="17" t="s">
        <v>1052</v>
      </c>
      <c r="Z467" s="155"/>
      <c r="AA467" s="155"/>
      <c r="AB467" s="155"/>
      <c r="AC467" s="155"/>
      <c r="AD467" s="155"/>
      <c r="AE467" s="155"/>
      <c r="AF467" s="155"/>
      <c r="AG467" s="155"/>
      <c r="AH467" s="155"/>
      <c r="AI467" s="155"/>
      <c r="AJ467" s="155"/>
      <c r="AK467" s="155"/>
      <c r="AL467" s="155"/>
      <c r="AM467" s="155"/>
      <c r="AN467" s="155"/>
      <c r="AO467" s="155"/>
      <c r="AP467" s="155"/>
      <c r="AQ467" s="155"/>
      <c r="AR467" s="155"/>
      <c r="AS467" s="155"/>
    </row>
    <row r="468" spans="1:45" ht="12.6" customHeight="1" x14ac:dyDescent="0.3">
      <c r="A468" s="107"/>
      <c r="B468" s="107"/>
      <c r="C468" s="107"/>
      <c r="D468" s="107"/>
      <c r="E468" s="107"/>
      <c r="F468" s="107"/>
      <c r="G468" s="17" t="s">
        <v>848</v>
      </c>
      <c r="Z468" s="155"/>
      <c r="AA468" s="155"/>
      <c r="AB468" s="155"/>
      <c r="AC468" s="155"/>
      <c r="AD468" s="155"/>
      <c r="AE468" s="155"/>
      <c r="AF468" s="155"/>
      <c r="AG468" s="155"/>
      <c r="AH468" s="155"/>
      <c r="AI468" s="155"/>
      <c r="AJ468" s="155"/>
      <c r="AK468" s="155"/>
      <c r="AL468" s="155"/>
      <c r="AM468" s="155"/>
      <c r="AN468" s="155"/>
      <c r="AO468" s="155"/>
      <c r="AP468" s="155"/>
      <c r="AQ468" s="155"/>
      <c r="AR468" s="155"/>
      <c r="AS468" s="155"/>
    </row>
    <row r="469" spans="1:45" ht="12.6" customHeight="1" x14ac:dyDescent="0.3">
      <c r="A469" s="107"/>
      <c r="B469" s="107"/>
      <c r="C469" s="107"/>
      <c r="D469" s="107"/>
      <c r="E469" s="107"/>
      <c r="F469" s="107"/>
      <c r="G469" s="17" t="s">
        <v>848</v>
      </c>
      <c r="Z469" s="155"/>
      <c r="AA469" s="155"/>
      <c r="AB469" s="155"/>
      <c r="AC469" s="155"/>
      <c r="AD469" s="155"/>
      <c r="AE469" s="155"/>
      <c r="AF469" s="155"/>
      <c r="AG469" s="155"/>
      <c r="AH469" s="155"/>
      <c r="AI469" s="155"/>
      <c r="AJ469" s="155"/>
      <c r="AK469" s="155"/>
      <c r="AL469" s="155"/>
      <c r="AM469" s="155"/>
      <c r="AN469" s="155"/>
      <c r="AO469" s="155"/>
      <c r="AP469" s="155"/>
      <c r="AQ469" s="155"/>
      <c r="AR469" s="155"/>
      <c r="AS469" s="155"/>
    </row>
    <row r="470" spans="1:45" ht="12.6" customHeight="1" x14ac:dyDescent="0.3">
      <c r="A470" s="84"/>
      <c r="B470" s="41" t="s">
        <v>1055</v>
      </c>
      <c r="C470" s="107"/>
      <c r="D470" s="107"/>
      <c r="E470" s="107"/>
      <c r="F470" s="107"/>
      <c r="G470" s="17" t="s">
        <v>1054</v>
      </c>
      <c r="Z470" s="155"/>
      <c r="AA470" s="155"/>
      <c r="AB470" s="155"/>
      <c r="AC470" s="155"/>
      <c r="AD470" s="155"/>
      <c r="AE470" s="155"/>
      <c r="AF470" s="155"/>
      <c r="AG470" s="155"/>
      <c r="AH470" s="155"/>
      <c r="AI470" s="155"/>
      <c r="AJ470" s="155"/>
      <c r="AK470" s="155"/>
      <c r="AL470" s="155"/>
      <c r="AM470" s="155"/>
      <c r="AN470" s="155"/>
      <c r="AO470" s="155"/>
      <c r="AP470" s="155"/>
      <c r="AQ470" s="155"/>
      <c r="AR470" s="155"/>
      <c r="AS470" s="155"/>
    </row>
    <row r="471" spans="1:45" ht="12.6" customHeight="1" x14ac:dyDescent="0.3">
      <c r="A471" s="107"/>
      <c r="B471" s="107"/>
      <c r="C471" s="107"/>
      <c r="D471" s="107"/>
      <c r="E471" s="107"/>
      <c r="F471" s="107"/>
      <c r="G471" s="17" t="s">
        <v>848</v>
      </c>
      <c r="Z471" s="155"/>
      <c r="AA471" s="155"/>
      <c r="AB471" s="155"/>
      <c r="AC471" s="155"/>
      <c r="AD471" s="155"/>
      <c r="AE471" s="155"/>
      <c r="AF471" s="155"/>
      <c r="AG471" s="155"/>
      <c r="AH471" s="155"/>
      <c r="AI471" s="155"/>
      <c r="AJ471" s="155"/>
      <c r="AK471" s="155"/>
      <c r="AL471" s="155"/>
      <c r="AM471" s="155"/>
      <c r="AN471" s="155"/>
      <c r="AO471" s="155"/>
      <c r="AP471" s="155"/>
      <c r="AQ471" s="155"/>
      <c r="AR471" s="155"/>
      <c r="AS471" s="155"/>
    </row>
    <row r="472" spans="1:45" ht="12.6" customHeight="1" x14ac:dyDescent="0.3">
      <c r="A472" s="107"/>
      <c r="B472" s="107"/>
      <c r="C472" s="107"/>
      <c r="D472" s="107"/>
      <c r="E472" s="107"/>
      <c r="F472" s="107"/>
      <c r="G472" s="17" t="s">
        <v>848</v>
      </c>
      <c r="Z472" s="155"/>
      <c r="AA472" s="155"/>
      <c r="AB472" s="155"/>
      <c r="AC472" s="155"/>
      <c r="AD472" s="155"/>
      <c r="AE472" s="155"/>
      <c r="AF472" s="155"/>
      <c r="AG472" s="155"/>
      <c r="AH472" s="155"/>
      <c r="AI472" s="155"/>
      <c r="AJ472" s="155"/>
      <c r="AK472" s="155"/>
      <c r="AL472" s="155"/>
      <c r="AM472" s="155"/>
      <c r="AN472" s="155"/>
      <c r="AO472" s="155"/>
      <c r="AP472" s="155"/>
      <c r="AQ472" s="155"/>
      <c r="AR472" s="155"/>
      <c r="AS472" s="155"/>
    </row>
    <row r="473" spans="1:45" ht="12.6" customHeight="1" x14ac:dyDescent="0.3">
      <c r="A473" s="84"/>
      <c r="B473" s="41" t="s">
        <v>1057</v>
      </c>
      <c r="C473" s="107"/>
      <c r="D473" s="107"/>
      <c r="E473" s="107"/>
      <c r="F473" s="107"/>
      <c r="G473" s="17" t="s">
        <v>1056</v>
      </c>
      <c r="Z473" s="155"/>
      <c r="AA473" s="155"/>
      <c r="AB473" s="155"/>
      <c r="AC473" s="155"/>
      <c r="AD473" s="155"/>
      <c r="AE473" s="155"/>
      <c r="AF473" s="155"/>
      <c r="AG473" s="155"/>
      <c r="AH473" s="155"/>
      <c r="AI473" s="155"/>
      <c r="AJ473" s="155"/>
      <c r="AK473" s="155"/>
      <c r="AL473" s="155"/>
      <c r="AM473" s="155"/>
      <c r="AN473" s="155"/>
      <c r="AO473" s="155"/>
      <c r="AP473" s="155"/>
      <c r="AQ473" s="155"/>
      <c r="AR473" s="155"/>
      <c r="AS473" s="155"/>
    </row>
    <row r="474" spans="1:45" ht="12.6" customHeight="1" x14ac:dyDescent="0.3">
      <c r="A474" s="107"/>
      <c r="B474" s="107"/>
      <c r="C474" s="107"/>
      <c r="D474" s="107"/>
      <c r="E474" s="107"/>
      <c r="F474" s="107"/>
      <c r="G474" s="17" t="s">
        <v>848</v>
      </c>
      <c r="Z474" s="155"/>
      <c r="AA474" s="155"/>
      <c r="AB474" s="155"/>
      <c r="AC474" s="155"/>
      <c r="AD474" s="155"/>
      <c r="AE474" s="155"/>
      <c r="AF474" s="155"/>
      <c r="AG474" s="155"/>
      <c r="AH474" s="155"/>
      <c r="AI474" s="155"/>
      <c r="AJ474" s="155"/>
      <c r="AK474" s="155"/>
      <c r="AL474" s="155"/>
      <c r="AM474" s="155"/>
      <c r="AN474" s="155"/>
      <c r="AO474" s="155"/>
      <c r="AP474" s="155"/>
      <c r="AQ474" s="155"/>
      <c r="AR474" s="155"/>
      <c r="AS474" s="155"/>
    </row>
    <row r="475" spans="1:45" ht="12.6" customHeight="1" x14ac:dyDescent="0.3">
      <c r="A475" s="84"/>
      <c r="B475" s="41" t="s">
        <v>1059</v>
      </c>
      <c r="C475" s="107"/>
      <c r="D475" s="107"/>
      <c r="E475" s="107"/>
      <c r="F475" s="107"/>
      <c r="G475" s="17" t="s">
        <v>1058</v>
      </c>
      <c r="Z475" s="155"/>
      <c r="AA475" s="155"/>
      <c r="AB475" s="155"/>
      <c r="AC475" s="155"/>
      <c r="AD475" s="155"/>
      <c r="AE475" s="155"/>
      <c r="AF475" s="155"/>
      <c r="AG475" s="155"/>
      <c r="AH475" s="155"/>
      <c r="AI475" s="155"/>
      <c r="AJ475" s="155"/>
      <c r="AK475" s="155"/>
      <c r="AL475" s="155"/>
      <c r="AM475" s="155"/>
      <c r="AN475" s="155"/>
      <c r="AO475" s="155"/>
      <c r="AP475" s="155"/>
      <c r="AQ475" s="155"/>
      <c r="AR475" s="155"/>
      <c r="AS475" s="155"/>
    </row>
    <row r="476" spans="1:45" ht="12.6" customHeight="1" x14ac:dyDescent="0.3">
      <c r="A476" s="107"/>
      <c r="B476" s="107"/>
      <c r="C476" s="107"/>
      <c r="D476" s="107"/>
      <c r="E476" s="107"/>
      <c r="F476" s="107"/>
      <c r="G476" s="17" t="s">
        <v>848</v>
      </c>
      <c r="Z476" s="155"/>
      <c r="AA476" s="155"/>
      <c r="AB476" s="155"/>
      <c r="AC476" s="155"/>
      <c r="AD476" s="155"/>
      <c r="AE476" s="155"/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55"/>
      <c r="AQ476" s="155"/>
      <c r="AR476" s="155"/>
      <c r="AS476" s="155"/>
    </row>
    <row r="477" spans="1:45" ht="12.6" customHeight="1" x14ac:dyDescent="0.3">
      <c r="A477" s="84"/>
      <c r="B477" s="41" t="str">
        <f>"L1 (거리) = "&amp;Z477&amp;" km(포  장) "</f>
        <v xml:space="preserve">L1 (거리) = 27.4 km(포  장) </v>
      </c>
      <c r="C477" s="107"/>
      <c r="D477" s="107"/>
      <c r="E477" s="107"/>
      <c r="F477" s="107"/>
      <c r="G477" s="17" t="s">
        <v>1060</v>
      </c>
      <c r="Z477" s="156">
        <v>27.4</v>
      </c>
      <c r="AA477" s="34" t="s">
        <v>871</v>
      </c>
      <c r="AB477" s="158">
        <f>Z477</f>
        <v>27.4</v>
      </c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  <c r="AS477" s="155"/>
    </row>
    <row r="478" spans="1:45" ht="12.6" customHeight="1" x14ac:dyDescent="0.3">
      <c r="A478" s="107"/>
      <c r="B478" s="107"/>
      <c r="C478" s="107"/>
      <c r="D478" s="107"/>
      <c r="E478" s="107"/>
      <c r="F478" s="107"/>
      <c r="G478" s="17" t="s">
        <v>848</v>
      </c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</row>
    <row r="479" spans="1:45" ht="12.6" customHeight="1" x14ac:dyDescent="0.3">
      <c r="A479" s="84"/>
      <c r="B479" s="41" t="str">
        <f>"L2 (거리) = "&amp;Z479&amp;" km(1차선포장이하) "</f>
        <v xml:space="preserve">L2 (거리) = 0.4 km(1차선포장이하) </v>
      </c>
      <c r="C479" s="107"/>
      <c r="D479" s="107"/>
      <c r="E479" s="107"/>
      <c r="F479" s="107"/>
      <c r="G479" s="17" t="s">
        <v>1061</v>
      </c>
      <c r="Z479" s="156">
        <v>0.4</v>
      </c>
      <c r="AA479" s="34" t="s">
        <v>871</v>
      </c>
      <c r="AB479" s="158">
        <f>Z479</f>
        <v>0.4</v>
      </c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</row>
    <row r="480" spans="1:45" ht="12.6" customHeight="1" x14ac:dyDescent="0.3">
      <c r="A480" s="107"/>
      <c r="B480" s="107"/>
      <c r="C480" s="107"/>
      <c r="D480" s="107"/>
      <c r="E480" s="107"/>
      <c r="F480" s="107"/>
      <c r="G480" s="17" t="s">
        <v>848</v>
      </c>
      <c r="Z480" s="155"/>
      <c r="AA480" s="155"/>
      <c r="AB480" s="155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</row>
    <row r="481" spans="1:45" ht="12.6" customHeight="1" x14ac:dyDescent="0.3">
      <c r="A481" s="84"/>
      <c r="B481" s="41" t="str">
        <f>"V1 (2차로 교외 포장도로,적재) = "&amp;Z481&amp;" km/hr "</f>
        <v xml:space="preserve">V1 (2차로 교외 포장도로,적재) = 30 km/hr </v>
      </c>
      <c r="C481" s="107"/>
      <c r="D481" s="107"/>
      <c r="E481" s="107"/>
      <c r="F481" s="107"/>
      <c r="G481" s="17" t="s">
        <v>1062</v>
      </c>
      <c r="Z481" s="157">
        <v>30</v>
      </c>
      <c r="AA481" s="34" t="s">
        <v>871</v>
      </c>
      <c r="AB481" s="158">
        <f>Z481</f>
        <v>30</v>
      </c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</row>
    <row r="482" spans="1:45" ht="12.6" customHeight="1" x14ac:dyDescent="0.3">
      <c r="A482" s="107"/>
      <c r="B482" s="107"/>
      <c r="C482" s="107"/>
      <c r="D482" s="107"/>
      <c r="E482" s="107"/>
      <c r="F482" s="107"/>
      <c r="G482" s="17" t="s">
        <v>848</v>
      </c>
      <c r="Z482" s="155"/>
      <c r="AA482" s="155"/>
      <c r="AB482" s="155"/>
      <c r="AC482" s="155"/>
      <c r="AD482" s="155"/>
      <c r="AE482" s="155"/>
      <c r="AF482" s="155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</row>
    <row r="483" spans="1:45" ht="12.6" customHeight="1" x14ac:dyDescent="0.3">
      <c r="A483" s="84"/>
      <c r="B483" s="41" t="str">
        <f>"V2 (2차로 교외 포장도로,공차) = "&amp;Z483&amp;" km/hr "</f>
        <v xml:space="preserve">V2 (2차로 교외 포장도로,공차) = 35 km/hr </v>
      </c>
      <c r="C483" s="107"/>
      <c r="D483" s="107"/>
      <c r="E483" s="107"/>
      <c r="F483" s="107"/>
      <c r="G483" s="17" t="s">
        <v>1063</v>
      </c>
      <c r="Z483" s="157">
        <v>35</v>
      </c>
      <c r="AA483" s="34" t="s">
        <v>871</v>
      </c>
      <c r="AB483" s="158">
        <f>Z483</f>
        <v>35</v>
      </c>
      <c r="AC483" s="155"/>
      <c r="AD483" s="155"/>
      <c r="AE483" s="155"/>
      <c r="AF483" s="155"/>
      <c r="AG483" s="155"/>
      <c r="AH483" s="155"/>
      <c r="AI483" s="155"/>
      <c r="AJ483" s="155"/>
      <c r="AK483" s="155"/>
      <c r="AL483" s="155"/>
      <c r="AM483" s="155"/>
      <c r="AN483" s="155"/>
      <c r="AO483" s="155"/>
      <c r="AP483" s="155"/>
      <c r="AQ483" s="155"/>
      <c r="AR483" s="155"/>
      <c r="AS483" s="155"/>
    </row>
    <row r="484" spans="1:45" ht="12.6" customHeight="1" x14ac:dyDescent="0.3">
      <c r="A484" s="107"/>
      <c r="B484" s="107"/>
      <c r="C484" s="107"/>
      <c r="D484" s="107"/>
      <c r="E484" s="107"/>
      <c r="F484" s="107"/>
      <c r="G484" s="17" t="s">
        <v>848</v>
      </c>
      <c r="Z484" s="155"/>
      <c r="AA484" s="155"/>
      <c r="AB484" s="155"/>
      <c r="AC484" s="155"/>
      <c r="AD484" s="155"/>
      <c r="AE484" s="155"/>
      <c r="AF484" s="155"/>
      <c r="AG484" s="155"/>
      <c r="AH484" s="155"/>
      <c r="AI484" s="155"/>
      <c r="AJ484" s="155"/>
      <c r="AK484" s="155"/>
      <c r="AL484" s="155"/>
      <c r="AM484" s="155"/>
      <c r="AN484" s="155"/>
      <c r="AO484" s="155"/>
      <c r="AP484" s="155"/>
      <c r="AQ484" s="155"/>
      <c r="AR484" s="155"/>
      <c r="AS484" s="155"/>
    </row>
    <row r="485" spans="1:45" ht="12.6" customHeight="1" x14ac:dyDescent="0.3">
      <c r="A485" s="84"/>
      <c r="B485" s="41" t="str">
        <f>"V3 (교차가 힘든 산간지도로,적재) = "&amp;Z485&amp;" km/hr "</f>
        <v xml:space="preserve">V3 (교차가 힘든 산간지도로,적재) = 10 km/hr </v>
      </c>
      <c r="C485" s="107"/>
      <c r="D485" s="107"/>
      <c r="E485" s="107"/>
      <c r="F485" s="107"/>
      <c r="G485" s="17" t="s">
        <v>1064</v>
      </c>
      <c r="Z485" s="157">
        <v>10</v>
      </c>
      <c r="AA485" s="34" t="s">
        <v>871</v>
      </c>
      <c r="AB485" s="158">
        <f>Z485</f>
        <v>10</v>
      </c>
      <c r="AC485" s="155"/>
      <c r="AD485" s="155"/>
      <c r="AE485" s="155"/>
      <c r="AF485" s="155"/>
      <c r="AG485" s="155"/>
      <c r="AH485" s="155"/>
      <c r="AI485" s="155"/>
      <c r="AJ485" s="155"/>
      <c r="AK485" s="155"/>
      <c r="AL485" s="155"/>
      <c r="AM485" s="155"/>
      <c r="AN485" s="155"/>
      <c r="AO485" s="155"/>
      <c r="AP485" s="155"/>
      <c r="AQ485" s="155"/>
      <c r="AR485" s="155"/>
      <c r="AS485" s="155"/>
    </row>
    <row r="486" spans="1:45" ht="12.6" customHeight="1" x14ac:dyDescent="0.3">
      <c r="A486" s="107"/>
      <c r="B486" s="107"/>
      <c r="C486" s="107"/>
      <c r="D486" s="107"/>
      <c r="E486" s="107"/>
      <c r="F486" s="107"/>
      <c r="G486" s="17" t="s">
        <v>848</v>
      </c>
      <c r="Z486" s="155"/>
      <c r="AA486" s="155"/>
      <c r="AB486" s="155"/>
      <c r="AC486" s="155"/>
      <c r="AD486" s="155"/>
      <c r="AE486" s="155"/>
      <c r="AF486" s="155"/>
      <c r="AG486" s="155"/>
      <c r="AH486" s="155"/>
      <c r="AI486" s="155"/>
      <c r="AJ486" s="155"/>
      <c r="AK486" s="155"/>
      <c r="AL486" s="155"/>
      <c r="AM486" s="155"/>
      <c r="AN486" s="155"/>
      <c r="AO486" s="155"/>
      <c r="AP486" s="155"/>
      <c r="AQ486" s="155"/>
      <c r="AR486" s="155"/>
      <c r="AS486" s="155"/>
    </row>
    <row r="487" spans="1:45" ht="12.6" customHeight="1" x14ac:dyDescent="0.3">
      <c r="A487" s="84"/>
      <c r="B487" s="41" t="str">
        <f>"V4 (교차가 힘든 산간지도로,공차) = "&amp;Z487&amp;" km/hr "</f>
        <v xml:space="preserve">V4 (교차가 힘든 산간지도로,공차) = 15 km/hr </v>
      </c>
      <c r="C487" s="107"/>
      <c r="D487" s="107"/>
      <c r="E487" s="107"/>
      <c r="F487" s="107"/>
      <c r="G487" s="17" t="s">
        <v>1065</v>
      </c>
      <c r="Z487" s="157">
        <v>15</v>
      </c>
      <c r="AA487" s="34" t="s">
        <v>871</v>
      </c>
      <c r="AB487" s="158">
        <f>Z487</f>
        <v>15</v>
      </c>
      <c r="AC487" s="155"/>
      <c r="AD487" s="155"/>
      <c r="AE487" s="155"/>
      <c r="AF487" s="155"/>
      <c r="AG487" s="155"/>
      <c r="AH487" s="155"/>
      <c r="AI487" s="155"/>
      <c r="AJ487" s="155"/>
      <c r="AK487" s="155"/>
      <c r="AL487" s="155"/>
      <c r="AM487" s="155"/>
      <c r="AN487" s="155"/>
      <c r="AO487" s="155"/>
      <c r="AP487" s="155"/>
      <c r="AQ487" s="155"/>
      <c r="AR487" s="155"/>
      <c r="AS487" s="155"/>
    </row>
    <row r="488" spans="1:45" ht="12.6" customHeight="1" x14ac:dyDescent="0.3">
      <c r="A488" s="107"/>
      <c r="B488" s="107"/>
      <c r="C488" s="107"/>
      <c r="D488" s="107"/>
      <c r="E488" s="107"/>
      <c r="F488" s="107"/>
      <c r="G488" s="17" t="s">
        <v>848</v>
      </c>
      <c r="Z488" s="155"/>
      <c r="AA488" s="155"/>
      <c r="AB488" s="155"/>
      <c r="AC488" s="155"/>
      <c r="AD488" s="155"/>
      <c r="AE488" s="155"/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55"/>
      <c r="AQ488" s="155"/>
      <c r="AR488" s="155"/>
      <c r="AS488" s="155"/>
    </row>
    <row r="489" spans="1:45" ht="12.6" customHeight="1" x14ac:dyDescent="0.3">
      <c r="A489" s="84"/>
      <c r="B489" s="41" t="str">
        <f>" f (토량 환산계수) ="&amp;Z489&amp;"/"&amp;AB489&amp;" , E (작업효율) ="&amp;AF489&amp;" , k (버킷계수) ="&amp;AJ489&amp;""</f>
        <v xml:space="preserve"> f (토량 환산계수) =1/1.15 , E (작업효율) =0.9 , k (버킷계수) =1</v>
      </c>
      <c r="C489" s="107"/>
      <c r="D489" s="107"/>
      <c r="E489" s="107"/>
      <c r="F489" s="107"/>
      <c r="G489" s="17" t="s">
        <v>1066</v>
      </c>
      <c r="Z489" s="157">
        <v>1</v>
      </c>
      <c r="AA489" s="34" t="s">
        <v>873</v>
      </c>
      <c r="AB489" s="156">
        <v>1.1499999999999999</v>
      </c>
      <c r="AC489" s="34" t="s">
        <v>871</v>
      </c>
      <c r="AD489" s="158">
        <f>ROUND(Z489/AB489,13)</f>
        <v>0.86956521739129999</v>
      </c>
      <c r="AE489" s="159" t="s">
        <v>872</v>
      </c>
      <c r="AF489" s="156">
        <v>0.9</v>
      </c>
      <c r="AG489" s="34" t="s">
        <v>871</v>
      </c>
      <c r="AH489" s="158">
        <f>AF489</f>
        <v>0.9</v>
      </c>
      <c r="AI489" s="159" t="s">
        <v>872</v>
      </c>
      <c r="AJ489" s="157">
        <v>1</v>
      </c>
      <c r="AK489" s="34" t="s">
        <v>871</v>
      </c>
      <c r="AL489" s="158">
        <f>AJ489</f>
        <v>1</v>
      </c>
      <c r="AM489" s="155"/>
      <c r="AN489" s="155"/>
      <c r="AO489" s="155"/>
      <c r="AP489" s="155"/>
      <c r="AQ489" s="155"/>
      <c r="AR489" s="155"/>
      <c r="AS489" s="155"/>
    </row>
    <row r="490" spans="1:45" ht="12.6" customHeight="1" x14ac:dyDescent="0.3">
      <c r="A490" s="107"/>
      <c r="B490" s="107"/>
      <c r="C490" s="107"/>
      <c r="D490" s="107"/>
      <c r="E490" s="107"/>
      <c r="F490" s="107"/>
      <c r="G490" s="17" t="s">
        <v>848</v>
      </c>
      <c r="Z490" s="155"/>
      <c r="AA490" s="155"/>
      <c r="AB490" s="155"/>
      <c r="AC490" s="155"/>
      <c r="AD490" s="155"/>
      <c r="AE490" s="155"/>
      <c r="AF490" s="155"/>
      <c r="AG490" s="155"/>
      <c r="AH490" s="155"/>
      <c r="AI490" s="155"/>
      <c r="AJ490" s="155"/>
      <c r="AK490" s="155"/>
      <c r="AL490" s="155"/>
      <c r="AM490" s="155"/>
      <c r="AN490" s="155"/>
      <c r="AO490" s="155"/>
      <c r="AP490" s="155"/>
      <c r="AQ490" s="155"/>
      <c r="AR490" s="155"/>
      <c r="AS490" s="155"/>
    </row>
    <row r="491" spans="1:45" ht="12.6" customHeight="1" x14ac:dyDescent="0.3">
      <c r="A491" s="84"/>
      <c r="B491" s="41" t="str">
        <f>" q1 (적재량)  = ("&amp;AA491&amp;"/"&amp;AC491&amp;") * "&amp;AE491&amp;" = "&amp;AG491&amp;""</f>
        <v xml:space="preserve"> q1 (적재량)  = (15/1.7) * 1.15 = 10.15</v>
      </c>
      <c r="C491" s="107"/>
      <c r="D491" s="107"/>
      <c r="E491" s="107"/>
      <c r="F491" s="107"/>
      <c r="G491" s="17" t="s">
        <v>1067</v>
      </c>
      <c r="Z491" s="34" t="s">
        <v>998</v>
      </c>
      <c r="AA491" s="157">
        <v>15</v>
      </c>
      <c r="AB491" s="34" t="s">
        <v>873</v>
      </c>
      <c r="AC491" s="156">
        <v>1.7</v>
      </c>
      <c r="AD491" s="34" t="s">
        <v>1000</v>
      </c>
      <c r="AE491" s="156">
        <v>1.1499999999999999</v>
      </c>
      <c r="AF491" s="34" t="s">
        <v>871</v>
      </c>
      <c r="AG491" s="158" t="str">
        <f>TEXT(ROUND((AA491/AC491)*AE491,2),"#,0.00")</f>
        <v>10.15</v>
      </c>
      <c r="AH491" s="155"/>
      <c r="AI491" s="155"/>
      <c r="AJ491" s="155"/>
      <c r="AK491" s="155"/>
      <c r="AL491" s="155"/>
      <c r="AM491" s="155"/>
      <c r="AN491" s="155"/>
      <c r="AO491" s="155"/>
      <c r="AP491" s="155"/>
      <c r="AQ491" s="155"/>
      <c r="AR491" s="155"/>
      <c r="AS491" s="155"/>
    </row>
    <row r="492" spans="1:45" ht="12.6" customHeight="1" x14ac:dyDescent="0.3">
      <c r="A492" s="107"/>
      <c r="B492" s="107"/>
      <c r="C492" s="107"/>
      <c r="D492" s="107"/>
      <c r="E492" s="107"/>
      <c r="F492" s="107"/>
      <c r="G492" s="17" t="s">
        <v>848</v>
      </c>
      <c r="Z492" s="155"/>
      <c r="AA492" s="155"/>
      <c r="AB492" s="155"/>
      <c r="AC492" s="155"/>
      <c r="AD492" s="155"/>
      <c r="AE492" s="155"/>
      <c r="AF492" s="155"/>
      <c r="AG492" s="155"/>
      <c r="AH492" s="155"/>
      <c r="AI492" s="155"/>
      <c r="AJ492" s="155"/>
      <c r="AK492" s="155"/>
      <c r="AL492" s="155"/>
      <c r="AM492" s="155"/>
      <c r="AN492" s="155"/>
      <c r="AO492" s="155"/>
      <c r="AP492" s="155"/>
      <c r="AQ492" s="155"/>
      <c r="AR492" s="155"/>
      <c r="AS492" s="155"/>
    </row>
    <row r="493" spans="1:45" ht="12.6" customHeight="1" x14ac:dyDescent="0.3">
      <c r="A493" s="84"/>
      <c r="B493" s="41" t="str">
        <f>" n (회수)  =q1 / ("&amp;AB493&amp;" * k) = "&amp;AG493&amp;"  회 "</f>
        <v xml:space="preserve"> n (회수)  =q1 / (1.34 * k) = 7.57  회 </v>
      </c>
      <c r="C493" s="107"/>
      <c r="D493" s="107"/>
      <c r="E493" s="107"/>
      <c r="F493" s="107"/>
      <c r="G493" s="17" t="s">
        <v>1068</v>
      </c>
      <c r="Z493" s="158" t="str">
        <f>AG491</f>
        <v>10.15</v>
      </c>
      <c r="AA493" s="34" t="s">
        <v>990</v>
      </c>
      <c r="AB493" s="156">
        <v>1.34</v>
      </c>
      <c r="AC493" s="34" t="s">
        <v>876</v>
      </c>
      <c r="AD493" s="158">
        <f>AL489</f>
        <v>1</v>
      </c>
      <c r="AE493" s="34" t="s">
        <v>991</v>
      </c>
      <c r="AF493" s="34" t="s">
        <v>871</v>
      </c>
      <c r="AG493" s="158" t="str">
        <f>TEXT(ROUND(AG491/(AB493*AL489),2),"#,0.00")</f>
        <v>7.57</v>
      </c>
      <c r="AH493" s="155"/>
      <c r="AI493" s="155"/>
      <c r="AJ493" s="155"/>
      <c r="AK493" s="155"/>
      <c r="AL493" s="155"/>
      <c r="AM493" s="155"/>
      <c r="AN493" s="155"/>
      <c r="AO493" s="155"/>
      <c r="AP493" s="155"/>
      <c r="AQ493" s="155"/>
      <c r="AR493" s="155"/>
      <c r="AS493" s="155"/>
    </row>
    <row r="494" spans="1:45" ht="12.6" customHeight="1" x14ac:dyDescent="0.3">
      <c r="A494" s="107"/>
      <c r="B494" s="107"/>
      <c r="C494" s="107"/>
      <c r="D494" s="107"/>
      <c r="E494" s="107"/>
      <c r="F494" s="107"/>
      <c r="G494" s="17" t="s">
        <v>848</v>
      </c>
      <c r="Z494" s="155"/>
      <c r="AA494" s="155"/>
      <c r="AB494" s="155"/>
      <c r="AC494" s="155"/>
      <c r="AD494" s="155"/>
      <c r="AE494" s="155"/>
      <c r="AF494" s="155"/>
      <c r="AG494" s="155"/>
      <c r="AH494" s="155"/>
      <c r="AI494" s="155"/>
      <c r="AJ494" s="155"/>
      <c r="AK494" s="155"/>
      <c r="AL494" s="155"/>
      <c r="AM494" s="155"/>
      <c r="AN494" s="155"/>
      <c r="AO494" s="155"/>
      <c r="AP494" s="155"/>
      <c r="AQ494" s="155"/>
      <c r="AR494" s="155"/>
      <c r="AS494" s="155"/>
    </row>
    <row r="495" spans="1:45" ht="12.6" customHeight="1" x14ac:dyDescent="0.3">
      <c r="A495" s="84"/>
      <c r="B495" s="41" t="str">
        <f>" Cms (초) ="&amp;Z495&amp;"*"&amp;AB495&amp;"+"&amp;AD495&amp;"+"&amp;AF495&amp;"= "&amp;AH495&amp;" 초 "</f>
        <v xml:space="preserve"> Cms (초) =1.8*8+6+14= 34.40 초 </v>
      </c>
      <c r="C495" s="107"/>
      <c r="D495" s="107"/>
      <c r="E495" s="107"/>
      <c r="F495" s="107"/>
      <c r="G495" s="17" t="s">
        <v>1069</v>
      </c>
      <c r="Z495" s="156">
        <v>1.8</v>
      </c>
      <c r="AA495" s="34" t="s">
        <v>876</v>
      </c>
      <c r="AB495" s="157">
        <v>8</v>
      </c>
      <c r="AC495" s="34" t="s">
        <v>999</v>
      </c>
      <c r="AD495" s="157">
        <v>6</v>
      </c>
      <c r="AE495" s="34" t="s">
        <v>999</v>
      </c>
      <c r="AF495" s="157">
        <v>14</v>
      </c>
      <c r="AG495" s="34" t="s">
        <v>871</v>
      </c>
      <c r="AH495" s="158" t="str">
        <f>TEXT(ROUND(Z495*AB495+AD495+AF495,2),"#,0.00")</f>
        <v>34.40</v>
      </c>
      <c r="AI495" s="155"/>
      <c r="AJ495" s="155"/>
      <c r="AK495" s="155"/>
      <c r="AL495" s="155"/>
      <c r="AM495" s="155"/>
      <c r="AN495" s="155"/>
      <c r="AO495" s="155"/>
      <c r="AP495" s="155"/>
      <c r="AQ495" s="155"/>
      <c r="AR495" s="155"/>
      <c r="AS495" s="155"/>
    </row>
    <row r="496" spans="1:45" ht="12.6" customHeight="1" x14ac:dyDescent="0.3">
      <c r="A496" s="107"/>
      <c r="B496" s="107"/>
      <c r="C496" s="107"/>
      <c r="D496" s="107"/>
      <c r="E496" s="107"/>
      <c r="F496" s="107"/>
      <c r="G496" s="17" t="s">
        <v>848</v>
      </c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  <c r="AS496" s="155"/>
    </row>
    <row r="497" spans="1:45" ht="12.6" customHeight="1" x14ac:dyDescent="0.3">
      <c r="A497" s="84"/>
      <c r="B497" s="41" t="str">
        <f>" t1 (산출시간)  =Cms * n / ("&amp;AD497&amp;" * "&amp;AF497&amp;") = "&amp;AI497&amp;" 분 "</f>
        <v xml:space="preserve"> t1 (산출시간)  =Cms * n / (60 * 0.6) = 7.23 분 </v>
      </c>
      <c r="C497" s="107"/>
      <c r="D497" s="107"/>
      <c r="E497" s="107"/>
      <c r="F497" s="107"/>
      <c r="G497" s="17" t="s">
        <v>1070</v>
      </c>
      <c r="Z497" s="158" t="str">
        <f>AH495</f>
        <v>34.40</v>
      </c>
      <c r="AA497" s="34" t="s">
        <v>876</v>
      </c>
      <c r="AB497" s="158" t="str">
        <f>AG493</f>
        <v>7.57</v>
      </c>
      <c r="AC497" s="34" t="s">
        <v>990</v>
      </c>
      <c r="AD497" s="157">
        <v>60</v>
      </c>
      <c r="AE497" s="34" t="s">
        <v>876</v>
      </c>
      <c r="AF497" s="156">
        <v>0.6</v>
      </c>
      <c r="AG497" s="34" t="s">
        <v>991</v>
      </c>
      <c r="AH497" s="34" t="s">
        <v>871</v>
      </c>
      <c r="AI497" s="158" t="str">
        <f>TEXT(ROUND(AH495*AG493/(AD497*AF497),2),"#,0.00")</f>
        <v>7.23</v>
      </c>
      <c r="AJ497" s="155"/>
      <c r="AK497" s="155"/>
      <c r="AL497" s="155"/>
      <c r="AM497" s="155"/>
      <c r="AN497" s="155"/>
      <c r="AO497" s="155"/>
      <c r="AP497" s="155"/>
      <c r="AQ497" s="155"/>
      <c r="AR497" s="155"/>
      <c r="AS497" s="155"/>
    </row>
    <row r="498" spans="1:45" ht="12.6" customHeight="1" x14ac:dyDescent="0.3">
      <c r="A498" s="107"/>
      <c r="B498" s="107"/>
      <c r="C498" s="107"/>
      <c r="D498" s="107"/>
      <c r="E498" s="107"/>
      <c r="F498" s="107"/>
      <c r="G498" s="17" t="s">
        <v>848</v>
      </c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  <c r="AS498" s="155"/>
    </row>
    <row r="499" spans="1:45" ht="12.6" customHeight="1" x14ac:dyDescent="0.3">
      <c r="A499" s="84"/>
      <c r="B499" s="41" t="str">
        <f>" t2 (왕복시간)  =(L1/V1+L1/V2+L2/V3+L2/V4) * "&amp;AQ499&amp;" = "&amp;AS499&amp;" 분 "</f>
        <v xml:space="preserve"> t2 (왕복시간)  =(L1/V1+L1/V2+L2/V3+L2/V4) * 60 = 105.77 분 </v>
      </c>
      <c r="C499" s="107"/>
      <c r="D499" s="107"/>
      <c r="E499" s="107"/>
      <c r="F499" s="107"/>
      <c r="G499" s="17" t="s">
        <v>1071</v>
      </c>
      <c r="Z499" s="34" t="s">
        <v>998</v>
      </c>
      <c r="AA499" s="158">
        <f>AB477</f>
        <v>27.4</v>
      </c>
      <c r="AB499" s="34" t="s">
        <v>873</v>
      </c>
      <c r="AC499" s="158">
        <f>AB481</f>
        <v>30</v>
      </c>
      <c r="AD499" s="34" t="s">
        <v>999</v>
      </c>
      <c r="AE499" s="158">
        <f>AB477</f>
        <v>27.4</v>
      </c>
      <c r="AF499" s="34" t="s">
        <v>873</v>
      </c>
      <c r="AG499" s="158">
        <f>AB483</f>
        <v>35</v>
      </c>
      <c r="AH499" s="34" t="s">
        <v>999</v>
      </c>
      <c r="AI499" s="158">
        <f>AB479</f>
        <v>0.4</v>
      </c>
      <c r="AJ499" s="34" t="s">
        <v>873</v>
      </c>
      <c r="AK499" s="158">
        <f>AB485</f>
        <v>10</v>
      </c>
      <c r="AL499" s="34" t="s">
        <v>999</v>
      </c>
      <c r="AM499" s="158">
        <f>AB479</f>
        <v>0.4</v>
      </c>
      <c r="AN499" s="34" t="s">
        <v>873</v>
      </c>
      <c r="AO499" s="158">
        <f>AB487</f>
        <v>15</v>
      </c>
      <c r="AP499" s="34" t="s">
        <v>1000</v>
      </c>
      <c r="AQ499" s="157">
        <v>60</v>
      </c>
      <c r="AR499" s="34" t="s">
        <v>871</v>
      </c>
      <c r="AS499" s="158" t="str">
        <f>TEXT(ROUND((AB477/AB481+AB477/AB483+AB479/AB485+AB479/AB487)*AQ499,2),"#,0.00")</f>
        <v>105.77</v>
      </c>
    </row>
    <row r="500" spans="1:45" ht="12.6" customHeight="1" x14ac:dyDescent="0.3">
      <c r="A500" s="107"/>
      <c r="B500" s="107"/>
      <c r="C500" s="107"/>
      <c r="D500" s="107"/>
      <c r="E500" s="107"/>
      <c r="F500" s="107"/>
      <c r="G500" s="17" t="s">
        <v>848</v>
      </c>
      <c r="Z500" s="155"/>
      <c r="AA500" s="155"/>
      <c r="AB500" s="155"/>
      <c r="AC500" s="155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  <c r="AS500" s="155"/>
    </row>
    <row r="501" spans="1:45" ht="12.6" customHeight="1" x14ac:dyDescent="0.3">
      <c r="A501" s="84"/>
      <c r="B501" s="41" t="str">
        <f>" t3 (적하시간) ="&amp;Z501&amp;" 분  , t4 (적재시간) ="&amp;AD501&amp;" 분  ,"</f>
        <v xml:space="preserve"> t3 (적하시간) =0.8 분  , t4 (적재시간) =0.42 분  ,</v>
      </c>
      <c r="C501" s="107"/>
      <c r="D501" s="107"/>
      <c r="E501" s="107"/>
      <c r="F501" s="107"/>
      <c r="G501" s="17" t="s">
        <v>1072</v>
      </c>
      <c r="Z501" s="156">
        <v>0.8</v>
      </c>
      <c r="AA501" s="34" t="s">
        <v>871</v>
      </c>
      <c r="AB501" s="158">
        <f>Z501</f>
        <v>0.8</v>
      </c>
      <c r="AC501" s="159" t="s">
        <v>872</v>
      </c>
      <c r="AD501" s="156">
        <v>0.42</v>
      </c>
      <c r="AE501" s="34" t="s">
        <v>871</v>
      </c>
      <c r="AF501" s="158">
        <f>AD501</f>
        <v>0.42</v>
      </c>
      <c r="AG501" s="159" t="s">
        <v>872</v>
      </c>
      <c r="AH501" s="155"/>
      <c r="AI501" s="155"/>
      <c r="AJ501" s="155"/>
      <c r="AK501" s="155"/>
      <c r="AL501" s="155"/>
      <c r="AM501" s="155"/>
      <c r="AN501" s="155"/>
      <c r="AO501" s="155"/>
      <c r="AP501" s="155"/>
      <c r="AQ501" s="155"/>
      <c r="AR501" s="155"/>
      <c r="AS501" s="155"/>
    </row>
    <row r="502" spans="1:45" ht="12.6" customHeight="1" x14ac:dyDescent="0.3">
      <c r="A502" s="107"/>
      <c r="B502" s="107"/>
      <c r="C502" s="107"/>
      <c r="D502" s="107"/>
      <c r="E502" s="107"/>
      <c r="F502" s="107"/>
      <c r="G502" s="17" t="s">
        <v>848</v>
      </c>
      <c r="Z502" s="155"/>
      <c r="AA502" s="155"/>
      <c r="AB502" s="155"/>
      <c r="AC502" s="155"/>
      <c r="AD502" s="155"/>
      <c r="AE502" s="155"/>
      <c r="AF502" s="155"/>
      <c r="AG502" s="155"/>
      <c r="AH502" s="155"/>
      <c r="AI502" s="155"/>
      <c r="AJ502" s="155"/>
      <c r="AK502" s="155"/>
      <c r="AL502" s="155"/>
      <c r="AM502" s="155"/>
      <c r="AN502" s="155"/>
      <c r="AO502" s="155"/>
      <c r="AP502" s="155"/>
      <c r="AQ502" s="155"/>
      <c r="AR502" s="155"/>
      <c r="AS502" s="155"/>
    </row>
    <row r="503" spans="1:45" ht="12.6" customHeight="1" x14ac:dyDescent="0.3">
      <c r="A503" s="84"/>
      <c r="B503" s="41" t="str">
        <f>" t5 (적재함 덮개 설치 및 해체시간) ="&amp;Z503&amp;""</f>
        <v xml:space="preserve"> t5 (적재함 덮개 설치 및 해체시간) =0.5</v>
      </c>
      <c r="C503" s="107"/>
      <c r="D503" s="107"/>
      <c r="E503" s="107"/>
      <c r="F503" s="107"/>
      <c r="G503" s="17" t="s">
        <v>1073</v>
      </c>
      <c r="Z503" s="156">
        <v>0.5</v>
      </c>
      <c r="AA503" s="34" t="s">
        <v>871</v>
      </c>
      <c r="AB503" s="158">
        <f>Z503</f>
        <v>0.5</v>
      </c>
      <c r="AC503" s="155"/>
      <c r="AD503" s="155"/>
      <c r="AE503" s="155"/>
      <c r="AF503" s="155"/>
      <c r="AG503" s="155"/>
      <c r="AH503" s="155"/>
      <c r="AI503" s="155"/>
      <c r="AJ503" s="155"/>
      <c r="AK503" s="155"/>
      <c r="AL503" s="155"/>
      <c r="AM503" s="155"/>
      <c r="AN503" s="155"/>
      <c r="AO503" s="155"/>
      <c r="AP503" s="155"/>
      <c r="AQ503" s="155"/>
      <c r="AR503" s="155"/>
      <c r="AS503" s="155"/>
    </row>
    <row r="504" spans="1:45" ht="12.6" customHeight="1" x14ac:dyDescent="0.3">
      <c r="A504" s="107"/>
      <c r="B504" s="107"/>
      <c r="C504" s="107"/>
      <c r="D504" s="107"/>
      <c r="E504" s="107"/>
      <c r="F504" s="107"/>
      <c r="G504" s="17" t="s">
        <v>848</v>
      </c>
      <c r="Z504" s="155"/>
      <c r="AA504" s="155"/>
      <c r="AB504" s="155"/>
      <c r="AC504" s="155"/>
      <c r="AD504" s="155"/>
      <c r="AE504" s="155"/>
      <c r="AF504" s="155"/>
      <c r="AG504" s="155"/>
      <c r="AH504" s="155"/>
      <c r="AI504" s="155"/>
      <c r="AJ504" s="155"/>
      <c r="AK504" s="155"/>
      <c r="AL504" s="155"/>
      <c r="AM504" s="155"/>
      <c r="AN504" s="155"/>
      <c r="AO504" s="155"/>
      <c r="AP504" s="155"/>
      <c r="AQ504" s="155"/>
      <c r="AR504" s="155"/>
      <c r="AS504" s="155"/>
    </row>
    <row r="505" spans="1:45" ht="12.6" customHeight="1" x14ac:dyDescent="0.3">
      <c r="A505" s="84"/>
      <c r="B505" s="41" t="str">
        <f>" Cm (사이클)  = t1 + t2 + t3 + t4 + t5 = "&amp;AJ505&amp;" 분 "</f>
        <v xml:space="preserve"> Cm (사이클)  = t1 + t2 + t3 + t4 + t5 = 114.72 분 </v>
      </c>
      <c r="C505" s="107"/>
      <c r="D505" s="107"/>
      <c r="E505" s="107"/>
      <c r="F505" s="107"/>
      <c r="G505" s="17" t="s">
        <v>1074</v>
      </c>
      <c r="Z505" s="158" t="str">
        <f>AI497</f>
        <v>7.23</v>
      </c>
      <c r="AA505" s="34" t="s">
        <v>999</v>
      </c>
      <c r="AB505" s="158" t="str">
        <f>AS499</f>
        <v>105.77</v>
      </c>
      <c r="AC505" s="34" t="s">
        <v>999</v>
      </c>
      <c r="AD505" s="158">
        <f>AB501</f>
        <v>0.8</v>
      </c>
      <c r="AE505" s="34" t="s">
        <v>999</v>
      </c>
      <c r="AF505" s="158">
        <f>AF501</f>
        <v>0.42</v>
      </c>
      <c r="AG505" s="34" t="s">
        <v>999</v>
      </c>
      <c r="AH505" s="158">
        <f>AB503</f>
        <v>0.5</v>
      </c>
      <c r="AI505" s="34" t="s">
        <v>871</v>
      </c>
      <c r="AJ505" s="158" t="str">
        <f>TEXT(ROUND(AI497+AS499+AB501+AF501+AB503,2),"#,0.00")</f>
        <v>114.72</v>
      </c>
      <c r="AK505" s="155"/>
      <c r="AL505" s="155"/>
      <c r="AM505" s="155"/>
      <c r="AN505" s="155"/>
      <c r="AO505" s="155"/>
      <c r="AP505" s="155"/>
      <c r="AQ505" s="155"/>
      <c r="AR505" s="155"/>
      <c r="AS505" s="155"/>
    </row>
    <row r="506" spans="1:45" ht="12.6" customHeight="1" x14ac:dyDescent="0.3">
      <c r="A506" s="107"/>
      <c r="B506" s="107"/>
      <c r="C506" s="107"/>
      <c r="D506" s="107"/>
      <c r="E506" s="107"/>
      <c r="F506" s="107"/>
      <c r="G506" s="17" t="s">
        <v>848</v>
      </c>
      <c r="Z506" s="155"/>
      <c r="AA506" s="155"/>
      <c r="AB506" s="155"/>
      <c r="AC506" s="155"/>
      <c r="AD506" s="155"/>
      <c r="AE506" s="155"/>
      <c r="AF506" s="155"/>
      <c r="AG506" s="155"/>
      <c r="AH506" s="155"/>
      <c r="AI506" s="155"/>
      <c r="AJ506" s="155"/>
      <c r="AK506" s="155"/>
      <c r="AL506" s="155"/>
      <c r="AM506" s="155"/>
      <c r="AN506" s="155"/>
      <c r="AO506" s="155"/>
      <c r="AP506" s="155"/>
      <c r="AQ506" s="155"/>
      <c r="AR506" s="155"/>
      <c r="AS506" s="155"/>
    </row>
    <row r="507" spans="1:45" ht="12.6" customHeight="1" x14ac:dyDescent="0.3">
      <c r="A507" s="84"/>
      <c r="B507" s="41" t="str">
        <f>" Q (시간당 작업량)  = "&amp;Z507&amp;" * q1 * F * E / Cm = "&amp;AJ507&amp;" m3/hr "</f>
        <v xml:space="preserve"> Q (시간당 작업량)  = 60 * q1 * F * E / Cm = 4.15 m3/hr </v>
      </c>
      <c r="C507" s="107"/>
      <c r="D507" s="107"/>
      <c r="E507" s="107"/>
      <c r="F507" s="107"/>
      <c r="G507" s="17" t="s">
        <v>1075</v>
      </c>
      <c r="Z507" s="157">
        <v>60</v>
      </c>
      <c r="AA507" s="34" t="s">
        <v>876</v>
      </c>
      <c r="AB507" s="158" t="str">
        <f>AG491</f>
        <v>10.15</v>
      </c>
      <c r="AC507" s="34" t="s">
        <v>876</v>
      </c>
      <c r="AD507" s="158">
        <f>AD489</f>
        <v>0.86956521739129999</v>
      </c>
      <c r="AE507" s="34" t="s">
        <v>876</v>
      </c>
      <c r="AF507" s="158">
        <f>AH489</f>
        <v>0.9</v>
      </c>
      <c r="AG507" s="34" t="s">
        <v>873</v>
      </c>
      <c r="AH507" s="158" t="str">
        <f>AJ505</f>
        <v>114.72</v>
      </c>
      <c r="AI507" s="34" t="s">
        <v>871</v>
      </c>
      <c r="AJ507" s="158" t="str">
        <f>TEXT(ROUND(Z507*AG491*AD489*AH489/AJ505,2),"#,0.00")</f>
        <v>4.15</v>
      </c>
      <c r="AK507" s="155"/>
      <c r="AL507" s="155"/>
      <c r="AM507" s="155"/>
      <c r="AN507" s="155"/>
      <c r="AO507" s="155"/>
      <c r="AP507" s="155"/>
      <c r="AQ507" s="155"/>
      <c r="AR507" s="155"/>
      <c r="AS507" s="155"/>
    </row>
    <row r="508" spans="1:45" ht="12.6" customHeight="1" x14ac:dyDescent="0.3">
      <c r="A508" s="107"/>
      <c r="B508" s="107"/>
      <c r="C508" s="107"/>
      <c r="D508" s="107"/>
      <c r="E508" s="107"/>
      <c r="F508" s="107"/>
      <c r="G508" s="17" t="s">
        <v>848</v>
      </c>
      <c r="Z508" s="155"/>
      <c r="AA508" s="155"/>
      <c r="AB508" s="155"/>
      <c r="AC508" s="155"/>
      <c r="AD508" s="155"/>
      <c r="AE508" s="155"/>
      <c r="AF508" s="155"/>
      <c r="AG508" s="155"/>
      <c r="AH508" s="155"/>
      <c r="AI508" s="155"/>
      <c r="AJ508" s="155"/>
      <c r="AK508" s="155"/>
      <c r="AL508" s="155"/>
      <c r="AM508" s="155"/>
      <c r="AN508" s="155"/>
      <c r="AO508" s="155"/>
      <c r="AP508" s="155"/>
      <c r="AQ508" s="155"/>
      <c r="AR508" s="155"/>
      <c r="AS508" s="155"/>
    </row>
    <row r="509" spans="1:45" ht="12.6" customHeight="1" x14ac:dyDescent="0.3">
      <c r="A509" s="84" t="s">
        <v>1077</v>
      </c>
      <c r="B509" s="146" t="str">
        <f>"  노 무 비  :   "&amp;TEXT(I509,"#,##0"&amp;IF(I509&lt;&gt;INT(I509),".###",""))&amp;" / Q = "&amp;TEXT(C509,"#,##0.0")&amp;""</f>
        <v xml:space="preserve">  노 무 비  :   57,077 / Q = 13,753.4</v>
      </c>
      <c r="C509" s="148">
        <f>E509+D509+F509</f>
        <v>13753.4</v>
      </c>
      <c r="D509" s="148">
        <f>IF(H509=0,0,ROUNDDOWN(J509*H509,1))</f>
        <v>13753.4</v>
      </c>
      <c r="E509" s="148">
        <f>IF(H509=0,0,ROUNDDOWN(K509*H509,1))</f>
        <v>0</v>
      </c>
      <c r="F509" s="148">
        <f>IF(H509=0,0,ROUNDDOWN(L509*H509,1))</f>
        <v>0</v>
      </c>
      <c r="G509" s="17" t="s">
        <v>1076</v>
      </c>
      <c r="H509" s="152">
        <f>ROUNDUP(AC509,14-LEN(ABS(INT(AC509))))</f>
        <v>0.24096385542170001</v>
      </c>
      <c r="I509" s="153">
        <f>K509+J509+L509</f>
        <v>57077</v>
      </c>
      <c r="J509" s="37">
        <f>중기목록표!F9</f>
        <v>57077</v>
      </c>
      <c r="M509" s="34" t="s">
        <v>1078</v>
      </c>
      <c r="N509" s="34" t="s">
        <v>776</v>
      </c>
      <c r="X509" s="154" t="str">
        <f>중기목록표!B9&amp;" / "&amp;중기목록표!C9</f>
        <v>덤프트럭 / 15톤</v>
      </c>
      <c r="Y509" s="3" t="str">
        <f ca="1">HYPERLINK("#"&amp;중기목록표!J2&amp;"!A"&amp;ROW(중기목록표!A9),"X00028 →")</f>
        <v>X00028 →</v>
      </c>
      <c r="Z509" s="34" t="s">
        <v>879</v>
      </c>
      <c r="AA509" s="158" t="str">
        <f>AJ507</f>
        <v>4.15</v>
      </c>
      <c r="AB509" s="34" t="s">
        <v>871</v>
      </c>
      <c r="AC509" s="158">
        <f>1/AJ507</f>
        <v>0.24096385542168672</v>
      </c>
      <c r="AD509" s="155"/>
      <c r="AE509" s="155"/>
      <c r="AF509" s="155"/>
      <c r="AG509" s="155"/>
      <c r="AH509" s="155"/>
      <c r="AI509" s="155"/>
      <c r="AJ509" s="155"/>
      <c r="AK509" s="155"/>
      <c r="AL509" s="155"/>
      <c r="AM509" s="155"/>
      <c r="AN509" s="155"/>
      <c r="AO509" s="155"/>
      <c r="AP509" s="155"/>
      <c r="AQ509" s="155"/>
      <c r="AR509" s="155"/>
      <c r="AS509" s="155"/>
    </row>
    <row r="510" spans="1:45" ht="12.6" customHeight="1" x14ac:dyDescent="0.3">
      <c r="A510" s="107"/>
      <c r="B510" s="107"/>
      <c r="C510" s="107"/>
      <c r="D510" s="107"/>
      <c r="E510" s="107"/>
      <c r="F510" s="107"/>
      <c r="G510" s="17" t="s">
        <v>848</v>
      </c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</row>
    <row r="511" spans="1:45" ht="12.6" customHeight="1" x14ac:dyDescent="0.3">
      <c r="A511" s="84" t="s">
        <v>1080</v>
      </c>
      <c r="B511" s="146" t="str">
        <f>"  재 료 비  :   "&amp;TEXT(I511,"#,##0"&amp;IF(I511&lt;&gt;INT(I511),".###",""))&amp;" / Q = "&amp;TEXT(C511,"#,##0.0")&amp;""</f>
        <v xml:space="preserve">  재 료 비  :   27,668 / Q = 6,666.9</v>
      </c>
      <c r="C511" s="148">
        <f>E511+D511+F511</f>
        <v>6666.9</v>
      </c>
      <c r="D511" s="148">
        <f>IF(H511=0,0,ROUNDDOWN(J511*H511,1))</f>
        <v>0</v>
      </c>
      <c r="E511" s="148">
        <f>IF(H511=0,0,ROUNDDOWN(K511*H511,1))</f>
        <v>6666.9</v>
      </c>
      <c r="F511" s="148">
        <f>IF(H511=0,0,ROUNDDOWN(L511*H511,1))</f>
        <v>0</v>
      </c>
      <c r="G511" s="17" t="s">
        <v>1079</v>
      </c>
      <c r="H511" s="152">
        <f>ROUNDUP(AC511,14-LEN(ABS(INT(AC511))))</f>
        <v>0.24096385542170001</v>
      </c>
      <c r="I511" s="153">
        <f>K511+J511+L511</f>
        <v>27668</v>
      </c>
      <c r="K511" s="37">
        <f>중기목록표!G9</f>
        <v>27668</v>
      </c>
      <c r="M511" s="34" t="s">
        <v>1078</v>
      </c>
      <c r="N511" s="34" t="s">
        <v>776</v>
      </c>
      <c r="X511" s="154" t="str">
        <f>중기목록표!B9&amp;" / "&amp;중기목록표!C9</f>
        <v>덤프트럭 / 15톤</v>
      </c>
      <c r="Y511" s="3" t="str">
        <f ca="1">HYPERLINK("#"&amp;중기목록표!J2&amp;"!A"&amp;ROW(중기목록표!A9),"X00028 →")</f>
        <v>X00028 →</v>
      </c>
      <c r="Z511" s="34" t="s">
        <v>879</v>
      </c>
      <c r="AA511" s="158" t="str">
        <f>AJ507</f>
        <v>4.15</v>
      </c>
      <c r="AB511" s="34" t="s">
        <v>871</v>
      </c>
      <c r="AC511" s="158">
        <f>1/AJ507</f>
        <v>0.24096385542168672</v>
      </c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</row>
    <row r="512" spans="1:45" ht="12.6" customHeight="1" x14ac:dyDescent="0.3">
      <c r="A512" s="107"/>
      <c r="B512" s="107"/>
      <c r="C512" s="107"/>
      <c r="D512" s="107"/>
      <c r="E512" s="107"/>
      <c r="F512" s="107"/>
      <c r="G512" s="17" t="s">
        <v>848</v>
      </c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</row>
    <row r="513" spans="1:45" ht="12.6" customHeight="1" x14ac:dyDescent="0.3">
      <c r="A513" s="84" t="s">
        <v>1082</v>
      </c>
      <c r="B513" s="146" t="str">
        <f>"  경    비  :   "&amp;TEXT(I513,"#,##0"&amp;IF(I513&lt;&gt;INT(I513),".###",""))&amp;" / Q = "&amp;TEXT(C513,"#,##0.0")&amp;""</f>
        <v xml:space="preserve">  경    비  :   20,276 / Q = 4,885.7</v>
      </c>
      <c r="C513" s="148">
        <f>E513+D513+F513</f>
        <v>4885.7</v>
      </c>
      <c r="D513" s="148">
        <f>IF(H513=0,0,ROUNDDOWN(J513*H513,1))</f>
        <v>0</v>
      </c>
      <c r="E513" s="148">
        <f>IF(H513=0,0,ROUNDDOWN(K513*H513,1))</f>
        <v>0</v>
      </c>
      <c r="F513" s="148">
        <f>IF(H513=0,0,ROUNDDOWN(L513*H513,1))</f>
        <v>4885.7</v>
      </c>
      <c r="G513" s="17" t="s">
        <v>1081</v>
      </c>
      <c r="H513" s="152">
        <f>ROUNDUP(AC513,14-LEN(ABS(INT(AC513))))</f>
        <v>0.24096385542170001</v>
      </c>
      <c r="I513" s="153">
        <f>K513+J513+L513</f>
        <v>20276</v>
      </c>
      <c r="L513" s="37">
        <f>중기목록표!H9</f>
        <v>20276</v>
      </c>
      <c r="M513" s="34" t="s">
        <v>1078</v>
      </c>
      <c r="N513" s="34" t="s">
        <v>776</v>
      </c>
      <c r="X513" s="154" t="str">
        <f>중기목록표!B9&amp;" / "&amp;중기목록표!C9</f>
        <v>덤프트럭 / 15톤</v>
      </c>
      <c r="Y513" s="3" t="str">
        <f ca="1">HYPERLINK("#"&amp;중기목록표!J2&amp;"!A"&amp;ROW(중기목록표!A9),"X00028 →")</f>
        <v>X00028 →</v>
      </c>
      <c r="Z513" s="34" t="s">
        <v>879</v>
      </c>
      <c r="AA513" s="158" t="str">
        <f>AJ507</f>
        <v>4.15</v>
      </c>
      <c r="AB513" s="34" t="s">
        <v>871</v>
      </c>
      <c r="AC513" s="158">
        <f>1/AJ507</f>
        <v>0.24096385542168672</v>
      </c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</row>
    <row r="514" spans="1:45" ht="12.6" customHeight="1" x14ac:dyDescent="0.3">
      <c r="A514" s="107"/>
      <c r="B514" s="107"/>
      <c r="C514" s="107"/>
      <c r="D514" s="107"/>
      <c r="E514" s="107"/>
      <c r="F514" s="107"/>
      <c r="G514" s="17" t="s">
        <v>848</v>
      </c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</row>
    <row r="515" spans="1:45" ht="12.6" customHeight="1" x14ac:dyDescent="0.3">
      <c r="A515" s="84" t="s">
        <v>1084</v>
      </c>
      <c r="B515" s="146" t="str">
        <f>"                "&amp;TEXT(I515,"#,##0"&amp;IF(I515&lt;&gt;INT(I515),".###",""))&amp;" / Q = "&amp;TEXT(C515,"#,##0.0")&amp;""</f>
        <v xml:space="preserve">                430 / Q = 103.6</v>
      </c>
      <c r="C515" s="148">
        <f>E515+D515+F515</f>
        <v>103.6</v>
      </c>
      <c r="D515" s="148">
        <f>IF(H515=0,0,ROUNDDOWN(J515*H515,1))</f>
        <v>0</v>
      </c>
      <c r="E515" s="148">
        <f>IF(H515=0,0,ROUNDDOWN(K515*H515,1))</f>
        <v>0</v>
      </c>
      <c r="F515" s="148">
        <f>IF(H515=0,0,ROUNDDOWN(L515*H515,1))</f>
        <v>103.6</v>
      </c>
      <c r="G515" s="17" t="s">
        <v>1083</v>
      </c>
      <c r="H515" s="152">
        <f>ROUNDUP(AC515,14-LEN(ABS(INT(AC515))))</f>
        <v>0.24096385542170001</v>
      </c>
      <c r="I515" s="153">
        <f>K515+J515+L515</f>
        <v>430</v>
      </c>
      <c r="L515" s="37">
        <f>중기목록표!H11</f>
        <v>430</v>
      </c>
      <c r="M515" s="34" t="s">
        <v>1085</v>
      </c>
      <c r="N515" s="34" t="s">
        <v>776</v>
      </c>
      <c r="X515" s="154" t="str">
        <f>중기목록표!B11&amp;" / "&amp;중기목록표!C11</f>
        <v>덤프트럭 자동덮개시설 / 15톤용</v>
      </c>
      <c r="Y515" s="3" t="str">
        <f ca="1">HYPERLINK("#"&amp;중기목록표!J2&amp;"!A"&amp;ROW(중기목록표!A11),"X00032 →")</f>
        <v>X00032 →</v>
      </c>
      <c r="Z515" s="34" t="s">
        <v>879</v>
      </c>
      <c r="AA515" s="158" t="str">
        <f>AJ507</f>
        <v>4.15</v>
      </c>
      <c r="AB515" s="34" t="s">
        <v>871</v>
      </c>
      <c r="AC515" s="158">
        <f>1/AJ507</f>
        <v>0.24096385542168672</v>
      </c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  <c r="AS515" s="155"/>
    </row>
    <row r="516" spans="1:45" ht="12.6" customHeight="1" x14ac:dyDescent="0.3">
      <c r="A516" s="107"/>
      <c r="B516" s="107"/>
      <c r="C516" s="107"/>
      <c r="D516" s="107"/>
      <c r="E516" s="107"/>
      <c r="F516" s="107"/>
      <c r="G516" s="17" t="s">
        <v>848</v>
      </c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  <c r="AS516" s="155"/>
    </row>
    <row r="517" spans="1:45" ht="12.6" customHeight="1" x14ac:dyDescent="0.3">
      <c r="A517" s="84"/>
      <c r="B517" s="41" t="s">
        <v>774</v>
      </c>
      <c r="C517" s="150">
        <f>E517+D517+F517</f>
        <v>25409.599999999999</v>
      </c>
      <c r="D517" s="150">
        <f>SUMIF(N458:N516,M517,D458:D516)</f>
        <v>13753.4</v>
      </c>
      <c r="E517" s="150">
        <f>SUMIF(N458:N516,M517,E458:E516)</f>
        <v>6666.9</v>
      </c>
      <c r="F517" s="150">
        <f>SUMIF(N458:N516,M517,F458:F516)</f>
        <v>4989.3</v>
      </c>
      <c r="G517" s="17" t="s">
        <v>1086</v>
      </c>
      <c r="M517" s="34" t="s">
        <v>776</v>
      </c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  <c r="AS517" s="155"/>
    </row>
    <row r="518" spans="1:45" ht="12.6" customHeight="1" x14ac:dyDescent="0.3">
      <c r="A518" s="107"/>
      <c r="B518" s="107"/>
      <c r="C518" s="151"/>
      <c r="D518" s="151"/>
      <c r="E518" s="151"/>
      <c r="F518" s="151"/>
      <c r="G518" s="17" t="s">
        <v>848</v>
      </c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  <c r="AS518" s="155"/>
    </row>
    <row r="519" spans="1:45" ht="12.6" customHeight="1" x14ac:dyDescent="0.3">
      <c r="A519" s="84"/>
      <c r="B519" s="41" t="s">
        <v>1088</v>
      </c>
      <c r="C519" s="107"/>
      <c r="D519" s="107"/>
      <c r="E519" s="107"/>
      <c r="F519" s="107"/>
      <c r="G519" s="17" t="s">
        <v>1087</v>
      </c>
      <c r="Z519" s="155"/>
      <c r="AA519" s="155"/>
      <c r="AB519" s="155"/>
      <c r="AC519" s="155"/>
      <c r="AD519" s="155"/>
      <c r="AE519" s="155"/>
      <c r="AF519" s="155"/>
      <c r="AG519" s="155"/>
      <c r="AH519" s="155"/>
      <c r="AI519" s="155"/>
      <c r="AJ519" s="155"/>
      <c r="AK519" s="155"/>
      <c r="AL519" s="155"/>
      <c r="AM519" s="155"/>
      <c r="AN519" s="155"/>
      <c r="AO519" s="155"/>
      <c r="AP519" s="155"/>
      <c r="AQ519" s="155"/>
      <c r="AR519" s="155"/>
      <c r="AS519" s="155"/>
    </row>
    <row r="520" spans="1:45" ht="12.6" customHeight="1" x14ac:dyDescent="0.3">
      <c r="A520" s="107"/>
      <c r="B520" s="107"/>
      <c r="C520" s="107"/>
      <c r="D520" s="107"/>
      <c r="E520" s="107"/>
      <c r="F520" s="107"/>
      <c r="G520" s="17" t="s">
        <v>848</v>
      </c>
      <c r="Z520" s="155"/>
      <c r="AA520" s="155"/>
      <c r="AB520" s="155"/>
      <c r="AC520" s="155"/>
      <c r="AD520" s="155"/>
      <c r="AE520" s="155"/>
      <c r="AF520" s="155"/>
      <c r="AG520" s="155"/>
      <c r="AH520" s="155"/>
      <c r="AI520" s="155"/>
      <c r="AJ520" s="155"/>
      <c r="AK520" s="155"/>
      <c r="AL520" s="155"/>
      <c r="AM520" s="155"/>
      <c r="AN520" s="155"/>
      <c r="AO520" s="155"/>
      <c r="AP520" s="155"/>
      <c r="AQ520" s="155"/>
      <c r="AR520" s="155"/>
      <c r="AS520" s="155"/>
    </row>
    <row r="521" spans="1:45" ht="12.6" customHeight="1" x14ac:dyDescent="0.3">
      <c r="A521" s="84"/>
      <c r="B521" s="41" t="str">
        <f>" f (토량 환산계수) ="&amp;Z521&amp;"/"&amp;AB521&amp;" , E (작업효율) ="&amp;AF521&amp;" , k (버킷계수) ="&amp;AJ521&amp;""</f>
        <v xml:space="preserve"> f (토량 환산계수) =1/1.15 , E (작업효율) =0.9 , k (버킷계수) =1</v>
      </c>
      <c r="C521" s="107"/>
      <c r="D521" s="107"/>
      <c r="E521" s="107"/>
      <c r="F521" s="107"/>
      <c r="G521" s="17" t="s">
        <v>1066</v>
      </c>
      <c r="Z521" s="157">
        <v>1</v>
      </c>
      <c r="AA521" s="34" t="s">
        <v>873</v>
      </c>
      <c r="AB521" s="156">
        <v>1.1499999999999999</v>
      </c>
      <c r="AC521" s="34" t="s">
        <v>871</v>
      </c>
      <c r="AD521" s="158">
        <f>ROUND(Z521/AB521,13)</f>
        <v>0.86956521739129999</v>
      </c>
      <c r="AE521" s="159" t="s">
        <v>872</v>
      </c>
      <c r="AF521" s="156">
        <v>0.9</v>
      </c>
      <c r="AG521" s="34" t="s">
        <v>871</v>
      </c>
      <c r="AH521" s="158">
        <f>AF521</f>
        <v>0.9</v>
      </c>
      <c r="AI521" s="159" t="s">
        <v>872</v>
      </c>
      <c r="AJ521" s="157">
        <v>1</v>
      </c>
      <c r="AK521" s="34" t="s">
        <v>871</v>
      </c>
      <c r="AL521" s="158">
        <f>AJ521</f>
        <v>1</v>
      </c>
      <c r="AM521" s="155"/>
      <c r="AN521" s="155"/>
      <c r="AO521" s="155"/>
      <c r="AP521" s="155"/>
      <c r="AQ521" s="155"/>
      <c r="AR521" s="155"/>
      <c r="AS521" s="155"/>
    </row>
    <row r="522" spans="1:45" ht="12.6" customHeight="1" x14ac:dyDescent="0.3">
      <c r="A522" s="107"/>
      <c r="B522" s="107"/>
      <c r="C522" s="107"/>
      <c r="D522" s="107"/>
      <c r="E522" s="107"/>
      <c r="F522" s="107"/>
      <c r="G522" s="17" t="s">
        <v>848</v>
      </c>
      <c r="Z522" s="155"/>
      <c r="AA522" s="155"/>
      <c r="AB522" s="155"/>
      <c r="AC522" s="155"/>
      <c r="AD522" s="155"/>
      <c r="AE522" s="155"/>
      <c r="AF522" s="155"/>
      <c r="AG522" s="155"/>
      <c r="AH522" s="155"/>
      <c r="AI522" s="155"/>
      <c r="AJ522" s="155"/>
      <c r="AK522" s="155"/>
      <c r="AL522" s="155"/>
      <c r="AM522" s="155"/>
      <c r="AN522" s="155"/>
      <c r="AO522" s="155"/>
      <c r="AP522" s="155"/>
      <c r="AQ522" s="155"/>
      <c r="AR522" s="155"/>
      <c r="AS522" s="155"/>
    </row>
    <row r="523" spans="1:45" ht="12.6" customHeight="1" x14ac:dyDescent="0.3">
      <c r="A523" s="84"/>
      <c r="B523" s="41" t="str">
        <f>" V1 (2차로 교외포장,적재) ="&amp;Z523&amp;" ,"</f>
        <v xml:space="preserve"> V1 (2차로 교외포장,적재) =30 ,</v>
      </c>
      <c r="C523" s="107"/>
      <c r="D523" s="107"/>
      <c r="E523" s="107"/>
      <c r="F523" s="107"/>
      <c r="G523" s="17" t="s">
        <v>1089</v>
      </c>
      <c r="Z523" s="157">
        <v>30</v>
      </c>
      <c r="AA523" s="34" t="s">
        <v>871</v>
      </c>
      <c r="AB523" s="158">
        <f>Z523</f>
        <v>30</v>
      </c>
      <c r="AC523" s="159" t="s">
        <v>872</v>
      </c>
      <c r="AD523" s="155"/>
      <c r="AE523" s="155"/>
      <c r="AF523" s="155"/>
      <c r="AG523" s="155"/>
      <c r="AH523" s="155"/>
      <c r="AI523" s="155"/>
      <c r="AJ523" s="155"/>
      <c r="AK523" s="155"/>
      <c r="AL523" s="155"/>
      <c r="AM523" s="155"/>
      <c r="AN523" s="155"/>
      <c r="AO523" s="155"/>
      <c r="AP523" s="155"/>
      <c r="AQ523" s="155"/>
      <c r="AR523" s="155"/>
      <c r="AS523" s="155"/>
    </row>
    <row r="524" spans="1:45" ht="12.6" customHeight="1" x14ac:dyDescent="0.3">
      <c r="A524" s="107"/>
      <c r="B524" s="107"/>
      <c r="C524" s="107"/>
      <c r="D524" s="107"/>
      <c r="E524" s="107"/>
      <c r="F524" s="107"/>
      <c r="G524" s="17" t="s">
        <v>848</v>
      </c>
      <c r="Z524" s="155"/>
      <c r="AA524" s="155"/>
      <c r="AB524" s="155"/>
      <c r="AC524" s="155"/>
      <c r="AD524" s="155"/>
      <c r="AE524" s="155"/>
      <c r="AF524" s="155"/>
      <c r="AG524" s="155"/>
      <c r="AH524" s="155"/>
      <c r="AI524" s="155"/>
      <c r="AJ524" s="155"/>
      <c r="AK524" s="155"/>
      <c r="AL524" s="155"/>
      <c r="AM524" s="155"/>
      <c r="AN524" s="155"/>
      <c r="AO524" s="155"/>
      <c r="AP524" s="155"/>
      <c r="AQ524" s="155"/>
      <c r="AR524" s="155"/>
      <c r="AS524" s="155"/>
    </row>
    <row r="525" spans="1:45" ht="12.6" customHeight="1" x14ac:dyDescent="0.3">
      <c r="A525" s="84"/>
      <c r="B525" s="41" t="str">
        <f>" V2 (2차로 교외포장,공차) ="&amp;Z525&amp;" ,"</f>
        <v xml:space="preserve"> V2 (2차로 교외포장,공차) =35 ,</v>
      </c>
      <c r="C525" s="107"/>
      <c r="D525" s="107"/>
      <c r="E525" s="107"/>
      <c r="F525" s="107"/>
      <c r="G525" s="17" t="s">
        <v>1090</v>
      </c>
      <c r="Z525" s="157">
        <v>35</v>
      </c>
      <c r="AA525" s="34" t="s">
        <v>871</v>
      </c>
      <c r="AB525" s="158">
        <f>Z525</f>
        <v>35</v>
      </c>
      <c r="AC525" s="159" t="s">
        <v>872</v>
      </c>
      <c r="AD525" s="155"/>
      <c r="AE525" s="155"/>
      <c r="AF525" s="155"/>
      <c r="AG525" s="155"/>
      <c r="AH525" s="155"/>
      <c r="AI525" s="155"/>
      <c r="AJ525" s="155"/>
      <c r="AK525" s="155"/>
      <c r="AL525" s="155"/>
      <c r="AM525" s="155"/>
      <c r="AN525" s="155"/>
      <c r="AO525" s="155"/>
      <c r="AP525" s="155"/>
      <c r="AQ525" s="155"/>
      <c r="AR525" s="155"/>
      <c r="AS525" s="155"/>
    </row>
    <row r="526" spans="1:45" ht="12.6" customHeight="1" x14ac:dyDescent="0.3">
      <c r="A526" s="107"/>
      <c r="B526" s="107"/>
      <c r="C526" s="107"/>
      <c r="D526" s="107"/>
      <c r="E526" s="107"/>
      <c r="F526" s="107"/>
      <c r="G526" s="17" t="s">
        <v>848</v>
      </c>
      <c r="Z526" s="155"/>
      <c r="AA526" s="155"/>
      <c r="AB526" s="155"/>
      <c r="AC526" s="155"/>
      <c r="AD526" s="155"/>
      <c r="AE526" s="155"/>
      <c r="AF526" s="155"/>
      <c r="AG526" s="155"/>
      <c r="AH526" s="155"/>
      <c r="AI526" s="155"/>
      <c r="AJ526" s="155"/>
      <c r="AK526" s="155"/>
      <c r="AL526" s="155"/>
      <c r="AM526" s="155"/>
      <c r="AN526" s="155"/>
      <c r="AO526" s="155"/>
      <c r="AP526" s="155"/>
      <c r="AQ526" s="155"/>
      <c r="AR526" s="155"/>
      <c r="AS526" s="155"/>
    </row>
    <row r="527" spans="1:45" ht="12.6" customHeight="1" x14ac:dyDescent="0.3">
      <c r="A527" s="84"/>
      <c r="B527" s="41" t="str">
        <f>" V3 (교차가 힘든 산간지도로,적재) ="&amp;Z527&amp;" ,"</f>
        <v xml:space="preserve"> V3 (교차가 힘든 산간지도로,적재) =10 ,</v>
      </c>
      <c r="C527" s="107"/>
      <c r="D527" s="107"/>
      <c r="E527" s="107"/>
      <c r="F527" s="107"/>
      <c r="G527" s="17" t="s">
        <v>1091</v>
      </c>
      <c r="Z527" s="157">
        <v>10</v>
      </c>
      <c r="AA527" s="34" t="s">
        <v>871</v>
      </c>
      <c r="AB527" s="158">
        <f>Z527</f>
        <v>10</v>
      </c>
      <c r="AC527" s="159" t="s">
        <v>872</v>
      </c>
      <c r="AD527" s="155"/>
      <c r="AE527" s="155"/>
      <c r="AF527" s="155"/>
      <c r="AG527" s="155"/>
      <c r="AH527" s="155"/>
      <c r="AI527" s="155"/>
      <c r="AJ527" s="155"/>
      <c r="AK527" s="155"/>
      <c r="AL527" s="155"/>
      <c r="AM527" s="155"/>
      <c r="AN527" s="155"/>
      <c r="AO527" s="155"/>
      <c r="AP527" s="155"/>
      <c r="AQ527" s="155"/>
      <c r="AR527" s="155"/>
      <c r="AS527" s="155"/>
    </row>
    <row r="528" spans="1:45" ht="12.6" customHeight="1" x14ac:dyDescent="0.3">
      <c r="A528" s="107"/>
      <c r="B528" s="107"/>
      <c r="C528" s="107"/>
      <c r="D528" s="107"/>
      <c r="E528" s="107"/>
      <c r="F528" s="107"/>
      <c r="G528" s="17" t="s">
        <v>848</v>
      </c>
      <c r="Z528" s="155"/>
      <c r="AA528" s="155"/>
      <c r="AB528" s="155"/>
      <c r="AC528" s="155"/>
      <c r="AD528" s="155"/>
      <c r="AE528" s="155"/>
      <c r="AF528" s="155"/>
      <c r="AG528" s="155"/>
      <c r="AH528" s="155"/>
      <c r="AI528" s="155"/>
      <c r="AJ528" s="155"/>
      <c r="AK528" s="155"/>
      <c r="AL528" s="155"/>
      <c r="AM528" s="155"/>
      <c r="AN528" s="155"/>
      <c r="AO528" s="155"/>
      <c r="AP528" s="155"/>
      <c r="AQ528" s="155"/>
      <c r="AR528" s="155"/>
      <c r="AS528" s="155"/>
    </row>
    <row r="529" spans="1:45" ht="12.6" customHeight="1" x14ac:dyDescent="0.3">
      <c r="A529" s="84"/>
      <c r="B529" s="41" t="str">
        <f>" V4 (교차가 힘든 산간지도로,공차) ="&amp;Z529&amp;""</f>
        <v xml:space="preserve"> V4 (교차가 힘든 산간지도로,공차) =15</v>
      </c>
      <c r="C529" s="107"/>
      <c r="D529" s="107"/>
      <c r="E529" s="107"/>
      <c r="F529" s="107"/>
      <c r="G529" s="17" t="s">
        <v>1092</v>
      </c>
      <c r="Z529" s="157">
        <v>15</v>
      </c>
      <c r="AA529" s="34" t="s">
        <v>871</v>
      </c>
      <c r="AB529" s="158">
        <f>Z529</f>
        <v>15</v>
      </c>
      <c r="AC529" s="155"/>
      <c r="AD529" s="155"/>
      <c r="AE529" s="155"/>
      <c r="AF529" s="155"/>
      <c r="AG529" s="155"/>
      <c r="AH529" s="155"/>
      <c r="AI529" s="155"/>
      <c r="AJ529" s="155"/>
      <c r="AK529" s="155"/>
      <c r="AL529" s="155"/>
      <c r="AM529" s="155"/>
      <c r="AN529" s="155"/>
      <c r="AO529" s="155"/>
      <c r="AP529" s="155"/>
      <c r="AQ529" s="155"/>
      <c r="AR529" s="155"/>
      <c r="AS529" s="155"/>
    </row>
    <row r="530" spans="1:45" ht="12.6" customHeight="1" x14ac:dyDescent="0.3">
      <c r="A530" s="107"/>
      <c r="B530" s="107"/>
      <c r="C530" s="107"/>
      <c r="D530" s="107"/>
      <c r="E530" s="107"/>
      <c r="F530" s="107"/>
      <c r="G530" s="17" t="s">
        <v>848</v>
      </c>
      <c r="Z530" s="155"/>
      <c r="AA530" s="155"/>
      <c r="AB530" s="155"/>
      <c r="AC530" s="155"/>
      <c r="AD530" s="155"/>
      <c r="AE530" s="155"/>
      <c r="AF530" s="155"/>
      <c r="AG530" s="155"/>
      <c r="AH530" s="155"/>
      <c r="AI530" s="155"/>
      <c r="AJ530" s="155"/>
      <c r="AK530" s="155"/>
      <c r="AL530" s="155"/>
      <c r="AM530" s="155"/>
      <c r="AN530" s="155"/>
      <c r="AO530" s="155"/>
      <c r="AP530" s="155"/>
      <c r="AQ530" s="155"/>
      <c r="AR530" s="155"/>
      <c r="AS530" s="155"/>
    </row>
    <row r="531" spans="1:45" ht="12.6" customHeight="1" x14ac:dyDescent="0.3">
      <c r="A531" s="84"/>
      <c r="B531" s="41" t="str">
        <f>" q1 (적재량)  = ("&amp;AA531&amp;"/"&amp;AC531&amp;") * "&amp;AE531&amp;" = "&amp;AG531&amp;""</f>
        <v xml:space="preserve"> q1 (적재량)  = (24/1.6) * 1.15 = 17.25</v>
      </c>
      <c r="C531" s="107"/>
      <c r="D531" s="107"/>
      <c r="E531" s="107"/>
      <c r="F531" s="107"/>
      <c r="G531" s="17" t="s">
        <v>1093</v>
      </c>
      <c r="Z531" s="34" t="s">
        <v>998</v>
      </c>
      <c r="AA531" s="157">
        <v>24</v>
      </c>
      <c r="AB531" s="34" t="s">
        <v>873</v>
      </c>
      <c r="AC531" s="156">
        <v>1.6</v>
      </c>
      <c r="AD531" s="34" t="s">
        <v>1000</v>
      </c>
      <c r="AE531" s="156">
        <v>1.1499999999999999</v>
      </c>
      <c r="AF531" s="34" t="s">
        <v>871</v>
      </c>
      <c r="AG531" s="158" t="str">
        <f>TEXT(ROUND((AA531/AC531)*AE531,2),"#,0.00")</f>
        <v>17.25</v>
      </c>
      <c r="AH531" s="155"/>
      <c r="AI531" s="155"/>
      <c r="AJ531" s="155"/>
      <c r="AK531" s="155"/>
      <c r="AL531" s="155"/>
      <c r="AM531" s="155"/>
      <c r="AN531" s="155"/>
      <c r="AO531" s="155"/>
      <c r="AP531" s="155"/>
      <c r="AQ531" s="155"/>
      <c r="AR531" s="155"/>
      <c r="AS531" s="155"/>
    </row>
    <row r="532" spans="1:45" ht="12.6" customHeight="1" x14ac:dyDescent="0.3">
      <c r="A532" s="107"/>
      <c r="B532" s="107"/>
      <c r="C532" s="107"/>
      <c r="D532" s="107"/>
      <c r="E532" s="107"/>
      <c r="F532" s="107"/>
      <c r="G532" s="17" t="s">
        <v>848</v>
      </c>
      <c r="Z532" s="155"/>
      <c r="AA532" s="155"/>
      <c r="AB532" s="155"/>
      <c r="AC532" s="155"/>
      <c r="AD532" s="155"/>
      <c r="AE532" s="155"/>
      <c r="AF532" s="155"/>
      <c r="AG532" s="155"/>
      <c r="AH532" s="155"/>
      <c r="AI532" s="155"/>
      <c r="AJ532" s="155"/>
      <c r="AK532" s="155"/>
      <c r="AL532" s="155"/>
      <c r="AM532" s="155"/>
      <c r="AN532" s="155"/>
      <c r="AO532" s="155"/>
      <c r="AP532" s="155"/>
      <c r="AQ532" s="155"/>
      <c r="AR532" s="155"/>
      <c r="AS532" s="155"/>
    </row>
    <row r="533" spans="1:45" ht="12.6" customHeight="1" x14ac:dyDescent="0.3">
      <c r="A533" s="84"/>
      <c r="B533" s="41" t="str">
        <f>" n (회수)  =q1 / ("&amp;AB533&amp;" * k) = "&amp;AG533&amp;"  회 "</f>
        <v xml:space="preserve"> n (회수)  =q1 / (1.34 * k) = 12.87  회 </v>
      </c>
      <c r="C533" s="107"/>
      <c r="D533" s="107"/>
      <c r="E533" s="107"/>
      <c r="F533" s="107"/>
      <c r="G533" s="17" t="s">
        <v>1068</v>
      </c>
      <c r="Z533" s="158" t="str">
        <f>AG531</f>
        <v>17.25</v>
      </c>
      <c r="AA533" s="34" t="s">
        <v>990</v>
      </c>
      <c r="AB533" s="156">
        <v>1.34</v>
      </c>
      <c r="AC533" s="34" t="s">
        <v>876</v>
      </c>
      <c r="AD533" s="158">
        <f>AL521</f>
        <v>1</v>
      </c>
      <c r="AE533" s="34" t="s">
        <v>991</v>
      </c>
      <c r="AF533" s="34" t="s">
        <v>871</v>
      </c>
      <c r="AG533" s="158" t="str">
        <f>TEXT(ROUND(AG531/(AB533*AL521),2),"#,0.00")</f>
        <v>12.87</v>
      </c>
      <c r="AH533" s="155"/>
      <c r="AI533" s="155"/>
      <c r="AJ533" s="155"/>
      <c r="AK533" s="155"/>
      <c r="AL533" s="155"/>
      <c r="AM533" s="155"/>
      <c r="AN533" s="155"/>
      <c r="AO533" s="155"/>
      <c r="AP533" s="155"/>
      <c r="AQ533" s="155"/>
      <c r="AR533" s="155"/>
      <c r="AS533" s="155"/>
    </row>
    <row r="534" spans="1:45" ht="12.6" customHeight="1" x14ac:dyDescent="0.3">
      <c r="A534" s="107"/>
      <c r="B534" s="107"/>
      <c r="C534" s="107"/>
      <c r="D534" s="107"/>
      <c r="E534" s="107"/>
      <c r="F534" s="107"/>
      <c r="G534" s="17" t="s">
        <v>848</v>
      </c>
      <c r="Z534" s="155"/>
      <c r="AA534" s="155"/>
      <c r="AB534" s="155"/>
      <c r="AC534" s="155"/>
      <c r="AD534" s="155"/>
      <c r="AE534" s="155"/>
      <c r="AF534" s="155"/>
      <c r="AG534" s="155"/>
      <c r="AH534" s="155"/>
      <c r="AI534" s="155"/>
      <c r="AJ534" s="155"/>
      <c r="AK534" s="155"/>
      <c r="AL534" s="155"/>
      <c r="AM534" s="155"/>
      <c r="AN534" s="155"/>
      <c r="AO534" s="155"/>
      <c r="AP534" s="155"/>
      <c r="AQ534" s="155"/>
      <c r="AR534" s="155"/>
      <c r="AS534" s="155"/>
    </row>
    <row r="535" spans="1:45" ht="12.6" customHeight="1" x14ac:dyDescent="0.3">
      <c r="A535" s="84"/>
      <c r="B535" s="41" t="str">
        <f>" Cms (초) ="&amp;Z535&amp;"*"&amp;AB535&amp;"+"&amp;AD535&amp;"+"&amp;AF535&amp;"= "&amp;AH535&amp;" 초 "</f>
        <v xml:space="preserve"> Cms (초) =1.8*8+6+14= 34.40 초 </v>
      </c>
      <c r="C535" s="107"/>
      <c r="D535" s="107"/>
      <c r="E535" s="107"/>
      <c r="F535" s="107"/>
      <c r="G535" s="17" t="s">
        <v>1069</v>
      </c>
      <c r="Z535" s="156">
        <v>1.8</v>
      </c>
      <c r="AA535" s="34" t="s">
        <v>876</v>
      </c>
      <c r="AB535" s="157">
        <v>8</v>
      </c>
      <c r="AC535" s="34" t="s">
        <v>999</v>
      </c>
      <c r="AD535" s="157">
        <v>6</v>
      </c>
      <c r="AE535" s="34" t="s">
        <v>999</v>
      </c>
      <c r="AF535" s="157">
        <v>14</v>
      </c>
      <c r="AG535" s="34" t="s">
        <v>871</v>
      </c>
      <c r="AH535" s="158" t="str">
        <f>TEXT(ROUND(Z535*AB535+AD535+AF535,2),"#,0.00")</f>
        <v>34.40</v>
      </c>
      <c r="AI535" s="155"/>
      <c r="AJ535" s="155"/>
      <c r="AK535" s="155"/>
      <c r="AL535" s="155"/>
      <c r="AM535" s="155"/>
      <c r="AN535" s="155"/>
      <c r="AO535" s="155"/>
      <c r="AP535" s="155"/>
      <c r="AQ535" s="155"/>
      <c r="AR535" s="155"/>
      <c r="AS535" s="155"/>
    </row>
    <row r="536" spans="1:45" ht="12.6" customHeight="1" x14ac:dyDescent="0.3">
      <c r="A536" s="107"/>
      <c r="B536" s="107"/>
      <c r="C536" s="107"/>
      <c r="D536" s="107"/>
      <c r="E536" s="107"/>
      <c r="F536" s="107"/>
      <c r="G536" s="17" t="s">
        <v>848</v>
      </c>
      <c r="Z536" s="155"/>
      <c r="AA536" s="155"/>
      <c r="AB536" s="155"/>
      <c r="AC536" s="155"/>
      <c r="AD536" s="155"/>
      <c r="AE536" s="155"/>
      <c r="AF536" s="155"/>
      <c r="AG536" s="155"/>
      <c r="AH536" s="155"/>
      <c r="AI536" s="155"/>
      <c r="AJ536" s="155"/>
      <c r="AK536" s="155"/>
      <c r="AL536" s="155"/>
      <c r="AM536" s="155"/>
      <c r="AN536" s="155"/>
      <c r="AO536" s="155"/>
      <c r="AP536" s="155"/>
      <c r="AQ536" s="155"/>
      <c r="AR536" s="155"/>
      <c r="AS536" s="155"/>
    </row>
    <row r="537" spans="1:45" ht="12.6" customHeight="1" x14ac:dyDescent="0.3">
      <c r="A537" s="84"/>
      <c r="B537" s="41" t="str">
        <f>" t1 (산출시간)  =Cms * n / ("&amp;AD537&amp;" * "&amp;AF537&amp;") = "&amp;AI537&amp;" 분 "</f>
        <v xml:space="preserve"> t1 (산출시간)  =Cms * n / (60 * 0.75) = 9.84 분 </v>
      </c>
      <c r="C537" s="107"/>
      <c r="D537" s="107"/>
      <c r="E537" s="107"/>
      <c r="F537" s="107"/>
      <c r="G537" s="17" t="s">
        <v>1094</v>
      </c>
      <c r="Z537" s="158" t="str">
        <f>AH535</f>
        <v>34.40</v>
      </c>
      <c r="AA537" s="34" t="s">
        <v>876</v>
      </c>
      <c r="AB537" s="158" t="str">
        <f>AG533</f>
        <v>12.87</v>
      </c>
      <c r="AC537" s="34" t="s">
        <v>990</v>
      </c>
      <c r="AD537" s="157">
        <v>60</v>
      </c>
      <c r="AE537" s="34" t="s">
        <v>876</v>
      </c>
      <c r="AF537" s="156">
        <v>0.75</v>
      </c>
      <c r="AG537" s="34" t="s">
        <v>991</v>
      </c>
      <c r="AH537" s="34" t="s">
        <v>871</v>
      </c>
      <c r="AI537" s="158" t="str">
        <f>TEXT(ROUND(AH535*AG533/(AD537*AF537),2),"#,0.00")</f>
        <v>9.84</v>
      </c>
      <c r="AJ537" s="155"/>
      <c r="AK537" s="155"/>
      <c r="AL537" s="155"/>
      <c r="AM537" s="155"/>
      <c r="AN537" s="155"/>
      <c r="AO537" s="155"/>
      <c r="AP537" s="155"/>
      <c r="AQ537" s="155"/>
      <c r="AR537" s="155"/>
      <c r="AS537" s="155"/>
    </row>
    <row r="538" spans="1:45" ht="12.6" customHeight="1" x14ac:dyDescent="0.3">
      <c r="A538" s="107"/>
      <c r="B538" s="107"/>
      <c r="C538" s="107"/>
      <c r="D538" s="107"/>
      <c r="E538" s="107"/>
      <c r="F538" s="107"/>
      <c r="G538" s="17" t="s">
        <v>848</v>
      </c>
      <c r="Z538" s="155"/>
      <c r="AA538" s="155"/>
      <c r="AB538" s="155"/>
      <c r="AC538" s="155"/>
      <c r="AD538" s="155"/>
      <c r="AE538" s="155"/>
      <c r="AF538" s="155"/>
      <c r="AG538" s="155"/>
      <c r="AH538" s="155"/>
      <c r="AI538" s="155"/>
      <c r="AJ538" s="155"/>
      <c r="AK538" s="155"/>
      <c r="AL538" s="155"/>
      <c r="AM538" s="155"/>
      <c r="AN538" s="155"/>
      <c r="AO538" s="155"/>
      <c r="AP538" s="155"/>
      <c r="AQ538" s="155"/>
      <c r="AR538" s="155"/>
      <c r="AS538" s="155"/>
    </row>
    <row r="539" spans="1:45" ht="12.6" customHeight="1" x14ac:dyDescent="0.3">
      <c r="A539" s="84"/>
      <c r="B539" s="41" t="str">
        <f>" t2 (왕복시간)  =(L1/V1+L1/V2+L2/V3+L2/V4 ) * "&amp;AQ539&amp;" = "&amp;AS539&amp;" 분 "</f>
        <v xml:space="preserve"> t2 (왕복시간)  =(L1/V1+L1/V2+L2/V3+L2/V4 ) * 60 = 105.77 분 </v>
      </c>
      <c r="C539" s="107"/>
      <c r="D539" s="107"/>
      <c r="E539" s="107"/>
      <c r="F539" s="107"/>
      <c r="G539" s="17" t="s">
        <v>1095</v>
      </c>
      <c r="Z539" s="34" t="s">
        <v>998</v>
      </c>
      <c r="AA539" s="158">
        <f>AB477</f>
        <v>27.4</v>
      </c>
      <c r="AB539" s="34" t="s">
        <v>873</v>
      </c>
      <c r="AC539" s="158">
        <f>AB523</f>
        <v>30</v>
      </c>
      <c r="AD539" s="34" t="s">
        <v>999</v>
      </c>
      <c r="AE539" s="158">
        <f>AB477</f>
        <v>27.4</v>
      </c>
      <c r="AF539" s="34" t="s">
        <v>873</v>
      </c>
      <c r="AG539" s="158">
        <f>AB525</f>
        <v>35</v>
      </c>
      <c r="AH539" s="34" t="s">
        <v>999</v>
      </c>
      <c r="AI539" s="158">
        <f>AB479</f>
        <v>0.4</v>
      </c>
      <c r="AJ539" s="34" t="s">
        <v>873</v>
      </c>
      <c r="AK539" s="158">
        <f>AB527</f>
        <v>10</v>
      </c>
      <c r="AL539" s="34" t="s">
        <v>999</v>
      </c>
      <c r="AM539" s="158">
        <f>AB479</f>
        <v>0.4</v>
      </c>
      <c r="AN539" s="34" t="s">
        <v>873</v>
      </c>
      <c r="AO539" s="158">
        <f>AB529</f>
        <v>15</v>
      </c>
      <c r="AP539" s="34" t="s">
        <v>1000</v>
      </c>
      <c r="AQ539" s="157">
        <v>60</v>
      </c>
      <c r="AR539" s="34" t="s">
        <v>871</v>
      </c>
      <c r="AS539" s="158" t="str">
        <f>TEXT(ROUND((AB477/AB523+AB477/AB525+AB479/AB527+AB479/AB529)*AQ539,2),"#,0.00")</f>
        <v>105.77</v>
      </c>
    </row>
    <row r="540" spans="1:45" ht="12.6" customHeight="1" x14ac:dyDescent="0.3">
      <c r="A540" s="107"/>
      <c r="B540" s="107"/>
      <c r="C540" s="107"/>
      <c r="D540" s="107"/>
      <c r="E540" s="107"/>
      <c r="F540" s="107"/>
      <c r="G540" s="17" t="s">
        <v>848</v>
      </c>
      <c r="Z540" s="155"/>
      <c r="AA540" s="155"/>
      <c r="AB540" s="155"/>
      <c r="AC540" s="155"/>
      <c r="AD540" s="155"/>
      <c r="AE540" s="155"/>
      <c r="AF540" s="155"/>
      <c r="AG540" s="155"/>
      <c r="AH540" s="155"/>
      <c r="AI540" s="155"/>
      <c r="AJ540" s="155"/>
      <c r="AK540" s="155"/>
      <c r="AL540" s="155"/>
      <c r="AM540" s="155"/>
      <c r="AN540" s="155"/>
      <c r="AO540" s="155"/>
      <c r="AP540" s="155"/>
      <c r="AQ540" s="155"/>
      <c r="AR540" s="155"/>
      <c r="AS540" s="155"/>
    </row>
    <row r="541" spans="1:45" ht="12.6" customHeight="1" x14ac:dyDescent="0.3">
      <c r="A541" s="84"/>
      <c r="B541" s="41" t="str">
        <f>" t3 (적하시간) ="&amp;Z541&amp;" 분  , t4 (적재시간) ="&amp;AD541&amp;" 분  ,"</f>
        <v xml:space="preserve"> t3 (적하시간) =0.8 분  , t4 (적재시간) =0.42 분  ,</v>
      </c>
      <c r="C541" s="107"/>
      <c r="D541" s="107"/>
      <c r="E541" s="107"/>
      <c r="F541" s="107"/>
      <c r="G541" s="17" t="s">
        <v>1072</v>
      </c>
      <c r="Z541" s="156">
        <v>0.8</v>
      </c>
      <c r="AA541" s="34" t="s">
        <v>871</v>
      </c>
      <c r="AB541" s="158">
        <f>Z541</f>
        <v>0.8</v>
      </c>
      <c r="AC541" s="159" t="s">
        <v>872</v>
      </c>
      <c r="AD541" s="156">
        <v>0.42</v>
      </c>
      <c r="AE541" s="34" t="s">
        <v>871</v>
      </c>
      <c r="AF541" s="158">
        <f>AD541</f>
        <v>0.42</v>
      </c>
      <c r="AG541" s="159" t="s">
        <v>872</v>
      </c>
      <c r="AH541" s="155"/>
      <c r="AI541" s="155"/>
      <c r="AJ541" s="155"/>
      <c r="AK541" s="155"/>
      <c r="AL541" s="155"/>
      <c r="AM541" s="155"/>
      <c r="AN541" s="155"/>
      <c r="AO541" s="155"/>
      <c r="AP541" s="155"/>
      <c r="AQ541" s="155"/>
      <c r="AR541" s="155"/>
      <c r="AS541" s="155"/>
    </row>
    <row r="542" spans="1:45" ht="12.6" customHeight="1" x14ac:dyDescent="0.3">
      <c r="A542" s="107"/>
      <c r="B542" s="107"/>
      <c r="C542" s="107"/>
      <c r="D542" s="107"/>
      <c r="E542" s="107"/>
      <c r="F542" s="107"/>
      <c r="G542" s="17" t="s">
        <v>848</v>
      </c>
      <c r="Z542" s="155"/>
      <c r="AA542" s="155"/>
      <c r="AB542" s="155"/>
      <c r="AC542" s="155"/>
      <c r="AD542" s="155"/>
      <c r="AE542" s="155"/>
      <c r="AF542" s="155"/>
      <c r="AG542" s="155"/>
      <c r="AH542" s="155"/>
      <c r="AI542" s="155"/>
      <c r="AJ542" s="155"/>
      <c r="AK542" s="155"/>
      <c r="AL542" s="155"/>
      <c r="AM542" s="155"/>
      <c r="AN542" s="155"/>
      <c r="AO542" s="155"/>
      <c r="AP542" s="155"/>
      <c r="AQ542" s="155"/>
      <c r="AR542" s="155"/>
      <c r="AS542" s="155"/>
    </row>
    <row r="543" spans="1:45" ht="12.6" customHeight="1" x14ac:dyDescent="0.3">
      <c r="A543" s="84"/>
      <c r="B543" s="41" t="str">
        <f>" t5 (적재함 덮개 설치 및 해체시간) ="&amp;Z543&amp;" 분 "</f>
        <v xml:space="preserve"> t5 (적재함 덮개 설치 및 해체시간) =0.5 분 </v>
      </c>
      <c r="C543" s="107"/>
      <c r="D543" s="107"/>
      <c r="E543" s="107"/>
      <c r="F543" s="107"/>
      <c r="G543" s="17" t="s">
        <v>1096</v>
      </c>
      <c r="Z543" s="156">
        <v>0.5</v>
      </c>
      <c r="AA543" s="34" t="s">
        <v>871</v>
      </c>
      <c r="AB543" s="158">
        <f>Z543</f>
        <v>0.5</v>
      </c>
      <c r="AC543" s="155"/>
      <c r="AD543" s="155"/>
      <c r="AE543" s="155"/>
      <c r="AF543" s="155"/>
      <c r="AG543" s="155"/>
      <c r="AH543" s="155"/>
      <c r="AI543" s="155"/>
      <c r="AJ543" s="155"/>
      <c r="AK543" s="155"/>
      <c r="AL543" s="155"/>
      <c r="AM543" s="155"/>
      <c r="AN543" s="155"/>
      <c r="AO543" s="155"/>
      <c r="AP543" s="155"/>
      <c r="AQ543" s="155"/>
      <c r="AR543" s="155"/>
      <c r="AS543" s="155"/>
    </row>
    <row r="544" spans="1:45" ht="12.6" customHeight="1" x14ac:dyDescent="0.3">
      <c r="A544" s="107"/>
      <c r="B544" s="107"/>
      <c r="C544" s="107"/>
      <c r="D544" s="107"/>
      <c r="E544" s="107"/>
      <c r="F544" s="107"/>
      <c r="G544" s="17" t="s">
        <v>848</v>
      </c>
      <c r="Z544" s="155"/>
      <c r="AA544" s="155"/>
      <c r="AB544" s="155"/>
      <c r="AC544" s="155"/>
      <c r="AD544" s="155"/>
      <c r="AE544" s="155"/>
      <c r="AF544" s="155"/>
      <c r="AG544" s="155"/>
      <c r="AH544" s="155"/>
      <c r="AI544" s="155"/>
      <c r="AJ544" s="155"/>
      <c r="AK544" s="155"/>
      <c r="AL544" s="155"/>
      <c r="AM544" s="155"/>
      <c r="AN544" s="155"/>
      <c r="AO544" s="155"/>
      <c r="AP544" s="155"/>
      <c r="AQ544" s="155"/>
      <c r="AR544" s="155"/>
      <c r="AS544" s="155"/>
    </row>
    <row r="545" spans="1:45" ht="12.6" customHeight="1" x14ac:dyDescent="0.3">
      <c r="A545" s="84"/>
      <c r="B545" s="41" t="str">
        <f>" Cm (사이클)  = t1 + t2 + t3 + t4 + t5 = "&amp;AJ545&amp;" 분 "</f>
        <v xml:space="preserve"> Cm (사이클)  = t1 + t2 + t3 + t4 + t5 = 117.33 분 </v>
      </c>
      <c r="C545" s="107"/>
      <c r="D545" s="107"/>
      <c r="E545" s="107"/>
      <c r="F545" s="107"/>
      <c r="G545" s="17" t="s">
        <v>1074</v>
      </c>
      <c r="Z545" s="158" t="str">
        <f>AI537</f>
        <v>9.84</v>
      </c>
      <c r="AA545" s="34" t="s">
        <v>999</v>
      </c>
      <c r="AB545" s="158" t="str">
        <f>AS539</f>
        <v>105.77</v>
      </c>
      <c r="AC545" s="34" t="s">
        <v>999</v>
      </c>
      <c r="AD545" s="158">
        <f>AB541</f>
        <v>0.8</v>
      </c>
      <c r="AE545" s="34" t="s">
        <v>999</v>
      </c>
      <c r="AF545" s="158">
        <f>AF541</f>
        <v>0.42</v>
      </c>
      <c r="AG545" s="34" t="s">
        <v>999</v>
      </c>
      <c r="AH545" s="158">
        <f>AB543</f>
        <v>0.5</v>
      </c>
      <c r="AI545" s="34" t="s">
        <v>871</v>
      </c>
      <c r="AJ545" s="158" t="str">
        <f>TEXT(ROUND(AI537+AS539+AB541+AF541+AB543,2),"#,0.00")</f>
        <v>117.33</v>
      </c>
      <c r="AK545" s="155"/>
      <c r="AL545" s="155"/>
      <c r="AM545" s="155"/>
      <c r="AN545" s="155"/>
      <c r="AO545" s="155"/>
      <c r="AP545" s="155"/>
      <c r="AQ545" s="155"/>
      <c r="AR545" s="155"/>
      <c r="AS545" s="155"/>
    </row>
    <row r="546" spans="1:45" ht="12.6" customHeight="1" x14ac:dyDescent="0.3">
      <c r="A546" s="107"/>
      <c r="B546" s="107"/>
      <c r="C546" s="107"/>
      <c r="D546" s="107"/>
      <c r="E546" s="107"/>
      <c r="F546" s="107"/>
      <c r="G546" s="17" t="s">
        <v>848</v>
      </c>
      <c r="Z546" s="155"/>
      <c r="AA546" s="155"/>
      <c r="AB546" s="155"/>
      <c r="AC546" s="155"/>
      <c r="AD546" s="155"/>
      <c r="AE546" s="155"/>
      <c r="AF546" s="155"/>
      <c r="AG546" s="155"/>
      <c r="AH546" s="155"/>
      <c r="AI546" s="155"/>
      <c r="AJ546" s="155"/>
      <c r="AK546" s="155"/>
      <c r="AL546" s="155"/>
      <c r="AM546" s="155"/>
      <c r="AN546" s="155"/>
      <c r="AO546" s="155"/>
      <c r="AP546" s="155"/>
      <c r="AQ546" s="155"/>
      <c r="AR546" s="155"/>
      <c r="AS546" s="155"/>
    </row>
    <row r="547" spans="1:45" ht="12.6" customHeight="1" x14ac:dyDescent="0.3">
      <c r="A547" s="84"/>
      <c r="B547" s="41" t="str">
        <f>" Q (시간당 작업량)  = "&amp;Z547&amp;" * q1 * F * E / Cm = "&amp;AJ547&amp;" m3/hr "</f>
        <v xml:space="preserve"> Q (시간당 작업량)  = 60 * q1 * F * E / Cm = 6.90 m3/hr </v>
      </c>
      <c r="C547" s="107"/>
      <c r="D547" s="107"/>
      <c r="E547" s="107"/>
      <c r="F547" s="107"/>
      <c r="G547" s="17" t="s">
        <v>1075</v>
      </c>
      <c r="Z547" s="157">
        <v>60</v>
      </c>
      <c r="AA547" s="34" t="s">
        <v>876</v>
      </c>
      <c r="AB547" s="158" t="str">
        <f>AG531</f>
        <v>17.25</v>
      </c>
      <c r="AC547" s="34" t="s">
        <v>876</v>
      </c>
      <c r="AD547" s="158">
        <f>AD521</f>
        <v>0.86956521739129999</v>
      </c>
      <c r="AE547" s="34" t="s">
        <v>876</v>
      </c>
      <c r="AF547" s="158">
        <f>AH521</f>
        <v>0.9</v>
      </c>
      <c r="AG547" s="34" t="s">
        <v>873</v>
      </c>
      <c r="AH547" s="158" t="str">
        <f>AJ545</f>
        <v>117.33</v>
      </c>
      <c r="AI547" s="34" t="s">
        <v>871</v>
      </c>
      <c r="AJ547" s="158" t="str">
        <f>TEXT(ROUND(Z547*AG531*AD521*AH521/AJ545,2),"#,0.00")</f>
        <v>6.90</v>
      </c>
      <c r="AK547" s="155"/>
      <c r="AL547" s="155"/>
      <c r="AM547" s="155"/>
      <c r="AN547" s="155"/>
      <c r="AO547" s="155"/>
      <c r="AP547" s="155"/>
      <c r="AQ547" s="155"/>
      <c r="AR547" s="155"/>
      <c r="AS547" s="155"/>
    </row>
    <row r="548" spans="1:45" ht="12.6" customHeight="1" x14ac:dyDescent="0.3">
      <c r="A548" s="107"/>
      <c r="B548" s="107"/>
      <c r="C548" s="107"/>
      <c r="D548" s="107"/>
      <c r="E548" s="107"/>
      <c r="F548" s="107"/>
      <c r="G548" s="17" t="s">
        <v>848</v>
      </c>
      <c r="Z548" s="155"/>
      <c r="AA548" s="155"/>
      <c r="AB548" s="155"/>
      <c r="AC548" s="155"/>
      <c r="AD548" s="155"/>
      <c r="AE548" s="155"/>
      <c r="AF548" s="155"/>
      <c r="AG548" s="155"/>
      <c r="AH548" s="155"/>
      <c r="AI548" s="155"/>
      <c r="AJ548" s="155"/>
      <c r="AK548" s="155"/>
      <c r="AL548" s="155"/>
      <c r="AM548" s="155"/>
      <c r="AN548" s="155"/>
      <c r="AO548" s="155"/>
      <c r="AP548" s="155"/>
      <c r="AQ548" s="155"/>
      <c r="AR548" s="155"/>
      <c r="AS548" s="155"/>
    </row>
    <row r="549" spans="1:45" ht="12.6" customHeight="1" x14ac:dyDescent="0.3">
      <c r="A549" s="84" t="s">
        <v>1098</v>
      </c>
      <c r="B549" s="146" t="str">
        <f>"  노 무 비  :   "&amp;TEXT(I549,"#,##0"&amp;IF(I549&lt;&gt;INT(I549),".###",""))&amp;" / Q = "&amp;TEXT(C549,"#,##0.0")&amp;""</f>
        <v xml:space="preserve">  노 무 비  :   57,077 / Q = 8,272.0</v>
      </c>
      <c r="C549" s="148">
        <f>E549+D549+F549</f>
        <v>8272</v>
      </c>
      <c r="D549" s="148">
        <f>IF(H549=0,0,ROUNDDOWN(J549*H549,1))</f>
        <v>8272</v>
      </c>
      <c r="E549" s="148">
        <f>IF(H549=0,0,ROUNDDOWN(K549*H549,1))</f>
        <v>0</v>
      </c>
      <c r="F549" s="148">
        <f>IF(H549=0,0,ROUNDDOWN(L549*H549,1))</f>
        <v>0</v>
      </c>
      <c r="G549" s="17" t="s">
        <v>1097</v>
      </c>
      <c r="H549" s="152">
        <f>ROUNDUP(AC549,14-LEN(ABS(INT(AC549))))</f>
        <v>0.14492753623189999</v>
      </c>
      <c r="I549" s="153">
        <f>K549+J549+L549</f>
        <v>57077</v>
      </c>
      <c r="J549" s="37">
        <f>중기목록표!F13</f>
        <v>57077</v>
      </c>
      <c r="M549" s="34" t="s">
        <v>1099</v>
      </c>
      <c r="N549" s="34" t="s">
        <v>886</v>
      </c>
      <c r="X549" s="154" t="str">
        <f>중기목록표!B13&amp;" / "&amp;중기목록표!C13</f>
        <v>덤프트럭 / 24톤</v>
      </c>
      <c r="Y549" s="3" t="str">
        <f ca="1">HYPERLINK("#"&amp;중기목록표!J2&amp;"!A"&amp;ROW(중기목록표!A13),"X00085 →")</f>
        <v>X00085 →</v>
      </c>
      <c r="Z549" s="34" t="s">
        <v>879</v>
      </c>
      <c r="AA549" s="158" t="str">
        <f>AJ547</f>
        <v>6.90</v>
      </c>
      <c r="AB549" s="34" t="s">
        <v>871</v>
      </c>
      <c r="AC549" s="158">
        <f>1/AJ547</f>
        <v>0.14492753623188406</v>
      </c>
      <c r="AD549" s="155"/>
      <c r="AE549" s="155"/>
      <c r="AF549" s="155"/>
      <c r="AG549" s="155"/>
      <c r="AH549" s="155"/>
      <c r="AI549" s="155"/>
      <c r="AJ549" s="155"/>
      <c r="AK549" s="155"/>
      <c r="AL549" s="155"/>
      <c r="AM549" s="155"/>
      <c r="AN549" s="155"/>
      <c r="AO549" s="155"/>
      <c r="AP549" s="155"/>
      <c r="AQ549" s="155"/>
      <c r="AR549" s="155"/>
      <c r="AS549" s="155"/>
    </row>
    <row r="550" spans="1:45" ht="12.6" customHeight="1" x14ac:dyDescent="0.3">
      <c r="A550" s="107"/>
      <c r="B550" s="107"/>
      <c r="C550" s="107"/>
      <c r="D550" s="107"/>
      <c r="E550" s="107"/>
      <c r="F550" s="107"/>
      <c r="G550" s="17" t="s">
        <v>848</v>
      </c>
      <c r="Z550" s="155"/>
      <c r="AA550" s="155"/>
      <c r="AB550" s="155"/>
      <c r="AC550" s="155"/>
      <c r="AD550" s="155"/>
      <c r="AE550" s="155"/>
      <c r="AF550" s="155"/>
      <c r="AG550" s="155"/>
      <c r="AH550" s="155"/>
      <c r="AI550" s="155"/>
      <c r="AJ550" s="155"/>
      <c r="AK550" s="155"/>
      <c r="AL550" s="155"/>
      <c r="AM550" s="155"/>
      <c r="AN550" s="155"/>
      <c r="AO550" s="155"/>
      <c r="AP550" s="155"/>
      <c r="AQ550" s="155"/>
      <c r="AR550" s="155"/>
      <c r="AS550" s="155"/>
    </row>
    <row r="551" spans="1:45" ht="12.6" customHeight="1" x14ac:dyDescent="0.3">
      <c r="A551" s="84" t="s">
        <v>1101</v>
      </c>
      <c r="B551" s="146" t="str">
        <f>"  재 료 비  :   "&amp;TEXT(I551,"#,##0"&amp;IF(I551&lt;&gt;INT(I551),".###",""))&amp;" / Q = "&amp;TEXT(C551,"#,##0.0")&amp;""</f>
        <v xml:space="preserve">  재 료 비  :   40,024 / Q = 5,800.5</v>
      </c>
      <c r="C551" s="148">
        <f>E551+D551+F551</f>
        <v>5800.5</v>
      </c>
      <c r="D551" s="148">
        <f>IF(H551=0,0,ROUNDDOWN(J551*H551,1))</f>
        <v>0</v>
      </c>
      <c r="E551" s="148">
        <f>IF(H551=0,0,ROUNDDOWN(K551*H551,1))</f>
        <v>5800.5</v>
      </c>
      <c r="F551" s="148">
        <f>IF(H551=0,0,ROUNDDOWN(L551*H551,1))</f>
        <v>0</v>
      </c>
      <c r="G551" s="17" t="s">
        <v>1100</v>
      </c>
      <c r="H551" s="152">
        <f>ROUNDUP(AC551,14-LEN(ABS(INT(AC551))))</f>
        <v>0.14492753623189999</v>
      </c>
      <c r="I551" s="153">
        <f>K551+J551+L551</f>
        <v>40024</v>
      </c>
      <c r="K551" s="37">
        <f>중기목록표!G13</f>
        <v>40024</v>
      </c>
      <c r="M551" s="34" t="s">
        <v>1099</v>
      </c>
      <c r="N551" s="34" t="s">
        <v>886</v>
      </c>
      <c r="X551" s="154" t="str">
        <f>중기목록표!B13&amp;" / "&amp;중기목록표!C13</f>
        <v>덤프트럭 / 24톤</v>
      </c>
      <c r="Y551" s="3" t="str">
        <f ca="1">HYPERLINK("#"&amp;중기목록표!J2&amp;"!A"&amp;ROW(중기목록표!A13),"X00085 →")</f>
        <v>X00085 →</v>
      </c>
      <c r="Z551" s="34" t="s">
        <v>879</v>
      </c>
      <c r="AA551" s="158" t="str">
        <f>AJ547</f>
        <v>6.90</v>
      </c>
      <c r="AB551" s="34" t="s">
        <v>871</v>
      </c>
      <c r="AC551" s="158">
        <f>1/AJ547</f>
        <v>0.14492753623188406</v>
      </c>
      <c r="AD551" s="155"/>
      <c r="AE551" s="155"/>
      <c r="AF551" s="155"/>
      <c r="AG551" s="155"/>
      <c r="AH551" s="155"/>
      <c r="AI551" s="155"/>
      <c r="AJ551" s="155"/>
      <c r="AK551" s="155"/>
      <c r="AL551" s="155"/>
      <c r="AM551" s="155"/>
      <c r="AN551" s="155"/>
      <c r="AO551" s="155"/>
      <c r="AP551" s="155"/>
      <c r="AQ551" s="155"/>
      <c r="AR551" s="155"/>
      <c r="AS551" s="155"/>
    </row>
    <row r="552" spans="1:45" ht="12.6" customHeight="1" x14ac:dyDescent="0.3">
      <c r="A552" s="107"/>
      <c r="B552" s="107"/>
      <c r="C552" s="107"/>
      <c r="D552" s="107"/>
      <c r="E552" s="107"/>
      <c r="F552" s="107"/>
      <c r="G552" s="17" t="s">
        <v>848</v>
      </c>
      <c r="Z552" s="155"/>
      <c r="AA552" s="155"/>
      <c r="AB552" s="155"/>
      <c r="AC552" s="155"/>
      <c r="AD552" s="155"/>
      <c r="AE552" s="155"/>
      <c r="AF552" s="155"/>
      <c r="AG552" s="155"/>
      <c r="AH552" s="155"/>
      <c r="AI552" s="155"/>
      <c r="AJ552" s="155"/>
      <c r="AK552" s="155"/>
      <c r="AL552" s="155"/>
      <c r="AM552" s="155"/>
      <c r="AN552" s="155"/>
      <c r="AO552" s="155"/>
      <c r="AP552" s="155"/>
      <c r="AQ552" s="155"/>
      <c r="AR552" s="155"/>
      <c r="AS552" s="155"/>
    </row>
    <row r="553" spans="1:45" ht="12.6" customHeight="1" x14ac:dyDescent="0.3">
      <c r="A553" s="84" t="s">
        <v>1103</v>
      </c>
      <c r="B553" s="146" t="str">
        <f>"  경    비  :   "&amp;TEXT(I553,"#,##0"&amp;IF(I553&lt;&gt;INT(I553),".###",""))&amp;" / Q = "&amp;TEXT(C553,"#,##0.0")&amp;""</f>
        <v xml:space="preserve">  경    비  :   32,323 / Q = 4,684.4</v>
      </c>
      <c r="C553" s="148">
        <f>E553+D553+F553</f>
        <v>4684.3999999999996</v>
      </c>
      <c r="D553" s="148">
        <f>IF(H553=0,0,ROUNDDOWN(J553*H553,1))</f>
        <v>0</v>
      </c>
      <c r="E553" s="148">
        <f>IF(H553=0,0,ROUNDDOWN(K553*H553,1))</f>
        <v>0</v>
      </c>
      <c r="F553" s="148">
        <f>IF(H553=0,0,ROUNDDOWN(L553*H553,1))</f>
        <v>4684.3999999999996</v>
      </c>
      <c r="G553" s="17" t="s">
        <v>1102</v>
      </c>
      <c r="H553" s="152">
        <f>ROUNDUP(AC553,14-LEN(ABS(INT(AC553))))</f>
        <v>0.14492753623189999</v>
      </c>
      <c r="I553" s="153">
        <f>K553+J553+L553</f>
        <v>32323</v>
      </c>
      <c r="L553" s="37">
        <f>중기목록표!H13</f>
        <v>32323</v>
      </c>
      <c r="M553" s="34" t="s">
        <v>1099</v>
      </c>
      <c r="N553" s="34" t="s">
        <v>886</v>
      </c>
      <c r="X553" s="154" t="str">
        <f>중기목록표!B13&amp;" / "&amp;중기목록표!C13</f>
        <v>덤프트럭 / 24톤</v>
      </c>
      <c r="Y553" s="3" t="str">
        <f ca="1">HYPERLINK("#"&amp;중기목록표!J2&amp;"!A"&amp;ROW(중기목록표!A13),"X00085 →")</f>
        <v>X00085 →</v>
      </c>
      <c r="Z553" s="34" t="s">
        <v>879</v>
      </c>
      <c r="AA553" s="158" t="str">
        <f>AJ547</f>
        <v>6.90</v>
      </c>
      <c r="AB553" s="34" t="s">
        <v>871</v>
      </c>
      <c r="AC553" s="158">
        <f>1/AJ547</f>
        <v>0.14492753623188406</v>
      </c>
      <c r="AD553" s="155"/>
      <c r="AE553" s="155"/>
      <c r="AF553" s="155"/>
      <c r="AG553" s="155"/>
      <c r="AH553" s="155"/>
      <c r="AI553" s="155"/>
      <c r="AJ553" s="155"/>
      <c r="AK553" s="155"/>
      <c r="AL553" s="155"/>
      <c r="AM553" s="155"/>
      <c r="AN553" s="155"/>
      <c r="AO553" s="155"/>
      <c r="AP553" s="155"/>
      <c r="AQ553" s="155"/>
      <c r="AR553" s="155"/>
      <c r="AS553" s="155"/>
    </row>
    <row r="554" spans="1:45" ht="12.6" customHeight="1" x14ac:dyDescent="0.3">
      <c r="A554" s="107"/>
      <c r="B554" s="107"/>
      <c r="C554" s="107"/>
      <c r="D554" s="107"/>
      <c r="E554" s="107"/>
      <c r="F554" s="107"/>
      <c r="G554" s="17" t="s">
        <v>848</v>
      </c>
      <c r="Z554" s="155"/>
      <c r="AA554" s="155"/>
      <c r="AB554" s="155"/>
      <c r="AC554" s="155"/>
      <c r="AD554" s="155"/>
      <c r="AE554" s="155"/>
      <c r="AF554" s="155"/>
      <c r="AG554" s="155"/>
      <c r="AH554" s="155"/>
      <c r="AI554" s="155"/>
      <c r="AJ554" s="155"/>
      <c r="AK554" s="155"/>
      <c r="AL554" s="155"/>
      <c r="AM554" s="155"/>
      <c r="AN554" s="155"/>
      <c r="AO554" s="155"/>
      <c r="AP554" s="155"/>
      <c r="AQ554" s="155"/>
      <c r="AR554" s="155"/>
      <c r="AS554" s="155"/>
    </row>
    <row r="555" spans="1:45" ht="12.6" customHeight="1" x14ac:dyDescent="0.3">
      <c r="A555" s="84" t="s">
        <v>1105</v>
      </c>
      <c r="B555" s="146" t="str">
        <f>"                "&amp;TEXT(I555,"#,##0"&amp;IF(I555&lt;&gt;INT(I555),".###",""))&amp;" / Q = "&amp;TEXT(C555,"#,##0.0")&amp;""</f>
        <v xml:space="preserve">                499 / Q = 72.3</v>
      </c>
      <c r="C555" s="148">
        <f>E555+D555+F555</f>
        <v>72.3</v>
      </c>
      <c r="D555" s="148">
        <f>IF(H555=0,0,ROUNDDOWN(J555*H555,1))</f>
        <v>0</v>
      </c>
      <c r="E555" s="148">
        <f>IF(H555=0,0,ROUNDDOWN(K555*H555,1))</f>
        <v>0</v>
      </c>
      <c r="F555" s="148">
        <f>IF(H555=0,0,ROUNDDOWN(L555*H555,1))</f>
        <v>72.3</v>
      </c>
      <c r="G555" s="17" t="s">
        <v>1104</v>
      </c>
      <c r="H555" s="152">
        <f>ROUNDUP(AC555,14-LEN(ABS(INT(AC555))))</f>
        <v>0.14492753623189999</v>
      </c>
      <c r="I555" s="153">
        <f>K555+J555+L555</f>
        <v>499</v>
      </c>
      <c r="L555" s="37">
        <f>중기목록표!H12</f>
        <v>499</v>
      </c>
      <c r="M555" s="34" t="s">
        <v>1106</v>
      </c>
      <c r="N555" s="34" t="s">
        <v>886</v>
      </c>
      <c r="X555" s="154" t="str">
        <f>중기목록표!B12&amp;" / "&amp;중기목록표!C12</f>
        <v>덤프트럭 자동덮개시설 / 24톤용</v>
      </c>
      <c r="Y555" s="3" t="str">
        <f ca="1">HYPERLINK("#"&amp;중기목록표!J2&amp;"!A"&amp;ROW(중기목록표!A12),"X00084 →")</f>
        <v>X00084 →</v>
      </c>
      <c r="Z555" s="34" t="s">
        <v>879</v>
      </c>
      <c r="AA555" s="158" t="str">
        <f>AJ547</f>
        <v>6.90</v>
      </c>
      <c r="AB555" s="34" t="s">
        <v>871</v>
      </c>
      <c r="AC555" s="158">
        <f>1/AJ547</f>
        <v>0.14492753623188406</v>
      </c>
      <c r="AD555" s="155"/>
      <c r="AE555" s="155"/>
      <c r="AF555" s="155"/>
      <c r="AG555" s="155"/>
      <c r="AH555" s="155"/>
      <c r="AI555" s="155"/>
      <c r="AJ555" s="155"/>
      <c r="AK555" s="155"/>
      <c r="AL555" s="155"/>
      <c r="AM555" s="155"/>
      <c r="AN555" s="155"/>
      <c r="AO555" s="155"/>
      <c r="AP555" s="155"/>
      <c r="AQ555" s="155"/>
      <c r="AR555" s="155"/>
      <c r="AS555" s="155"/>
    </row>
    <row r="556" spans="1:45" ht="12.6" customHeight="1" x14ac:dyDescent="0.3">
      <c r="A556" s="107"/>
      <c r="B556" s="107"/>
      <c r="C556" s="107"/>
      <c r="D556" s="107"/>
      <c r="E556" s="107"/>
      <c r="F556" s="107"/>
      <c r="G556" s="17" t="s">
        <v>848</v>
      </c>
      <c r="Z556" s="155"/>
      <c r="AA556" s="155"/>
      <c r="AB556" s="155"/>
      <c r="AC556" s="155"/>
      <c r="AD556" s="155"/>
      <c r="AE556" s="155"/>
      <c r="AF556" s="155"/>
      <c r="AG556" s="155"/>
      <c r="AH556" s="155"/>
      <c r="AI556" s="155"/>
      <c r="AJ556" s="155"/>
      <c r="AK556" s="155"/>
      <c r="AL556" s="155"/>
      <c r="AM556" s="155"/>
      <c r="AN556" s="155"/>
      <c r="AO556" s="155"/>
      <c r="AP556" s="155"/>
      <c r="AQ556" s="155"/>
      <c r="AR556" s="155"/>
      <c r="AS556" s="155"/>
    </row>
    <row r="557" spans="1:45" ht="12.6" customHeight="1" x14ac:dyDescent="0.3">
      <c r="A557" s="107"/>
      <c r="B557" s="107"/>
      <c r="C557" s="107"/>
      <c r="D557" s="107"/>
      <c r="E557" s="107"/>
      <c r="F557" s="107"/>
      <c r="G557" s="17" t="s">
        <v>848</v>
      </c>
      <c r="Z557" s="155"/>
      <c r="AA557" s="155"/>
      <c r="AB557" s="155"/>
      <c r="AC557" s="155"/>
      <c r="AD557" s="155"/>
      <c r="AE557" s="155"/>
      <c r="AF557" s="155"/>
      <c r="AG557" s="155"/>
      <c r="AH557" s="155"/>
      <c r="AI557" s="155"/>
      <c r="AJ557" s="155"/>
      <c r="AK557" s="155"/>
      <c r="AL557" s="155"/>
      <c r="AM557" s="155"/>
      <c r="AN557" s="155"/>
      <c r="AO557" s="155"/>
      <c r="AP557" s="155"/>
      <c r="AQ557" s="155"/>
      <c r="AR557" s="155"/>
      <c r="AS557" s="155"/>
    </row>
    <row r="558" spans="1:45" ht="12.6" customHeight="1" x14ac:dyDescent="0.3">
      <c r="A558" s="84"/>
      <c r="B558" s="41" t="s">
        <v>885</v>
      </c>
      <c r="C558" s="149">
        <f>E558+D558+F558</f>
        <v>18829.2</v>
      </c>
      <c r="D558" s="149">
        <f>SUMIF(N518:N557,M558,D518:D557)</f>
        <v>8272</v>
      </c>
      <c r="E558" s="149">
        <f>SUMIF(N518:N557,M558,E518:E557)</f>
        <v>5800.5</v>
      </c>
      <c r="F558" s="149">
        <f>SUMIF(N518:N557,M558,F518:F557)</f>
        <v>4756.7</v>
      </c>
      <c r="G558" s="17" t="s">
        <v>884</v>
      </c>
      <c r="M558" s="34" t="s">
        <v>886</v>
      </c>
      <c r="N558" s="34" t="s">
        <v>768</v>
      </c>
      <c r="Z558" s="155"/>
      <c r="AA558" s="155"/>
      <c r="AB558" s="155"/>
      <c r="AC558" s="155"/>
      <c r="AD558" s="155"/>
      <c r="AE558" s="155"/>
      <c r="AF558" s="155"/>
      <c r="AG558" s="155"/>
      <c r="AH558" s="155"/>
      <c r="AI558" s="155"/>
      <c r="AJ558" s="155"/>
      <c r="AK558" s="155"/>
      <c r="AL558" s="155"/>
      <c r="AM558" s="155"/>
      <c r="AN558" s="155"/>
      <c r="AO558" s="155"/>
      <c r="AP558" s="155"/>
      <c r="AQ558" s="155"/>
      <c r="AR558" s="155"/>
      <c r="AS558" s="155"/>
    </row>
    <row r="559" spans="1:45" ht="12.6" customHeight="1" x14ac:dyDescent="0.3">
      <c r="A559" s="107"/>
      <c r="B559" s="107"/>
      <c r="C559" s="147"/>
      <c r="D559" s="147"/>
      <c r="E559" s="147"/>
      <c r="F559" s="147"/>
      <c r="Z559" s="155"/>
      <c r="AA559" s="155"/>
      <c r="AB559" s="155"/>
      <c r="AC559" s="155"/>
      <c r="AD559" s="155"/>
      <c r="AE559" s="155"/>
      <c r="AF559" s="155"/>
      <c r="AG559" s="155"/>
      <c r="AH559" s="155"/>
      <c r="AI559" s="155"/>
      <c r="AJ559" s="155"/>
      <c r="AK559" s="155"/>
      <c r="AL559" s="155"/>
      <c r="AM559" s="155"/>
      <c r="AN559" s="155"/>
      <c r="AO559" s="155"/>
      <c r="AP559" s="155"/>
      <c r="AQ559" s="155"/>
      <c r="AR559" s="155"/>
      <c r="AS559" s="155"/>
    </row>
    <row r="560" spans="1:45" ht="12.6" customHeight="1" x14ac:dyDescent="0.3">
      <c r="A560" s="107"/>
      <c r="B560" s="107"/>
      <c r="C560" s="107"/>
      <c r="D560" s="107"/>
      <c r="E560" s="107"/>
      <c r="F560" s="107"/>
      <c r="Z560" s="155"/>
      <c r="AA560" s="155"/>
      <c r="AB560" s="155"/>
      <c r="AC560" s="155"/>
      <c r="AD560" s="155"/>
      <c r="AE560" s="155"/>
      <c r="AF560" s="155"/>
      <c r="AG560" s="155"/>
      <c r="AH560" s="155"/>
      <c r="AI560" s="155"/>
      <c r="AJ560" s="155"/>
      <c r="AK560" s="155"/>
      <c r="AL560" s="155"/>
      <c r="AM560" s="155"/>
      <c r="AN560" s="155"/>
      <c r="AO560" s="155"/>
      <c r="AP560" s="155"/>
      <c r="AQ560" s="155"/>
      <c r="AR560" s="155"/>
      <c r="AS560" s="155"/>
    </row>
    <row r="561" spans="1:45" ht="12.6" customHeight="1" x14ac:dyDescent="0.3">
      <c r="A561" s="107"/>
      <c r="B561" s="107"/>
      <c r="C561" s="107"/>
      <c r="D561" s="107"/>
      <c r="E561" s="107"/>
      <c r="F561" s="107"/>
      <c r="Z561" s="155"/>
      <c r="AA561" s="155"/>
      <c r="AB561" s="155"/>
      <c r="AC561" s="155"/>
      <c r="AD561" s="155"/>
      <c r="AE561" s="155"/>
      <c r="AF561" s="155"/>
      <c r="AG561" s="155"/>
      <c r="AH561" s="155"/>
      <c r="AI561" s="155"/>
      <c r="AJ561" s="155"/>
      <c r="AK561" s="155"/>
      <c r="AL561" s="155"/>
      <c r="AM561" s="155"/>
      <c r="AN561" s="155"/>
      <c r="AO561" s="155"/>
      <c r="AP561" s="155"/>
      <c r="AQ561" s="155"/>
      <c r="AR561" s="155"/>
      <c r="AS561" s="155"/>
    </row>
    <row r="562" spans="1:45" ht="12.6" customHeight="1" x14ac:dyDescent="0.3">
      <c r="A562" s="107"/>
      <c r="B562" s="107"/>
      <c r="C562" s="107"/>
      <c r="D562" s="107"/>
      <c r="E562" s="107"/>
      <c r="F562" s="107"/>
      <c r="Z562" s="155"/>
      <c r="AA562" s="155"/>
      <c r="AB562" s="155"/>
      <c r="AC562" s="155"/>
      <c r="AD562" s="155"/>
      <c r="AE562" s="155"/>
      <c r="AF562" s="155"/>
      <c r="AG562" s="155"/>
      <c r="AH562" s="155"/>
      <c r="AI562" s="155"/>
      <c r="AJ562" s="155"/>
      <c r="AK562" s="155"/>
      <c r="AL562" s="155"/>
      <c r="AM562" s="155"/>
      <c r="AN562" s="155"/>
      <c r="AO562" s="155"/>
      <c r="AP562" s="155"/>
      <c r="AQ562" s="155"/>
      <c r="AR562" s="155"/>
      <c r="AS562" s="155"/>
    </row>
    <row r="563" spans="1:45" ht="12.6" customHeight="1" x14ac:dyDescent="0.3">
      <c r="A563" s="107"/>
      <c r="B563" s="107"/>
      <c r="C563" s="107"/>
      <c r="D563" s="107"/>
      <c r="E563" s="107"/>
      <c r="F563" s="107"/>
      <c r="Z563" s="155"/>
      <c r="AA563" s="155"/>
      <c r="AB563" s="155"/>
      <c r="AC563" s="155"/>
      <c r="AD563" s="155"/>
      <c r="AE563" s="155"/>
      <c r="AF563" s="155"/>
      <c r="AG563" s="155"/>
      <c r="AH563" s="155"/>
      <c r="AI563" s="155"/>
      <c r="AJ563" s="155"/>
      <c r="AK563" s="155"/>
      <c r="AL563" s="155"/>
      <c r="AM563" s="155"/>
      <c r="AN563" s="155"/>
      <c r="AO563" s="155"/>
      <c r="AP563" s="155"/>
      <c r="AQ563" s="155"/>
      <c r="AR563" s="155"/>
      <c r="AS563" s="155"/>
    </row>
    <row r="564" spans="1:45" ht="12.6" customHeight="1" x14ac:dyDescent="0.3">
      <c r="A564" s="107"/>
      <c r="B564" s="107"/>
      <c r="C564" s="107"/>
      <c r="D564" s="107"/>
      <c r="E564" s="107"/>
      <c r="F564" s="107"/>
      <c r="Z564" s="155"/>
      <c r="AA564" s="155"/>
      <c r="AB564" s="155"/>
      <c r="AC564" s="155"/>
      <c r="AD564" s="155"/>
      <c r="AE564" s="155"/>
      <c r="AF564" s="155"/>
      <c r="AG564" s="155"/>
      <c r="AH564" s="155"/>
      <c r="AI564" s="155"/>
      <c r="AJ564" s="155"/>
      <c r="AK564" s="155"/>
      <c r="AL564" s="155"/>
      <c r="AM564" s="155"/>
      <c r="AN564" s="155"/>
      <c r="AO564" s="155"/>
      <c r="AP564" s="155"/>
      <c r="AQ564" s="155"/>
      <c r="AR564" s="155"/>
      <c r="AS564" s="155"/>
    </row>
    <row r="565" spans="1:45" ht="12.6" customHeight="1" x14ac:dyDescent="0.3">
      <c r="A565" s="107"/>
      <c r="B565" s="107"/>
      <c r="C565" s="107"/>
      <c r="D565" s="107"/>
      <c r="E565" s="107"/>
      <c r="F565" s="107"/>
      <c r="Z565" s="155"/>
      <c r="AA565" s="155"/>
      <c r="AB565" s="155"/>
      <c r="AC565" s="155"/>
      <c r="AD565" s="155"/>
      <c r="AE565" s="155"/>
      <c r="AF565" s="155"/>
      <c r="AG565" s="155"/>
      <c r="AH565" s="155"/>
      <c r="AI565" s="155"/>
      <c r="AJ565" s="155"/>
      <c r="AK565" s="155"/>
      <c r="AL565" s="155"/>
      <c r="AM565" s="155"/>
      <c r="AN565" s="155"/>
      <c r="AO565" s="155"/>
      <c r="AP565" s="155"/>
      <c r="AQ565" s="155"/>
      <c r="AR565" s="155"/>
      <c r="AS565" s="155"/>
    </row>
    <row r="566" spans="1:45" ht="12.6" customHeight="1" x14ac:dyDescent="0.3">
      <c r="A566" s="107"/>
      <c r="B566" s="107"/>
      <c r="C566" s="107"/>
      <c r="D566" s="107"/>
      <c r="E566" s="107"/>
      <c r="F566" s="107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  <c r="AS566" s="155"/>
    </row>
    <row r="567" spans="1:45" ht="12.6" customHeight="1" x14ac:dyDescent="0.3">
      <c r="A567" s="107"/>
      <c r="B567" s="107"/>
      <c r="C567" s="107"/>
      <c r="D567" s="107"/>
      <c r="E567" s="107"/>
      <c r="F567" s="107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  <c r="AS567" s="155"/>
    </row>
    <row r="568" spans="1:45" ht="12.6" customHeight="1" x14ac:dyDescent="0.3">
      <c r="A568" s="107"/>
      <c r="B568" s="107"/>
      <c r="C568" s="107"/>
      <c r="D568" s="107"/>
      <c r="E568" s="107"/>
      <c r="F568" s="107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  <c r="AS568" s="155"/>
    </row>
    <row r="569" spans="1:45" ht="12.6" customHeight="1" x14ac:dyDescent="0.3">
      <c r="A569" s="107"/>
      <c r="B569" s="107"/>
      <c r="C569" s="107"/>
      <c r="D569" s="107"/>
      <c r="E569" s="107"/>
      <c r="F569" s="107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  <c r="AS569" s="155"/>
    </row>
    <row r="570" spans="1:45" ht="12.6" customHeight="1" x14ac:dyDescent="0.3">
      <c r="A570" s="107"/>
      <c r="B570" s="107"/>
      <c r="C570" s="107"/>
      <c r="D570" s="107"/>
      <c r="E570" s="107"/>
      <c r="F570" s="107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  <c r="AS570" s="155"/>
    </row>
    <row r="571" spans="1:45" ht="12.6" customHeight="1" x14ac:dyDescent="0.3">
      <c r="A571" s="107"/>
      <c r="B571" s="107"/>
      <c r="C571" s="107"/>
      <c r="D571" s="107"/>
      <c r="E571" s="107"/>
      <c r="F571" s="107"/>
      <c r="Z571" s="155"/>
      <c r="AA571" s="155"/>
      <c r="AB571" s="155"/>
      <c r="AC571" s="155"/>
      <c r="AD571" s="155"/>
      <c r="AE571" s="155"/>
      <c r="AF571" s="155"/>
      <c r="AG571" s="155"/>
      <c r="AH571" s="155"/>
      <c r="AI571" s="155"/>
      <c r="AJ571" s="155"/>
      <c r="AK571" s="155"/>
      <c r="AL571" s="155"/>
      <c r="AM571" s="155"/>
      <c r="AN571" s="155"/>
      <c r="AO571" s="155"/>
      <c r="AP571" s="155"/>
      <c r="AQ571" s="155"/>
      <c r="AR571" s="155"/>
      <c r="AS571" s="155"/>
    </row>
    <row r="572" spans="1:45" ht="12.6" customHeight="1" x14ac:dyDescent="0.3">
      <c r="A572" s="107"/>
      <c r="B572" s="107"/>
      <c r="C572" s="107"/>
      <c r="D572" s="107"/>
      <c r="E572" s="107"/>
      <c r="F572" s="107"/>
      <c r="Z572" s="155"/>
      <c r="AA572" s="155"/>
      <c r="AB572" s="155"/>
      <c r="AC572" s="155"/>
      <c r="AD572" s="155"/>
      <c r="AE572" s="155"/>
      <c r="AF572" s="155"/>
      <c r="AG572" s="155"/>
      <c r="AH572" s="155"/>
      <c r="AI572" s="155"/>
      <c r="AJ572" s="155"/>
      <c r="AK572" s="155"/>
      <c r="AL572" s="155"/>
      <c r="AM572" s="155"/>
      <c r="AN572" s="155"/>
      <c r="AO572" s="155"/>
      <c r="AP572" s="155"/>
      <c r="AQ572" s="155"/>
      <c r="AR572" s="155"/>
      <c r="AS572" s="155"/>
    </row>
    <row r="573" spans="1:45" ht="12.6" customHeight="1" x14ac:dyDescent="0.3">
      <c r="A573" s="107"/>
      <c r="B573" s="107"/>
      <c r="C573" s="107"/>
      <c r="D573" s="107"/>
      <c r="E573" s="107"/>
      <c r="F573" s="107"/>
      <c r="Z573" s="155"/>
      <c r="AA573" s="155"/>
      <c r="AB573" s="155"/>
      <c r="AC573" s="155"/>
      <c r="AD573" s="155"/>
      <c r="AE573" s="155"/>
      <c r="AF573" s="155"/>
      <c r="AG573" s="155"/>
      <c r="AH573" s="155"/>
      <c r="AI573" s="155"/>
      <c r="AJ573" s="155"/>
      <c r="AK573" s="155"/>
      <c r="AL573" s="155"/>
      <c r="AM573" s="155"/>
      <c r="AN573" s="155"/>
      <c r="AO573" s="155"/>
      <c r="AP573" s="155"/>
      <c r="AQ573" s="155"/>
      <c r="AR573" s="155"/>
      <c r="AS573" s="155"/>
    </row>
    <row r="574" spans="1:45" ht="12.6" customHeight="1" x14ac:dyDescent="0.3">
      <c r="A574" s="107"/>
      <c r="B574" s="107"/>
      <c r="C574" s="107"/>
      <c r="D574" s="107"/>
      <c r="E574" s="107"/>
      <c r="F574" s="107"/>
      <c r="Z574" s="155"/>
      <c r="AA574" s="155"/>
      <c r="AB574" s="155"/>
      <c r="AC574" s="155"/>
      <c r="AD574" s="155"/>
      <c r="AE574" s="155"/>
      <c r="AF574" s="155"/>
      <c r="AG574" s="155"/>
      <c r="AH574" s="155"/>
      <c r="AI574" s="155"/>
      <c r="AJ574" s="155"/>
      <c r="AK574" s="155"/>
      <c r="AL574" s="155"/>
      <c r="AM574" s="155"/>
      <c r="AN574" s="155"/>
      <c r="AO574" s="155"/>
      <c r="AP574" s="155"/>
      <c r="AQ574" s="155"/>
      <c r="AR574" s="155"/>
      <c r="AS574" s="155"/>
    </row>
    <row r="575" spans="1:45" ht="12.6" customHeight="1" x14ac:dyDescent="0.3">
      <c r="A575" s="107"/>
      <c r="B575" s="107"/>
      <c r="C575" s="107"/>
      <c r="D575" s="107"/>
      <c r="E575" s="107"/>
      <c r="F575" s="107"/>
      <c r="Z575" s="155"/>
      <c r="AA575" s="155"/>
      <c r="AB575" s="155"/>
      <c r="AC575" s="155"/>
      <c r="AD575" s="155"/>
      <c r="AE575" s="155"/>
      <c r="AF575" s="155"/>
      <c r="AG575" s="155"/>
      <c r="AH575" s="155"/>
      <c r="AI575" s="155"/>
      <c r="AJ575" s="155"/>
      <c r="AK575" s="155"/>
      <c r="AL575" s="155"/>
      <c r="AM575" s="155"/>
      <c r="AN575" s="155"/>
      <c r="AO575" s="155"/>
      <c r="AP575" s="155"/>
      <c r="AQ575" s="155"/>
      <c r="AR575" s="155"/>
      <c r="AS575" s="155"/>
    </row>
    <row r="576" spans="1:45" ht="12.6" customHeight="1" x14ac:dyDescent="0.3">
      <c r="A576" s="107"/>
      <c r="B576" s="107"/>
      <c r="C576" s="107"/>
      <c r="D576" s="107"/>
      <c r="E576" s="107"/>
      <c r="F576" s="107"/>
      <c r="Z576" s="155"/>
      <c r="AA576" s="155"/>
      <c r="AB576" s="155"/>
      <c r="AC576" s="155"/>
      <c r="AD576" s="155"/>
      <c r="AE576" s="155"/>
      <c r="AF576" s="155"/>
      <c r="AG576" s="155"/>
      <c r="AH576" s="155"/>
      <c r="AI576" s="155"/>
      <c r="AJ576" s="155"/>
      <c r="AK576" s="155"/>
      <c r="AL576" s="155"/>
      <c r="AM576" s="155"/>
      <c r="AN576" s="155"/>
      <c r="AO576" s="155"/>
      <c r="AP576" s="155"/>
      <c r="AQ576" s="155"/>
      <c r="AR576" s="155"/>
      <c r="AS576" s="155"/>
    </row>
    <row r="577" spans="1:45" ht="12.6" customHeight="1" x14ac:dyDescent="0.3">
      <c r="A577" s="107"/>
      <c r="B577" s="107"/>
      <c r="C577" s="107"/>
      <c r="D577" s="107"/>
      <c r="E577" s="107"/>
      <c r="F577" s="107"/>
      <c r="Z577" s="155"/>
      <c r="AA577" s="155"/>
      <c r="AB577" s="155"/>
      <c r="AC577" s="155"/>
      <c r="AD577" s="155"/>
      <c r="AE577" s="155"/>
      <c r="AF577" s="155"/>
      <c r="AG577" s="155"/>
      <c r="AH577" s="155"/>
      <c r="AI577" s="155"/>
      <c r="AJ577" s="155"/>
      <c r="AK577" s="155"/>
      <c r="AL577" s="155"/>
      <c r="AM577" s="155"/>
      <c r="AN577" s="155"/>
      <c r="AO577" s="155"/>
      <c r="AP577" s="155"/>
      <c r="AQ577" s="155"/>
      <c r="AR577" s="155"/>
      <c r="AS577" s="155"/>
    </row>
    <row r="578" spans="1:45" ht="12.6" customHeight="1" x14ac:dyDescent="0.3">
      <c r="A578" s="107"/>
      <c r="B578" s="107"/>
      <c r="C578" s="107"/>
      <c r="D578" s="107"/>
      <c r="E578" s="107"/>
      <c r="F578" s="107"/>
      <c r="Z578" s="155"/>
      <c r="AA578" s="155"/>
      <c r="AB578" s="155"/>
      <c r="AC578" s="155"/>
      <c r="AD578" s="155"/>
      <c r="AE578" s="155"/>
      <c r="AF578" s="155"/>
      <c r="AG578" s="155"/>
      <c r="AH578" s="155"/>
      <c r="AI578" s="155"/>
      <c r="AJ578" s="155"/>
      <c r="AK578" s="155"/>
      <c r="AL578" s="155"/>
      <c r="AM578" s="155"/>
      <c r="AN578" s="155"/>
      <c r="AO578" s="155"/>
      <c r="AP578" s="155"/>
      <c r="AQ578" s="155"/>
      <c r="AR578" s="155"/>
      <c r="AS578" s="155"/>
    </row>
    <row r="579" spans="1:45" ht="12.6" customHeight="1" x14ac:dyDescent="0.3">
      <c r="A579" s="107"/>
      <c r="B579" s="107"/>
      <c r="C579" s="107"/>
      <c r="D579" s="107"/>
      <c r="E579" s="107"/>
      <c r="F579" s="107"/>
      <c r="Z579" s="155"/>
      <c r="AA579" s="155"/>
      <c r="AB579" s="155"/>
      <c r="AC579" s="155"/>
      <c r="AD579" s="155"/>
      <c r="AE579" s="155"/>
      <c r="AF579" s="155"/>
      <c r="AG579" s="155"/>
      <c r="AH579" s="155"/>
      <c r="AI579" s="155"/>
      <c r="AJ579" s="155"/>
      <c r="AK579" s="155"/>
      <c r="AL579" s="155"/>
      <c r="AM579" s="155"/>
      <c r="AN579" s="155"/>
      <c r="AO579" s="155"/>
      <c r="AP579" s="155"/>
      <c r="AQ579" s="155"/>
      <c r="AR579" s="155"/>
      <c r="AS579" s="155"/>
    </row>
    <row r="580" spans="1:45" ht="12.6" customHeight="1" x14ac:dyDescent="0.3">
      <c r="A580" s="107"/>
      <c r="B580" s="107"/>
      <c r="C580" s="107"/>
      <c r="D580" s="107"/>
      <c r="E580" s="107"/>
      <c r="F580" s="107"/>
      <c r="Z580" s="155"/>
      <c r="AA580" s="155"/>
      <c r="AB580" s="155"/>
      <c r="AC580" s="155"/>
      <c r="AD580" s="155"/>
      <c r="AE580" s="155"/>
      <c r="AF580" s="155"/>
      <c r="AG580" s="155"/>
      <c r="AH580" s="155"/>
      <c r="AI580" s="155"/>
      <c r="AJ580" s="155"/>
      <c r="AK580" s="155"/>
      <c r="AL580" s="155"/>
      <c r="AM580" s="155"/>
      <c r="AN580" s="155"/>
      <c r="AO580" s="155"/>
      <c r="AP580" s="155"/>
      <c r="AQ580" s="155"/>
      <c r="AR580" s="155"/>
      <c r="AS580" s="155"/>
    </row>
    <row r="581" spans="1:45" ht="12.6" customHeight="1" x14ac:dyDescent="0.3">
      <c r="A581" s="107"/>
      <c r="B581" s="107"/>
      <c r="C581" s="107"/>
      <c r="D581" s="107"/>
      <c r="E581" s="107"/>
      <c r="F581" s="107"/>
      <c r="Z581" s="155"/>
      <c r="AA581" s="155"/>
      <c r="AB581" s="155"/>
      <c r="AC581" s="155"/>
      <c r="AD581" s="155"/>
      <c r="AE581" s="155"/>
      <c r="AF581" s="155"/>
      <c r="AG581" s="155"/>
      <c r="AH581" s="155"/>
      <c r="AI581" s="155"/>
      <c r="AJ581" s="155"/>
      <c r="AK581" s="155"/>
      <c r="AL581" s="155"/>
      <c r="AM581" s="155"/>
      <c r="AN581" s="155"/>
      <c r="AO581" s="155"/>
      <c r="AP581" s="155"/>
      <c r="AQ581" s="155"/>
      <c r="AR581" s="155"/>
      <c r="AS581" s="155"/>
    </row>
    <row r="582" spans="1:45" ht="12.6" customHeight="1" x14ac:dyDescent="0.3">
      <c r="A582" s="107"/>
      <c r="B582" s="107"/>
      <c r="C582" s="107"/>
      <c r="D582" s="107"/>
      <c r="E582" s="107"/>
      <c r="F582" s="107"/>
      <c r="Z582" s="155"/>
      <c r="AA582" s="155"/>
      <c r="AB582" s="155"/>
      <c r="AC582" s="155"/>
      <c r="AD582" s="155"/>
      <c r="AE582" s="155"/>
      <c r="AF582" s="155"/>
      <c r="AG582" s="155"/>
      <c r="AH582" s="155"/>
      <c r="AI582" s="155"/>
      <c r="AJ582" s="155"/>
      <c r="AK582" s="155"/>
      <c r="AL582" s="155"/>
      <c r="AM582" s="155"/>
      <c r="AN582" s="155"/>
      <c r="AO582" s="155"/>
      <c r="AP582" s="155"/>
      <c r="AQ582" s="155"/>
      <c r="AR582" s="155"/>
      <c r="AS582" s="155"/>
    </row>
    <row r="583" spans="1:45" ht="12.6" customHeight="1" x14ac:dyDescent="0.3">
      <c r="A583" s="107"/>
      <c r="B583" s="107"/>
      <c r="C583" s="107"/>
      <c r="D583" s="107"/>
      <c r="E583" s="107"/>
      <c r="F583" s="107"/>
      <c r="Z583" s="155"/>
      <c r="AA583" s="155"/>
      <c r="AB583" s="155"/>
      <c r="AC583" s="155"/>
      <c r="AD583" s="155"/>
      <c r="AE583" s="155"/>
      <c r="AF583" s="155"/>
      <c r="AG583" s="155"/>
      <c r="AH583" s="155"/>
      <c r="AI583" s="155"/>
      <c r="AJ583" s="155"/>
      <c r="AK583" s="155"/>
      <c r="AL583" s="155"/>
      <c r="AM583" s="155"/>
      <c r="AN583" s="155"/>
      <c r="AO583" s="155"/>
      <c r="AP583" s="155"/>
      <c r="AQ583" s="155"/>
      <c r="AR583" s="155"/>
      <c r="AS583" s="155"/>
    </row>
    <row r="584" spans="1:45" ht="12.6" customHeight="1" x14ac:dyDescent="0.3">
      <c r="A584" s="107"/>
      <c r="B584" s="107"/>
      <c r="C584" s="107"/>
      <c r="D584" s="107"/>
      <c r="E584" s="107"/>
      <c r="F584" s="107"/>
      <c r="Z584" s="155"/>
      <c r="AA584" s="155"/>
      <c r="AB584" s="155"/>
      <c r="AC584" s="155"/>
      <c r="AD584" s="155"/>
      <c r="AE584" s="155"/>
      <c r="AF584" s="155"/>
      <c r="AG584" s="155"/>
      <c r="AH584" s="155"/>
      <c r="AI584" s="155"/>
      <c r="AJ584" s="155"/>
      <c r="AK584" s="155"/>
      <c r="AL584" s="155"/>
      <c r="AM584" s="155"/>
      <c r="AN584" s="155"/>
      <c r="AO584" s="155"/>
      <c r="AP584" s="155"/>
      <c r="AQ584" s="155"/>
      <c r="AR584" s="155"/>
      <c r="AS584" s="155"/>
    </row>
    <row r="585" spans="1:45" ht="12.6" customHeight="1" x14ac:dyDescent="0.3">
      <c r="A585" s="107"/>
      <c r="B585" s="107"/>
      <c r="C585" s="107"/>
      <c r="D585" s="107"/>
      <c r="E585" s="107"/>
      <c r="F585" s="107"/>
      <c r="Z585" s="155"/>
      <c r="AA585" s="155"/>
      <c r="AB585" s="155"/>
      <c r="AC585" s="155"/>
      <c r="AD585" s="155"/>
      <c r="AE585" s="155"/>
      <c r="AF585" s="155"/>
      <c r="AG585" s="155"/>
      <c r="AH585" s="155"/>
      <c r="AI585" s="155"/>
      <c r="AJ585" s="155"/>
      <c r="AK585" s="155"/>
      <c r="AL585" s="155"/>
      <c r="AM585" s="155"/>
      <c r="AN585" s="155"/>
      <c r="AO585" s="155"/>
      <c r="AP585" s="155"/>
      <c r="AQ585" s="155"/>
      <c r="AR585" s="155"/>
      <c r="AS585" s="155"/>
    </row>
    <row r="586" spans="1:45" ht="12.6" customHeight="1" x14ac:dyDescent="0.3">
      <c r="A586" s="107"/>
      <c r="B586" s="107"/>
      <c r="C586" s="107"/>
      <c r="D586" s="107"/>
      <c r="E586" s="107"/>
      <c r="F586" s="107"/>
      <c r="Z586" s="155"/>
      <c r="AA586" s="155"/>
      <c r="AB586" s="155"/>
      <c r="AC586" s="155"/>
      <c r="AD586" s="155"/>
      <c r="AE586" s="155"/>
      <c r="AF586" s="155"/>
      <c r="AG586" s="155"/>
      <c r="AH586" s="155"/>
      <c r="AI586" s="155"/>
      <c r="AJ586" s="155"/>
      <c r="AK586" s="155"/>
      <c r="AL586" s="155"/>
      <c r="AM586" s="155"/>
      <c r="AN586" s="155"/>
      <c r="AO586" s="155"/>
      <c r="AP586" s="155"/>
      <c r="AQ586" s="155"/>
      <c r="AR586" s="155"/>
      <c r="AS586" s="155"/>
    </row>
    <row r="587" spans="1:45" ht="12.6" customHeight="1" x14ac:dyDescent="0.3">
      <c r="A587" s="107"/>
      <c r="B587" s="107"/>
      <c r="C587" s="107"/>
      <c r="D587" s="107"/>
      <c r="E587" s="107"/>
      <c r="F587" s="107"/>
      <c r="Z587" s="155"/>
      <c r="AA587" s="155"/>
      <c r="AB587" s="155"/>
      <c r="AC587" s="155"/>
      <c r="AD587" s="155"/>
      <c r="AE587" s="155"/>
      <c r="AF587" s="155"/>
      <c r="AG587" s="155"/>
      <c r="AH587" s="155"/>
      <c r="AI587" s="155"/>
      <c r="AJ587" s="155"/>
      <c r="AK587" s="155"/>
      <c r="AL587" s="155"/>
      <c r="AM587" s="155"/>
      <c r="AN587" s="155"/>
      <c r="AO587" s="155"/>
      <c r="AP587" s="155"/>
      <c r="AQ587" s="155"/>
      <c r="AR587" s="155"/>
      <c r="AS587" s="155"/>
    </row>
    <row r="588" spans="1:45" ht="12.6" customHeight="1" x14ac:dyDescent="0.3">
      <c r="A588" s="107"/>
      <c r="B588" s="107"/>
      <c r="C588" s="107"/>
      <c r="D588" s="107"/>
      <c r="E588" s="107"/>
      <c r="F588" s="107"/>
      <c r="Z588" s="155"/>
      <c r="AA588" s="155"/>
      <c r="AB588" s="155"/>
      <c r="AC588" s="155"/>
      <c r="AD588" s="155"/>
      <c r="AE588" s="155"/>
      <c r="AF588" s="155"/>
      <c r="AG588" s="155"/>
      <c r="AH588" s="155"/>
      <c r="AI588" s="155"/>
      <c r="AJ588" s="155"/>
      <c r="AK588" s="155"/>
      <c r="AL588" s="155"/>
      <c r="AM588" s="155"/>
      <c r="AN588" s="155"/>
      <c r="AO588" s="155"/>
      <c r="AP588" s="155"/>
      <c r="AQ588" s="155"/>
      <c r="AR588" s="155"/>
      <c r="AS588" s="155"/>
    </row>
    <row r="589" spans="1:45" ht="12.6" customHeight="1" x14ac:dyDescent="0.3">
      <c r="A589" s="107"/>
      <c r="B589" s="107"/>
      <c r="C589" s="107"/>
      <c r="D589" s="107"/>
      <c r="E589" s="107"/>
      <c r="F589" s="107"/>
      <c r="Z589" s="155"/>
      <c r="AA589" s="155"/>
      <c r="AB589" s="155"/>
      <c r="AC589" s="155"/>
      <c r="AD589" s="155"/>
      <c r="AE589" s="155"/>
      <c r="AF589" s="155"/>
      <c r="AG589" s="155"/>
      <c r="AH589" s="155"/>
      <c r="AI589" s="155"/>
      <c r="AJ589" s="155"/>
      <c r="AK589" s="155"/>
      <c r="AL589" s="155"/>
      <c r="AM589" s="155"/>
      <c r="AN589" s="155"/>
      <c r="AO589" s="155"/>
      <c r="AP589" s="155"/>
      <c r="AQ589" s="155"/>
      <c r="AR589" s="155"/>
      <c r="AS589" s="155"/>
    </row>
    <row r="590" spans="1:45" ht="12.6" customHeight="1" x14ac:dyDescent="0.3">
      <c r="A590" s="107"/>
      <c r="B590" s="107"/>
      <c r="C590" s="107"/>
      <c r="D590" s="107"/>
      <c r="E590" s="107"/>
      <c r="F590" s="107"/>
      <c r="Z590" s="155"/>
      <c r="AA590" s="155"/>
      <c r="AB590" s="155"/>
      <c r="AC590" s="155"/>
      <c r="AD590" s="155"/>
      <c r="AE590" s="155"/>
      <c r="AF590" s="155"/>
      <c r="AG590" s="155"/>
      <c r="AH590" s="155"/>
      <c r="AI590" s="155"/>
      <c r="AJ590" s="155"/>
      <c r="AK590" s="155"/>
      <c r="AL590" s="155"/>
      <c r="AM590" s="155"/>
      <c r="AN590" s="155"/>
      <c r="AO590" s="155"/>
      <c r="AP590" s="155"/>
      <c r="AQ590" s="155"/>
      <c r="AR590" s="155"/>
      <c r="AS590" s="155"/>
    </row>
    <row r="591" spans="1:45" ht="12.6" customHeight="1" x14ac:dyDescent="0.3">
      <c r="A591" s="107"/>
      <c r="B591" s="107"/>
      <c r="C591" s="107"/>
      <c r="D591" s="107"/>
      <c r="E591" s="107"/>
      <c r="F591" s="107"/>
      <c r="Z591" s="155"/>
      <c r="AA591" s="155"/>
      <c r="AB591" s="155"/>
      <c r="AC591" s="155"/>
      <c r="AD591" s="155"/>
      <c r="AE591" s="155"/>
      <c r="AF591" s="155"/>
      <c r="AG591" s="155"/>
      <c r="AH591" s="155"/>
      <c r="AI591" s="155"/>
      <c r="AJ591" s="155"/>
      <c r="AK591" s="155"/>
      <c r="AL591" s="155"/>
      <c r="AM591" s="155"/>
      <c r="AN591" s="155"/>
      <c r="AO591" s="155"/>
      <c r="AP591" s="155"/>
      <c r="AQ591" s="155"/>
      <c r="AR591" s="155"/>
      <c r="AS591" s="155"/>
    </row>
    <row r="592" spans="1:45" ht="12.6" customHeight="1" x14ac:dyDescent="0.3">
      <c r="A592" s="123"/>
      <c r="B592" s="123"/>
      <c r="C592" s="123"/>
      <c r="D592" s="123"/>
      <c r="E592" s="123"/>
      <c r="F592" s="123"/>
      <c r="Z592" s="155"/>
      <c r="AA592" s="155"/>
      <c r="AB592" s="155"/>
      <c r="AC592" s="155"/>
      <c r="AD592" s="155"/>
      <c r="AE592" s="155"/>
      <c r="AF592" s="155"/>
      <c r="AG592" s="155"/>
      <c r="AH592" s="155"/>
      <c r="AI592" s="155"/>
      <c r="AJ592" s="155"/>
      <c r="AK592" s="155"/>
      <c r="AL592" s="155"/>
      <c r="AM592" s="155"/>
      <c r="AN592" s="155"/>
      <c r="AO592" s="155"/>
      <c r="AP592" s="155"/>
      <c r="AQ592" s="155"/>
      <c r="AR592" s="155"/>
      <c r="AS592" s="155"/>
    </row>
    <row r="593" spans="1:45" ht="12.6" customHeight="1" x14ac:dyDescent="0.3">
      <c r="A593" s="193" t="s">
        <v>1107</v>
      </c>
      <c r="B593" s="194"/>
      <c r="C593" s="99">
        <f>E593+D593+F593</f>
        <v>18828</v>
      </c>
      <c r="D593" s="12">
        <v>0</v>
      </c>
      <c r="E593" s="13">
        <v>0</v>
      </c>
      <c r="F593" s="99">
        <f>ROUNDDOWN(SUMIF(N458:N558,M593,E458:E558),0)+ROUNDDOWN(SUMIF(N458:N558,M593,D458:D558),0)+ROUNDDOWN(SUMIF(N458:N558,M593,F458:F558),0)</f>
        <v>18828</v>
      </c>
      <c r="M593" s="34" t="s">
        <v>768</v>
      </c>
      <c r="N593" s="34" t="s">
        <v>770</v>
      </c>
      <c r="Z593" s="155"/>
      <c r="AA593" s="155"/>
      <c r="AB593" s="155"/>
      <c r="AC593" s="155"/>
      <c r="AD593" s="155"/>
      <c r="AE593" s="155"/>
      <c r="AF593" s="155"/>
      <c r="AG593" s="155"/>
      <c r="AH593" s="155"/>
      <c r="AI593" s="155"/>
      <c r="AJ593" s="155"/>
      <c r="AK593" s="155"/>
      <c r="AL593" s="155"/>
      <c r="AM593" s="155"/>
      <c r="AN593" s="155"/>
      <c r="AO593" s="155"/>
      <c r="AP593" s="155"/>
      <c r="AQ593" s="155"/>
      <c r="AR593" s="155"/>
      <c r="AS593" s="155"/>
    </row>
    <row r="594" spans="1:45" ht="12.6" customHeight="1" x14ac:dyDescent="0.3">
      <c r="A594" s="193" t="s">
        <v>1046</v>
      </c>
      <c r="B594" s="194"/>
      <c r="C594" s="99">
        <f>E594+D594+F594</f>
        <v>16568</v>
      </c>
      <c r="D594" s="121">
        <f>ROUNDDOWN(D593*H594/100,0)</f>
        <v>0</v>
      </c>
      <c r="E594" s="120">
        <f>ROUNDDOWN(E593*H594/100,0)</f>
        <v>0</v>
      </c>
      <c r="F594" s="99">
        <f>ROUNDDOWN(F593*H594/100,0)</f>
        <v>16568</v>
      </c>
      <c r="H594" s="35">
        <v>88</v>
      </c>
      <c r="M594" s="34" t="s">
        <v>770</v>
      </c>
      <c r="Z594" s="155"/>
      <c r="AA594" s="155"/>
      <c r="AB594" s="155"/>
      <c r="AC594" s="155"/>
      <c r="AD594" s="155"/>
      <c r="AE594" s="155"/>
      <c r="AF594" s="155"/>
      <c r="AG594" s="155"/>
      <c r="AH594" s="155"/>
      <c r="AI594" s="155"/>
      <c r="AJ594" s="155"/>
      <c r="AK594" s="155"/>
      <c r="AL594" s="155"/>
      <c r="AM594" s="155"/>
      <c r="AN594" s="155"/>
      <c r="AO594" s="155"/>
      <c r="AP594" s="155"/>
      <c r="AQ594" s="155"/>
      <c r="AR594" s="155"/>
      <c r="AS594" s="155"/>
    </row>
    <row r="595" spans="1:45" ht="12.6" customHeight="1" x14ac:dyDescent="0.3">
      <c r="A595" s="144" t="s">
        <v>70</v>
      </c>
      <c r="B595" s="145" t="s">
        <v>70</v>
      </c>
      <c r="C595" s="232">
        <f>C628</f>
        <v>137</v>
      </c>
      <c r="D595" s="232">
        <f>D628</f>
        <v>80</v>
      </c>
      <c r="E595" s="232">
        <f>E628</f>
        <v>24</v>
      </c>
      <c r="F595" s="232">
        <f>F628</f>
        <v>33</v>
      </c>
      <c r="G595" s="141" t="str">
        <f>HYPERLINK("#G"&amp;ROW(G615),"_x0005_`BDCOD|D01441_x0007_`POSS|"&amp;ROW(G597)&amp;"_x0007_`POSE|"&amp;ROW(G615)&amp;"_x0007_`")</f>
        <v>_x0005_`BDCOD|D01441_x0007_`POSS|597_x0007_`POSE|615_x0007_`</v>
      </c>
      <c r="Z595" s="155"/>
      <c r="AA595" s="155"/>
      <c r="AB595" s="155"/>
      <c r="AC595" s="155"/>
      <c r="AD595" s="155"/>
      <c r="AE595" s="155"/>
      <c r="AF595" s="155"/>
      <c r="AG595" s="155"/>
      <c r="AH595" s="155"/>
      <c r="AI595" s="155"/>
      <c r="AJ595" s="155"/>
      <c r="AK595" s="155"/>
      <c r="AL595" s="155"/>
      <c r="AM595" s="155"/>
      <c r="AN595" s="155"/>
      <c r="AO595" s="155"/>
      <c r="AP595" s="155"/>
      <c r="AQ595" s="155"/>
      <c r="AR595" s="155"/>
      <c r="AS595" s="155"/>
    </row>
    <row r="596" spans="1:45" ht="12.6" customHeight="1" x14ac:dyDescent="0.3">
      <c r="A596" s="124"/>
      <c r="B596" s="145" t="s">
        <v>69</v>
      </c>
      <c r="C596" s="189"/>
      <c r="D596" s="189"/>
      <c r="E596" s="189"/>
      <c r="F596" s="189"/>
      <c r="M596" s="34" t="s">
        <v>1108</v>
      </c>
      <c r="Z596" s="155"/>
      <c r="AA596" s="155"/>
      <c r="AB596" s="155"/>
      <c r="AC596" s="155"/>
      <c r="AD596" s="155"/>
      <c r="AE596" s="155"/>
      <c r="AF596" s="155"/>
      <c r="AG596" s="155"/>
      <c r="AH596" s="155"/>
      <c r="AI596" s="155"/>
      <c r="AJ596" s="155"/>
      <c r="AK596" s="155"/>
      <c r="AL596" s="155"/>
      <c r="AM596" s="155"/>
      <c r="AN596" s="155"/>
      <c r="AO596" s="155"/>
      <c r="AP596" s="155"/>
      <c r="AQ596" s="155"/>
      <c r="AR596" s="155"/>
      <c r="AS596" s="155"/>
    </row>
    <row r="597" spans="1:45" ht="12.6" customHeight="1" x14ac:dyDescent="0.3">
      <c r="A597" s="84"/>
      <c r="B597" s="41" t="s">
        <v>1110</v>
      </c>
      <c r="C597" s="147"/>
      <c r="D597" s="147"/>
      <c r="E597" s="147"/>
      <c r="F597" s="147"/>
      <c r="G597" s="17" t="s">
        <v>1109</v>
      </c>
      <c r="Z597" s="155"/>
      <c r="AA597" s="155"/>
      <c r="AB597" s="155"/>
      <c r="AC597" s="155"/>
      <c r="AD597" s="155"/>
      <c r="AE597" s="155"/>
      <c r="AF597" s="155"/>
      <c r="AG597" s="155"/>
      <c r="AH597" s="155"/>
      <c r="AI597" s="155"/>
      <c r="AJ597" s="155"/>
      <c r="AK597" s="155"/>
      <c r="AL597" s="155"/>
      <c r="AM597" s="155"/>
      <c r="AN597" s="155"/>
      <c r="AO597" s="155"/>
      <c r="AP597" s="155"/>
      <c r="AQ597" s="155"/>
      <c r="AR597" s="155"/>
      <c r="AS597" s="155"/>
    </row>
    <row r="598" spans="1:45" ht="12.6" customHeight="1" x14ac:dyDescent="0.3">
      <c r="A598" s="107"/>
      <c r="B598" s="107"/>
      <c r="C598" s="107"/>
      <c r="D598" s="107"/>
      <c r="E598" s="107"/>
      <c r="F598" s="107"/>
      <c r="G598" s="17" t="s">
        <v>848</v>
      </c>
      <c r="Z598" s="155"/>
      <c r="AA598" s="155"/>
      <c r="AB598" s="155"/>
      <c r="AC598" s="155"/>
      <c r="AD598" s="155"/>
      <c r="AE598" s="155"/>
      <c r="AF598" s="155"/>
      <c r="AG598" s="155"/>
      <c r="AH598" s="155"/>
      <c r="AI598" s="155"/>
      <c r="AJ598" s="155"/>
      <c r="AK598" s="155"/>
      <c r="AL598" s="155"/>
      <c r="AM598" s="155"/>
      <c r="AN598" s="155"/>
      <c r="AO598" s="155"/>
      <c r="AP598" s="155"/>
      <c r="AQ598" s="155"/>
      <c r="AR598" s="155"/>
      <c r="AS598" s="155"/>
    </row>
    <row r="599" spans="1:45" ht="12.6" customHeight="1" x14ac:dyDescent="0.3">
      <c r="A599" s="84"/>
      <c r="B599" s="41" t="s">
        <v>1112</v>
      </c>
      <c r="C599" s="107"/>
      <c r="D599" s="107"/>
      <c r="E599" s="107"/>
      <c r="F599" s="107"/>
      <c r="G599" s="17" t="s">
        <v>1111</v>
      </c>
      <c r="Z599" s="155"/>
      <c r="AA599" s="155"/>
      <c r="AB599" s="155"/>
      <c r="AC599" s="155"/>
      <c r="AD599" s="155"/>
      <c r="AE599" s="155"/>
      <c r="AF599" s="155"/>
      <c r="AG599" s="155"/>
      <c r="AH599" s="155"/>
      <c r="AI599" s="155"/>
      <c r="AJ599" s="155"/>
      <c r="AK599" s="155"/>
      <c r="AL599" s="155"/>
      <c r="AM599" s="155"/>
      <c r="AN599" s="155"/>
      <c r="AO599" s="155"/>
      <c r="AP599" s="155"/>
      <c r="AQ599" s="155"/>
      <c r="AR599" s="155"/>
      <c r="AS599" s="155"/>
    </row>
    <row r="600" spans="1:45" ht="12.6" customHeight="1" x14ac:dyDescent="0.3">
      <c r="A600" s="107"/>
      <c r="B600" s="107"/>
      <c r="C600" s="107"/>
      <c r="D600" s="107"/>
      <c r="E600" s="107"/>
      <c r="F600" s="107"/>
      <c r="G600" s="17" t="s">
        <v>848</v>
      </c>
      <c r="Z600" s="155"/>
      <c r="AA600" s="155"/>
      <c r="AB600" s="155"/>
      <c r="AC600" s="155"/>
      <c r="AD600" s="155"/>
      <c r="AE600" s="155"/>
      <c r="AF600" s="155"/>
      <c r="AG600" s="155"/>
      <c r="AH600" s="155"/>
      <c r="AI600" s="155"/>
      <c r="AJ600" s="155"/>
      <c r="AK600" s="155"/>
      <c r="AL600" s="155"/>
      <c r="AM600" s="155"/>
      <c r="AN600" s="155"/>
      <c r="AO600" s="155"/>
      <c r="AP600" s="155"/>
      <c r="AQ600" s="155"/>
      <c r="AR600" s="155"/>
      <c r="AS600" s="155"/>
    </row>
    <row r="601" spans="1:45" ht="12.6" customHeight="1" x14ac:dyDescent="0.3">
      <c r="A601" s="84"/>
      <c r="B601" s="41" t="s">
        <v>1114</v>
      </c>
      <c r="C601" s="107"/>
      <c r="D601" s="107"/>
      <c r="E601" s="107"/>
      <c r="F601" s="107"/>
      <c r="G601" s="17" t="s">
        <v>1113</v>
      </c>
      <c r="Z601" s="155"/>
      <c r="AA601" s="155"/>
      <c r="AB601" s="155"/>
      <c r="AC601" s="155"/>
      <c r="AD601" s="155"/>
      <c r="AE601" s="155"/>
      <c r="AF601" s="155"/>
      <c r="AG601" s="155"/>
      <c r="AH601" s="155"/>
      <c r="AI601" s="155"/>
      <c r="AJ601" s="155"/>
      <c r="AK601" s="155"/>
      <c r="AL601" s="155"/>
      <c r="AM601" s="155"/>
      <c r="AN601" s="155"/>
      <c r="AO601" s="155"/>
      <c r="AP601" s="155"/>
      <c r="AQ601" s="155"/>
      <c r="AR601" s="155"/>
      <c r="AS601" s="155"/>
    </row>
    <row r="602" spans="1:45" ht="12.6" customHeight="1" x14ac:dyDescent="0.3">
      <c r="A602" s="107"/>
      <c r="B602" s="107"/>
      <c r="C602" s="107"/>
      <c r="D602" s="107"/>
      <c r="E602" s="107"/>
      <c r="F602" s="107"/>
      <c r="G602" s="17" t="s">
        <v>848</v>
      </c>
      <c r="Z602" s="155"/>
      <c r="AA602" s="155"/>
      <c r="AB602" s="155"/>
      <c r="AC602" s="155"/>
      <c r="AD602" s="155"/>
      <c r="AE602" s="155"/>
      <c r="AF602" s="155"/>
      <c r="AG602" s="155"/>
      <c r="AH602" s="155"/>
      <c r="AI602" s="155"/>
      <c r="AJ602" s="155"/>
      <c r="AK602" s="155"/>
      <c r="AL602" s="155"/>
      <c r="AM602" s="155"/>
      <c r="AN602" s="155"/>
      <c r="AO602" s="155"/>
      <c r="AP602" s="155"/>
      <c r="AQ602" s="155"/>
      <c r="AR602" s="155"/>
      <c r="AS602" s="155"/>
    </row>
    <row r="603" spans="1:45" ht="12.6" customHeight="1" x14ac:dyDescent="0.3">
      <c r="A603" s="84"/>
      <c r="B603" s="41" t="str">
        <f>"q (버킷용량)  = "&amp;Z603&amp;" , f (체적환산계수)  = "&amp;AD603&amp;" , K (버킷계수)  = "&amp;AH603&amp;""</f>
        <v>q (버킷용량)  = 0.7 , f (체적환산계수)  = 1 , K (버킷계수)  = 0.9</v>
      </c>
      <c r="C603" s="107"/>
      <c r="D603" s="107"/>
      <c r="E603" s="107"/>
      <c r="F603" s="107"/>
      <c r="G603" s="17" t="s">
        <v>1115</v>
      </c>
      <c r="Z603" s="156">
        <v>0.7</v>
      </c>
      <c r="AA603" s="34" t="s">
        <v>871</v>
      </c>
      <c r="AB603" s="158">
        <f>Z603</f>
        <v>0.7</v>
      </c>
      <c r="AC603" s="159" t="s">
        <v>872</v>
      </c>
      <c r="AD603" s="157">
        <v>1</v>
      </c>
      <c r="AE603" s="34" t="s">
        <v>871</v>
      </c>
      <c r="AF603" s="158">
        <f>AD603</f>
        <v>1</v>
      </c>
      <c r="AG603" s="159" t="s">
        <v>872</v>
      </c>
      <c r="AH603" s="156">
        <v>0.9</v>
      </c>
      <c r="AI603" s="34" t="s">
        <v>871</v>
      </c>
      <c r="AJ603" s="158">
        <f>AH603</f>
        <v>0.9</v>
      </c>
      <c r="AK603" s="155"/>
      <c r="AL603" s="155"/>
      <c r="AM603" s="155"/>
      <c r="AN603" s="155"/>
      <c r="AO603" s="155"/>
      <c r="AP603" s="155"/>
      <c r="AQ603" s="155"/>
      <c r="AR603" s="155"/>
      <c r="AS603" s="155"/>
    </row>
    <row r="604" spans="1:45" ht="12.6" customHeight="1" x14ac:dyDescent="0.3">
      <c r="A604" s="107"/>
      <c r="B604" s="107"/>
      <c r="C604" s="107"/>
      <c r="D604" s="107"/>
      <c r="E604" s="107"/>
      <c r="F604" s="107"/>
      <c r="G604" s="17" t="s">
        <v>848</v>
      </c>
      <c r="Z604" s="155"/>
      <c r="AA604" s="155"/>
      <c r="AB604" s="155"/>
      <c r="AC604" s="155"/>
      <c r="AD604" s="155"/>
      <c r="AE604" s="155"/>
      <c r="AF604" s="155"/>
      <c r="AG604" s="155"/>
      <c r="AH604" s="155"/>
      <c r="AI604" s="155"/>
      <c r="AJ604" s="155"/>
      <c r="AK604" s="155"/>
      <c r="AL604" s="155"/>
      <c r="AM604" s="155"/>
      <c r="AN604" s="155"/>
      <c r="AO604" s="155"/>
      <c r="AP604" s="155"/>
      <c r="AQ604" s="155"/>
      <c r="AR604" s="155"/>
      <c r="AS604" s="155"/>
    </row>
    <row r="605" spans="1:45" ht="12.6" customHeight="1" x14ac:dyDescent="0.3">
      <c r="A605" s="84"/>
      <c r="B605" s="41" t="str">
        <f>"Cm (사이클 시간)  = "&amp;Z605&amp;" sec (135˚) , E (작업효율)  = "&amp;AD605&amp;""</f>
        <v>Cm (사이클 시간)  = 20 sec (135˚) , E (작업효율)  = 0.55</v>
      </c>
      <c r="C605" s="107"/>
      <c r="D605" s="107"/>
      <c r="E605" s="107"/>
      <c r="F605" s="107"/>
      <c r="G605" s="17" t="s">
        <v>1116</v>
      </c>
      <c r="Z605" s="157">
        <v>20</v>
      </c>
      <c r="AA605" s="34" t="s">
        <v>871</v>
      </c>
      <c r="AB605" s="158">
        <f>Z605</f>
        <v>20</v>
      </c>
      <c r="AC605" s="159" t="s">
        <v>872</v>
      </c>
      <c r="AD605" s="156">
        <v>0.55000000000000004</v>
      </c>
      <c r="AE605" s="34" t="s">
        <v>871</v>
      </c>
      <c r="AF605" s="158">
        <f>AD605</f>
        <v>0.55000000000000004</v>
      </c>
      <c r="AG605" s="155"/>
      <c r="AH605" s="155"/>
      <c r="AI605" s="155"/>
      <c r="AJ605" s="155"/>
      <c r="AK605" s="155"/>
      <c r="AL605" s="155"/>
      <c r="AM605" s="155"/>
      <c r="AN605" s="155"/>
      <c r="AO605" s="155"/>
      <c r="AP605" s="155"/>
      <c r="AQ605" s="155"/>
      <c r="AR605" s="155"/>
      <c r="AS605" s="155"/>
    </row>
    <row r="606" spans="1:45" ht="12.6" customHeight="1" x14ac:dyDescent="0.3">
      <c r="A606" s="107"/>
      <c r="B606" s="107"/>
      <c r="C606" s="107"/>
      <c r="D606" s="107"/>
      <c r="E606" s="107"/>
      <c r="F606" s="107"/>
      <c r="G606" s="17" t="s">
        <v>848</v>
      </c>
      <c r="Z606" s="155"/>
      <c r="AA606" s="155"/>
      <c r="AB606" s="155"/>
      <c r="AC606" s="155"/>
      <c r="AD606" s="155"/>
      <c r="AE606" s="155"/>
      <c r="AF606" s="155"/>
      <c r="AG606" s="155"/>
      <c r="AH606" s="155"/>
      <c r="AI606" s="155"/>
      <c r="AJ606" s="155"/>
      <c r="AK606" s="155"/>
      <c r="AL606" s="155"/>
      <c r="AM606" s="155"/>
      <c r="AN606" s="155"/>
      <c r="AO606" s="155"/>
      <c r="AP606" s="155"/>
      <c r="AQ606" s="155"/>
      <c r="AR606" s="155"/>
      <c r="AS606" s="155"/>
    </row>
    <row r="607" spans="1:45" ht="12.6" customHeight="1" x14ac:dyDescent="0.3">
      <c r="A607" s="84"/>
      <c r="B607" s="41" t="str">
        <f>"Q (시간당 작업량)  = "&amp;Z607&amp;"*q*K*f*E/Cm = "&amp;AL607&amp;" m3/hr "</f>
        <v xml:space="preserve">Q (시간당 작업량)  = 3600*q*K*f*E/Cm = 62.37 m3/hr </v>
      </c>
      <c r="C607" s="107"/>
      <c r="D607" s="107"/>
      <c r="E607" s="107"/>
      <c r="F607" s="107"/>
      <c r="G607" s="17" t="s">
        <v>1117</v>
      </c>
      <c r="Z607" s="157">
        <v>3600</v>
      </c>
      <c r="AA607" s="34" t="s">
        <v>876</v>
      </c>
      <c r="AB607" s="158">
        <f>AB603</f>
        <v>0.7</v>
      </c>
      <c r="AC607" s="34" t="s">
        <v>876</v>
      </c>
      <c r="AD607" s="158">
        <f>AJ603</f>
        <v>0.9</v>
      </c>
      <c r="AE607" s="34" t="s">
        <v>876</v>
      </c>
      <c r="AF607" s="158">
        <f>AF603</f>
        <v>1</v>
      </c>
      <c r="AG607" s="34" t="s">
        <v>876</v>
      </c>
      <c r="AH607" s="158">
        <f>AF605</f>
        <v>0.55000000000000004</v>
      </c>
      <c r="AI607" s="34" t="s">
        <v>873</v>
      </c>
      <c r="AJ607" s="158">
        <f>AB605</f>
        <v>20</v>
      </c>
      <c r="AK607" s="34" t="s">
        <v>871</v>
      </c>
      <c r="AL607" s="158" t="str">
        <f>TEXT(ROUND(Z607*AB603*AJ603*AF603*AF605/AB605,2),"#,0.00")</f>
        <v>62.37</v>
      </c>
      <c r="AM607" s="155"/>
      <c r="AN607" s="155"/>
      <c r="AO607" s="155"/>
      <c r="AP607" s="155"/>
      <c r="AQ607" s="155"/>
      <c r="AR607" s="155"/>
      <c r="AS607" s="155"/>
    </row>
    <row r="608" spans="1:45" ht="12.6" customHeight="1" x14ac:dyDescent="0.3">
      <c r="A608" s="107"/>
      <c r="B608" s="107"/>
      <c r="C608" s="107"/>
      <c r="D608" s="107"/>
      <c r="E608" s="107"/>
      <c r="F608" s="107"/>
      <c r="G608" s="17" t="s">
        <v>848</v>
      </c>
      <c r="Z608" s="155"/>
      <c r="AA608" s="155"/>
      <c r="AB608" s="155"/>
      <c r="AC608" s="155"/>
      <c r="AD608" s="155"/>
      <c r="AE608" s="155"/>
      <c r="AF608" s="155"/>
      <c r="AG608" s="155"/>
      <c r="AH608" s="155"/>
      <c r="AI608" s="155"/>
      <c r="AJ608" s="155"/>
      <c r="AK608" s="155"/>
      <c r="AL608" s="155"/>
      <c r="AM608" s="155"/>
      <c r="AN608" s="155"/>
      <c r="AO608" s="155"/>
      <c r="AP608" s="155"/>
      <c r="AQ608" s="155"/>
      <c r="AR608" s="155"/>
      <c r="AS608" s="155"/>
    </row>
    <row r="609" spans="1:45" ht="12.6" customHeight="1" x14ac:dyDescent="0.3">
      <c r="A609" s="84" t="s">
        <v>1119</v>
      </c>
      <c r="B609" s="146" t="str">
        <f>" 노 무 비  : "&amp;TEXT(I609,"#,##0"&amp;IF(I609&lt;&gt;INT(I609),".###",""))&amp;" / Q * "&amp;AC609&amp;" * "&amp;AE609&amp;" = "&amp;TEXT(C609,"#,##0.0")&amp;""</f>
        <v xml:space="preserve"> 노 무 비  : 57,077 / Q * 0.1 * 1 = 91.5</v>
      </c>
      <c r="C609" s="148">
        <f>E609+D609+F609</f>
        <v>91.5</v>
      </c>
      <c r="D609" s="148">
        <f>IF(H609=0,0,ROUNDDOWN(J609*H609,1))</f>
        <v>91.5</v>
      </c>
      <c r="E609" s="148">
        <f>IF(H609=0,0,ROUNDDOWN(K609*H609,1))</f>
        <v>0</v>
      </c>
      <c r="F609" s="148">
        <f>IF(H609=0,0,ROUNDDOWN(L609*H609,1))</f>
        <v>0</v>
      </c>
      <c r="G609" s="17" t="s">
        <v>1118</v>
      </c>
      <c r="H609" s="152">
        <f>ROUNDUP(AG609,14-LEN(ABS(INT(AG609))))</f>
        <v>1.6033349367E-3</v>
      </c>
      <c r="I609" s="153">
        <f>K609+J609+L609</f>
        <v>57077</v>
      </c>
      <c r="J609" s="37">
        <f>중기목록표!F5</f>
        <v>57077</v>
      </c>
      <c r="M609" s="34" t="s">
        <v>1120</v>
      </c>
      <c r="N609" s="34" t="s">
        <v>886</v>
      </c>
      <c r="X609" s="154" t="str">
        <f>중기목록표!B5&amp;" / "&amp;중기목록표!C5</f>
        <v>굴착기(무한궤도) / 0.7㎥</v>
      </c>
      <c r="Y609" s="3" t="str">
        <f ca="1">HYPERLINK("#"&amp;중기목록표!J2&amp;"!A"&amp;ROW(중기목록표!A5),"X00005 →")</f>
        <v>X00005 →</v>
      </c>
      <c r="Z609" s="34" t="s">
        <v>879</v>
      </c>
      <c r="AA609" s="158" t="str">
        <f>AL607</f>
        <v>62.37</v>
      </c>
      <c r="AB609" s="34" t="s">
        <v>876</v>
      </c>
      <c r="AC609" s="156">
        <v>0.1</v>
      </c>
      <c r="AD609" s="34" t="s">
        <v>876</v>
      </c>
      <c r="AE609" s="157">
        <v>1</v>
      </c>
      <c r="AF609" s="34" t="s">
        <v>871</v>
      </c>
      <c r="AG609" s="158">
        <f>1/AL607*AC609*AE609</f>
        <v>1.6033349366682702E-3</v>
      </c>
      <c r="AH609" s="155"/>
      <c r="AI609" s="155"/>
      <c r="AJ609" s="155"/>
      <c r="AK609" s="155"/>
      <c r="AL609" s="155"/>
      <c r="AM609" s="155"/>
      <c r="AN609" s="155"/>
      <c r="AO609" s="155"/>
      <c r="AP609" s="155"/>
      <c r="AQ609" s="155"/>
      <c r="AR609" s="155"/>
      <c r="AS609" s="155"/>
    </row>
    <row r="610" spans="1:45" ht="12.6" customHeight="1" x14ac:dyDescent="0.3">
      <c r="A610" s="107"/>
      <c r="B610" s="107"/>
      <c r="C610" s="107"/>
      <c r="D610" s="107"/>
      <c r="E610" s="107"/>
      <c r="F610" s="107"/>
      <c r="G610" s="17" t="s">
        <v>848</v>
      </c>
      <c r="Z610" s="155"/>
      <c r="AA610" s="155"/>
      <c r="AB610" s="155"/>
      <c r="AC610" s="155"/>
      <c r="AD610" s="155"/>
      <c r="AE610" s="155"/>
      <c r="AF610" s="155"/>
      <c r="AG610" s="155"/>
      <c r="AH610" s="155"/>
      <c r="AI610" s="155"/>
      <c r="AJ610" s="155"/>
      <c r="AK610" s="155"/>
      <c r="AL610" s="155"/>
      <c r="AM610" s="155"/>
      <c r="AN610" s="155"/>
      <c r="AO610" s="155"/>
      <c r="AP610" s="155"/>
      <c r="AQ610" s="155"/>
      <c r="AR610" s="155"/>
      <c r="AS610" s="155"/>
    </row>
    <row r="611" spans="1:45" ht="12.6" customHeight="1" x14ac:dyDescent="0.3">
      <c r="A611" s="84" t="s">
        <v>1122</v>
      </c>
      <c r="B611" s="146" t="str">
        <f>" 재 료 비  : "&amp;TEXT(I611,"#,##0"&amp;IF(I611&lt;&gt;INT(I611),".###",""))&amp;" / Q * "&amp;AC611&amp;" * "&amp;AE611&amp;" = "&amp;TEXT(C611,"#,##0.0")&amp;""</f>
        <v xml:space="preserve"> 재 료 비  : 17,845 / Q * 0.1 * 1 = 28.6</v>
      </c>
      <c r="C611" s="148">
        <f>E611+D611+F611</f>
        <v>28.6</v>
      </c>
      <c r="D611" s="148">
        <f>IF(H611=0,0,ROUNDDOWN(J611*H611,1))</f>
        <v>0</v>
      </c>
      <c r="E611" s="148">
        <f>IF(H611=0,0,ROUNDDOWN(K611*H611,1))</f>
        <v>28.6</v>
      </c>
      <c r="F611" s="148">
        <f>IF(H611=0,0,ROUNDDOWN(L611*H611,1))</f>
        <v>0</v>
      </c>
      <c r="G611" s="17" t="s">
        <v>1121</v>
      </c>
      <c r="H611" s="152">
        <f>ROUNDUP(AG611,14-LEN(ABS(INT(AG611))))</f>
        <v>1.6033349367E-3</v>
      </c>
      <c r="I611" s="153">
        <f>K611+J611+L611</f>
        <v>17845</v>
      </c>
      <c r="K611" s="37">
        <f>중기목록표!G5</f>
        <v>17845</v>
      </c>
      <c r="M611" s="34" t="s">
        <v>1120</v>
      </c>
      <c r="N611" s="34" t="s">
        <v>886</v>
      </c>
      <c r="X611" s="154" t="str">
        <f>중기목록표!B5&amp;" / "&amp;중기목록표!C5</f>
        <v>굴착기(무한궤도) / 0.7㎥</v>
      </c>
      <c r="Y611" s="3" t="str">
        <f ca="1">HYPERLINK("#"&amp;중기목록표!J2&amp;"!A"&amp;ROW(중기목록표!A5),"X00005 →")</f>
        <v>X00005 →</v>
      </c>
      <c r="Z611" s="34" t="s">
        <v>879</v>
      </c>
      <c r="AA611" s="158" t="str">
        <f>AL607</f>
        <v>62.37</v>
      </c>
      <c r="AB611" s="34" t="s">
        <v>876</v>
      </c>
      <c r="AC611" s="156">
        <v>0.1</v>
      </c>
      <c r="AD611" s="34" t="s">
        <v>876</v>
      </c>
      <c r="AE611" s="157">
        <v>1</v>
      </c>
      <c r="AF611" s="34" t="s">
        <v>871</v>
      </c>
      <c r="AG611" s="158">
        <f>1/AL607*AC611*AE611</f>
        <v>1.6033349366682702E-3</v>
      </c>
      <c r="AH611" s="155"/>
      <c r="AI611" s="155"/>
      <c r="AJ611" s="155"/>
      <c r="AK611" s="155"/>
      <c r="AL611" s="155"/>
      <c r="AM611" s="155"/>
      <c r="AN611" s="155"/>
      <c r="AO611" s="155"/>
      <c r="AP611" s="155"/>
      <c r="AQ611" s="155"/>
      <c r="AR611" s="155"/>
      <c r="AS611" s="155"/>
    </row>
    <row r="612" spans="1:45" ht="12.6" customHeight="1" x14ac:dyDescent="0.3">
      <c r="A612" s="107"/>
      <c r="B612" s="107"/>
      <c r="C612" s="107"/>
      <c r="D612" s="107"/>
      <c r="E612" s="107"/>
      <c r="F612" s="107"/>
      <c r="G612" s="17" t="s">
        <v>848</v>
      </c>
      <c r="Z612" s="155"/>
      <c r="AA612" s="155"/>
      <c r="AB612" s="155"/>
      <c r="AC612" s="155"/>
      <c r="AD612" s="155"/>
      <c r="AE612" s="155"/>
      <c r="AF612" s="155"/>
      <c r="AG612" s="155"/>
      <c r="AH612" s="155"/>
      <c r="AI612" s="155"/>
      <c r="AJ612" s="155"/>
      <c r="AK612" s="155"/>
      <c r="AL612" s="155"/>
      <c r="AM612" s="155"/>
      <c r="AN612" s="155"/>
      <c r="AO612" s="155"/>
      <c r="AP612" s="155"/>
      <c r="AQ612" s="155"/>
      <c r="AR612" s="155"/>
      <c r="AS612" s="155"/>
    </row>
    <row r="613" spans="1:45" ht="12.6" customHeight="1" x14ac:dyDescent="0.3">
      <c r="A613" s="84" t="s">
        <v>1124</v>
      </c>
      <c r="B613" s="146" t="str">
        <f>" 경    비  : "&amp;TEXT(I613,"#,##0"&amp;IF(I613&lt;&gt;INT(I613),".###",""))&amp;" / Q * "&amp;AC613&amp;" * "&amp;AE613&amp;" = "&amp;TEXT(C613,"#,##0.0")&amp;""</f>
        <v xml:space="preserve"> 경    비  : 24,001 / Q * 0.1 * 1 = 38.4</v>
      </c>
      <c r="C613" s="148">
        <f>E613+D613+F613</f>
        <v>38.4</v>
      </c>
      <c r="D613" s="148">
        <f>IF(H613=0,0,ROUNDDOWN(J613*H613,1))</f>
        <v>0</v>
      </c>
      <c r="E613" s="148">
        <f>IF(H613=0,0,ROUNDDOWN(K613*H613,1))</f>
        <v>0</v>
      </c>
      <c r="F613" s="148">
        <f>IF(H613=0,0,ROUNDDOWN(L613*H613,1))</f>
        <v>38.4</v>
      </c>
      <c r="G613" s="17" t="s">
        <v>1123</v>
      </c>
      <c r="H613" s="152">
        <f>ROUNDUP(AG613,14-LEN(ABS(INT(AG613))))</f>
        <v>1.6033349367E-3</v>
      </c>
      <c r="I613" s="153">
        <f>K613+J613+L613</f>
        <v>24001</v>
      </c>
      <c r="L613" s="37">
        <f>중기목록표!H5</f>
        <v>24001</v>
      </c>
      <c r="M613" s="34" t="s">
        <v>1120</v>
      </c>
      <c r="N613" s="34" t="s">
        <v>886</v>
      </c>
      <c r="X613" s="154" t="str">
        <f>중기목록표!B5&amp;" / "&amp;중기목록표!C5</f>
        <v>굴착기(무한궤도) / 0.7㎥</v>
      </c>
      <c r="Y613" s="3" t="str">
        <f ca="1">HYPERLINK("#"&amp;중기목록표!J2&amp;"!A"&amp;ROW(중기목록표!A5),"X00005 →")</f>
        <v>X00005 →</v>
      </c>
      <c r="Z613" s="34" t="s">
        <v>879</v>
      </c>
      <c r="AA613" s="158" t="str">
        <f>AL607</f>
        <v>62.37</v>
      </c>
      <c r="AB613" s="34" t="s">
        <v>876</v>
      </c>
      <c r="AC613" s="156">
        <v>0.1</v>
      </c>
      <c r="AD613" s="34" t="s">
        <v>876</v>
      </c>
      <c r="AE613" s="157">
        <v>1</v>
      </c>
      <c r="AF613" s="34" t="s">
        <v>871</v>
      </c>
      <c r="AG613" s="158">
        <f>1/AL607*AC613*AE613</f>
        <v>1.6033349366682702E-3</v>
      </c>
      <c r="AH613" s="155"/>
      <c r="AI613" s="155"/>
      <c r="AJ613" s="155"/>
      <c r="AK613" s="155"/>
      <c r="AL613" s="155"/>
      <c r="AM613" s="155"/>
      <c r="AN613" s="155"/>
      <c r="AO613" s="155"/>
      <c r="AP613" s="155"/>
      <c r="AQ613" s="155"/>
      <c r="AR613" s="155"/>
      <c r="AS613" s="155"/>
    </row>
    <row r="614" spans="1:45" ht="12.6" customHeight="1" x14ac:dyDescent="0.3">
      <c r="A614" s="107"/>
      <c r="B614" s="107"/>
      <c r="C614" s="107"/>
      <c r="D614" s="107"/>
      <c r="E614" s="107"/>
      <c r="F614" s="107"/>
      <c r="G614" s="17" t="s">
        <v>848</v>
      </c>
      <c r="Z614" s="155"/>
      <c r="AA614" s="155"/>
      <c r="AB614" s="155"/>
      <c r="AC614" s="155"/>
      <c r="AD614" s="155"/>
      <c r="AE614" s="155"/>
      <c r="AF614" s="155"/>
      <c r="AG614" s="155"/>
      <c r="AH614" s="155"/>
      <c r="AI614" s="155"/>
      <c r="AJ614" s="155"/>
      <c r="AK614" s="155"/>
      <c r="AL614" s="155"/>
      <c r="AM614" s="155"/>
      <c r="AN614" s="155"/>
      <c r="AO614" s="155"/>
      <c r="AP614" s="155"/>
      <c r="AQ614" s="155"/>
      <c r="AR614" s="155"/>
      <c r="AS614" s="155"/>
    </row>
    <row r="615" spans="1:45" ht="12.6" customHeight="1" x14ac:dyDescent="0.3">
      <c r="A615" s="84"/>
      <c r="B615" s="41" t="s">
        <v>885</v>
      </c>
      <c r="C615" s="149">
        <f>E615+D615+F615</f>
        <v>158.5</v>
      </c>
      <c r="D615" s="149">
        <f>SUMIF(N597:N614,M615,D597:D614)</f>
        <v>91.5</v>
      </c>
      <c r="E615" s="149">
        <f>SUMIF(N597:N614,M615,E597:E614)</f>
        <v>28.6</v>
      </c>
      <c r="F615" s="149">
        <f>SUMIF(N597:N614,M615,F597:F614)</f>
        <v>38.4</v>
      </c>
      <c r="G615" s="17" t="s">
        <v>884</v>
      </c>
      <c r="M615" s="34" t="s">
        <v>886</v>
      </c>
      <c r="N615" s="34" t="s">
        <v>768</v>
      </c>
      <c r="Z615" s="155"/>
      <c r="AA615" s="155"/>
      <c r="AB615" s="155"/>
      <c r="AC615" s="155"/>
      <c r="AD615" s="155"/>
      <c r="AE615" s="155"/>
      <c r="AF615" s="155"/>
      <c r="AG615" s="155"/>
      <c r="AH615" s="155"/>
      <c r="AI615" s="155"/>
      <c r="AJ615" s="155"/>
      <c r="AK615" s="155"/>
      <c r="AL615" s="155"/>
      <c r="AM615" s="155"/>
      <c r="AN615" s="155"/>
      <c r="AO615" s="155"/>
      <c r="AP615" s="155"/>
      <c r="AQ615" s="155"/>
      <c r="AR615" s="155"/>
      <c r="AS615" s="155"/>
    </row>
    <row r="616" spans="1:45" ht="12.6" customHeight="1" x14ac:dyDescent="0.3">
      <c r="A616" s="107"/>
      <c r="B616" s="107"/>
      <c r="C616" s="147"/>
      <c r="D616" s="147"/>
      <c r="E616" s="147"/>
      <c r="F616" s="147"/>
      <c r="Z616" s="155"/>
      <c r="AA616" s="155"/>
      <c r="AB616" s="155"/>
      <c r="AC616" s="155"/>
      <c r="AD616" s="155"/>
      <c r="AE616" s="155"/>
      <c r="AF616" s="155"/>
      <c r="AG616" s="155"/>
      <c r="AH616" s="155"/>
      <c r="AI616" s="155"/>
      <c r="AJ616" s="155"/>
      <c r="AK616" s="155"/>
      <c r="AL616" s="155"/>
      <c r="AM616" s="155"/>
      <c r="AN616" s="155"/>
      <c r="AO616" s="155"/>
      <c r="AP616" s="155"/>
      <c r="AQ616" s="155"/>
      <c r="AR616" s="155"/>
      <c r="AS616" s="155"/>
    </row>
    <row r="617" spans="1:45" ht="12.6" customHeight="1" x14ac:dyDescent="0.3">
      <c r="A617" s="107"/>
      <c r="B617" s="107"/>
      <c r="C617" s="107"/>
      <c r="D617" s="107"/>
      <c r="E617" s="107"/>
      <c r="F617" s="107"/>
      <c r="Z617" s="155"/>
      <c r="AA617" s="155"/>
      <c r="AB617" s="155"/>
      <c r="AC617" s="155"/>
      <c r="AD617" s="155"/>
      <c r="AE617" s="155"/>
      <c r="AF617" s="155"/>
      <c r="AG617" s="155"/>
      <c r="AH617" s="155"/>
      <c r="AI617" s="155"/>
      <c r="AJ617" s="155"/>
      <c r="AK617" s="155"/>
      <c r="AL617" s="155"/>
      <c r="AM617" s="155"/>
      <c r="AN617" s="155"/>
      <c r="AO617" s="155"/>
      <c r="AP617" s="155"/>
      <c r="AQ617" s="155"/>
      <c r="AR617" s="155"/>
      <c r="AS617" s="155"/>
    </row>
    <row r="618" spans="1:45" ht="12.6" customHeight="1" x14ac:dyDescent="0.3">
      <c r="A618" s="107"/>
      <c r="B618" s="107"/>
      <c r="C618" s="107"/>
      <c r="D618" s="107"/>
      <c r="E618" s="107"/>
      <c r="F618" s="107"/>
      <c r="Z618" s="155"/>
      <c r="AA618" s="155"/>
      <c r="AB618" s="155"/>
      <c r="AC618" s="155"/>
      <c r="AD618" s="155"/>
      <c r="AE618" s="155"/>
      <c r="AF618" s="155"/>
      <c r="AG618" s="155"/>
      <c r="AH618" s="155"/>
      <c r="AI618" s="155"/>
      <c r="AJ618" s="155"/>
      <c r="AK618" s="155"/>
      <c r="AL618" s="155"/>
      <c r="AM618" s="155"/>
      <c r="AN618" s="155"/>
      <c r="AO618" s="155"/>
      <c r="AP618" s="155"/>
      <c r="AQ618" s="155"/>
      <c r="AR618" s="155"/>
      <c r="AS618" s="155"/>
    </row>
    <row r="619" spans="1:45" ht="12.6" customHeight="1" x14ac:dyDescent="0.3">
      <c r="A619" s="107"/>
      <c r="B619" s="107"/>
      <c r="C619" s="107"/>
      <c r="D619" s="107"/>
      <c r="E619" s="107"/>
      <c r="F619" s="107"/>
      <c r="Z619" s="155"/>
      <c r="AA619" s="155"/>
      <c r="AB619" s="155"/>
      <c r="AC619" s="155"/>
      <c r="AD619" s="155"/>
      <c r="AE619" s="155"/>
      <c r="AF619" s="155"/>
      <c r="AG619" s="155"/>
      <c r="AH619" s="155"/>
      <c r="AI619" s="155"/>
      <c r="AJ619" s="155"/>
      <c r="AK619" s="155"/>
      <c r="AL619" s="155"/>
      <c r="AM619" s="155"/>
      <c r="AN619" s="155"/>
      <c r="AO619" s="155"/>
      <c r="AP619" s="155"/>
      <c r="AQ619" s="155"/>
      <c r="AR619" s="155"/>
      <c r="AS619" s="155"/>
    </row>
    <row r="620" spans="1:45" ht="12.6" customHeight="1" x14ac:dyDescent="0.3">
      <c r="A620" s="107"/>
      <c r="B620" s="107"/>
      <c r="C620" s="107"/>
      <c r="D620" s="107"/>
      <c r="E620" s="107"/>
      <c r="F620" s="107"/>
      <c r="Z620" s="155"/>
      <c r="AA620" s="155"/>
      <c r="AB620" s="155"/>
      <c r="AC620" s="155"/>
      <c r="AD620" s="155"/>
      <c r="AE620" s="155"/>
      <c r="AF620" s="155"/>
      <c r="AG620" s="155"/>
      <c r="AH620" s="155"/>
      <c r="AI620" s="155"/>
      <c r="AJ620" s="155"/>
      <c r="AK620" s="155"/>
      <c r="AL620" s="155"/>
      <c r="AM620" s="155"/>
      <c r="AN620" s="155"/>
      <c r="AO620" s="155"/>
      <c r="AP620" s="155"/>
      <c r="AQ620" s="155"/>
      <c r="AR620" s="155"/>
      <c r="AS620" s="155"/>
    </row>
    <row r="621" spans="1:45" ht="12.6" customHeight="1" x14ac:dyDescent="0.3">
      <c r="A621" s="107"/>
      <c r="B621" s="107"/>
      <c r="C621" s="107"/>
      <c r="D621" s="107"/>
      <c r="E621" s="107"/>
      <c r="F621" s="107"/>
      <c r="Z621" s="155"/>
      <c r="AA621" s="155"/>
      <c r="AB621" s="155"/>
      <c r="AC621" s="155"/>
      <c r="AD621" s="155"/>
      <c r="AE621" s="155"/>
      <c r="AF621" s="155"/>
      <c r="AG621" s="155"/>
      <c r="AH621" s="155"/>
      <c r="AI621" s="155"/>
      <c r="AJ621" s="155"/>
      <c r="AK621" s="155"/>
      <c r="AL621" s="155"/>
      <c r="AM621" s="155"/>
      <c r="AN621" s="155"/>
      <c r="AO621" s="155"/>
      <c r="AP621" s="155"/>
      <c r="AQ621" s="155"/>
      <c r="AR621" s="155"/>
      <c r="AS621" s="155"/>
    </row>
    <row r="622" spans="1:45" ht="12.6" customHeight="1" x14ac:dyDescent="0.3">
      <c r="A622" s="107"/>
      <c r="B622" s="107"/>
      <c r="C622" s="107"/>
      <c r="D622" s="107"/>
      <c r="E622" s="107"/>
      <c r="F622" s="107"/>
      <c r="Z622" s="155"/>
      <c r="AA622" s="155"/>
      <c r="AB622" s="155"/>
      <c r="AC622" s="155"/>
      <c r="AD622" s="155"/>
      <c r="AE622" s="155"/>
      <c r="AF622" s="155"/>
      <c r="AG622" s="155"/>
      <c r="AH622" s="155"/>
      <c r="AI622" s="155"/>
      <c r="AJ622" s="155"/>
      <c r="AK622" s="155"/>
      <c r="AL622" s="155"/>
      <c r="AM622" s="155"/>
      <c r="AN622" s="155"/>
      <c r="AO622" s="155"/>
      <c r="AP622" s="155"/>
      <c r="AQ622" s="155"/>
      <c r="AR622" s="155"/>
      <c r="AS622" s="155"/>
    </row>
    <row r="623" spans="1:45" ht="12.6" customHeight="1" x14ac:dyDescent="0.3">
      <c r="A623" s="107"/>
      <c r="B623" s="107"/>
      <c r="C623" s="107"/>
      <c r="D623" s="107"/>
      <c r="E623" s="107"/>
      <c r="F623" s="107"/>
      <c r="Z623" s="155"/>
      <c r="AA623" s="155"/>
      <c r="AB623" s="155"/>
      <c r="AC623" s="155"/>
      <c r="AD623" s="155"/>
      <c r="AE623" s="155"/>
      <c r="AF623" s="155"/>
      <c r="AG623" s="155"/>
      <c r="AH623" s="155"/>
      <c r="AI623" s="155"/>
      <c r="AJ623" s="155"/>
      <c r="AK623" s="155"/>
      <c r="AL623" s="155"/>
      <c r="AM623" s="155"/>
      <c r="AN623" s="155"/>
      <c r="AO623" s="155"/>
      <c r="AP623" s="155"/>
      <c r="AQ623" s="155"/>
      <c r="AR623" s="155"/>
      <c r="AS623" s="155"/>
    </row>
    <row r="624" spans="1:45" ht="12.6" customHeight="1" x14ac:dyDescent="0.3">
      <c r="A624" s="107"/>
      <c r="B624" s="107"/>
      <c r="C624" s="107"/>
      <c r="D624" s="107"/>
      <c r="E624" s="107"/>
      <c r="F624" s="107"/>
      <c r="Z624" s="155"/>
      <c r="AA624" s="155"/>
      <c r="AB624" s="155"/>
      <c r="AC624" s="155"/>
      <c r="AD624" s="155"/>
      <c r="AE624" s="155"/>
      <c r="AF624" s="155"/>
      <c r="AG624" s="155"/>
      <c r="AH624" s="155"/>
      <c r="AI624" s="155"/>
      <c r="AJ624" s="155"/>
      <c r="AK624" s="155"/>
      <c r="AL624" s="155"/>
      <c r="AM624" s="155"/>
      <c r="AN624" s="155"/>
      <c r="AO624" s="155"/>
      <c r="AP624" s="155"/>
      <c r="AQ624" s="155"/>
      <c r="AR624" s="155"/>
      <c r="AS624" s="155"/>
    </row>
    <row r="625" spans="1:45" ht="12.6" customHeight="1" x14ac:dyDescent="0.3">
      <c r="A625" s="107"/>
      <c r="B625" s="107"/>
      <c r="C625" s="107"/>
      <c r="D625" s="107"/>
      <c r="E625" s="107"/>
      <c r="F625" s="107"/>
      <c r="Z625" s="155"/>
      <c r="AA625" s="155"/>
      <c r="AB625" s="155"/>
      <c r="AC625" s="155"/>
      <c r="AD625" s="155"/>
      <c r="AE625" s="155"/>
      <c r="AF625" s="155"/>
      <c r="AG625" s="155"/>
      <c r="AH625" s="155"/>
      <c r="AI625" s="155"/>
      <c r="AJ625" s="155"/>
      <c r="AK625" s="155"/>
      <c r="AL625" s="155"/>
      <c r="AM625" s="155"/>
      <c r="AN625" s="155"/>
      <c r="AO625" s="155"/>
      <c r="AP625" s="155"/>
      <c r="AQ625" s="155"/>
      <c r="AR625" s="155"/>
      <c r="AS625" s="155"/>
    </row>
    <row r="626" spans="1:45" ht="12.6" customHeight="1" x14ac:dyDescent="0.3">
      <c r="A626" s="123"/>
      <c r="B626" s="123"/>
      <c r="C626" s="123"/>
      <c r="D626" s="123"/>
      <c r="E626" s="123"/>
      <c r="F626" s="123"/>
      <c r="Z626" s="155"/>
      <c r="AA626" s="155"/>
      <c r="AB626" s="155"/>
      <c r="AC626" s="155"/>
      <c r="AD626" s="155"/>
      <c r="AE626" s="155"/>
      <c r="AF626" s="155"/>
      <c r="AG626" s="155"/>
      <c r="AH626" s="155"/>
      <c r="AI626" s="155"/>
      <c r="AJ626" s="155"/>
      <c r="AK626" s="155"/>
      <c r="AL626" s="155"/>
      <c r="AM626" s="155"/>
      <c r="AN626" s="155"/>
      <c r="AO626" s="155"/>
      <c r="AP626" s="155"/>
      <c r="AQ626" s="155"/>
      <c r="AR626" s="155"/>
      <c r="AS626" s="155"/>
    </row>
    <row r="627" spans="1:45" ht="12.6" customHeight="1" x14ac:dyDescent="0.3">
      <c r="A627" s="193" t="s">
        <v>769</v>
      </c>
      <c r="B627" s="194"/>
      <c r="C627" s="99">
        <f>E627+D627+F627</f>
        <v>157</v>
      </c>
      <c r="D627" s="121">
        <f>ROUNDDOWN(SUMIF(N597:N615,M627,D597:D615),0)</f>
        <v>91</v>
      </c>
      <c r="E627" s="120">
        <f>ROUNDDOWN(SUMIF(N597:N615,M627,E597:E615),0)</f>
        <v>28</v>
      </c>
      <c r="F627" s="99">
        <f>ROUNDDOWN(SUMIF(N597:N615,M627,F597:F615),0)</f>
        <v>38</v>
      </c>
      <c r="M627" s="34" t="s">
        <v>768</v>
      </c>
      <c r="N627" s="34" t="s">
        <v>770</v>
      </c>
      <c r="Z627" s="155"/>
      <c r="AA627" s="155"/>
      <c r="AB627" s="155"/>
      <c r="AC627" s="155"/>
      <c r="AD627" s="155"/>
      <c r="AE627" s="155"/>
      <c r="AF627" s="155"/>
      <c r="AG627" s="155"/>
      <c r="AH627" s="155"/>
      <c r="AI627" s="155"/>
      <c r="AJ627" s="155"/>
      <c r="AK627" s="155"/>
      <c r="AL627" s="155"/>
      <c r="AM627" s="155"/>
      <c r="AN627" s="155"/>
      <c r="AO627" s="155"/>
      <c r="AP627" s="155"/>
      <c r="AQ627" s="155"/>
      <c r="AR627" s="155"/>
      <c r="AS627" s="155"/>
    </row>
    <row r="628" spans="1:45" ht="12.6" customHeight="1" x14ac:dyDescent="0.3">
      <c r="A628" s="193" t="s">
        <v>1046</v>
      </c>
      <c r="B628" s="194"/>
      <c r="C628" s="99">
        <f>E628+D628+F628</f>
        <v>137</v>
      </c>
      <c r="D628" s="121">
        <f>ROUNDDOWN(D627*H628/100,0)</f>
        <v>80</v>
      </c>
      <c r="E628" s="120">
        <f>ROUNDDOWN(E627*H628/100,0)</f>
        <v>24</v>
      </c>
      <c r="F628" s="99">
        <f>ROUNDDOWN(F627*H628/100,0)</f>
        <v>33</v>
      </c>
      <c r="H628" s="35">
        <v>88</v>
      </c>
      <c r="M628" s="34" t="s">
        <v>770</v>
      </c>
      <c r="Z628" s="155"/>
      <c r="AA628" s="155"/>
      <c r="AB628" s="155"/>
      <c r="AC628" s="155"/>
      <c r="AD628" s="155"/>
      <c r="AE628" s="155"/>
      <c r="AF628" s="155"/>
      <c r="AG628" s="155"/>
      <c r="AH628" s="155"/>
      <c r="AI628" s="155"/>
      <c r="AJ628" s="155"/>
      <c r="AK628" s="155"/>
      <c r="AL628" s="155"/>
      <c r="AM628" s="155"/>
      <c r="AN628" s="155"/>
      <c r="AO628" s="155"/>
      <c r="AP628" s="155"/>
      <c r="AQ628" s="155"/>
      <c r="AR628" s="155"/>
      <c r="AS628" s="155"/>
    </row>
    <row r="629" spans="1:45" ht="12.6" customHeight="1" x14ac:dyDescent="0.3">
      <c r="A629" s="144" t="s">
        <v>73</v>
      </c>
      <c r="B629" s="145" t="s">
        <v>73</v>
      </c>
      <c r="C629" s="232">
        <f>C697</f>
        <v>5442</v>
      </c>
      <c r="D629" s="232">
        <f>D697</f>
        <v>3061</v>
      </c>
      <c r="E629" s="232">
        <f>E697</f>
        <v>1056</v>
      </c>
      <c r="F629" s="232">
        <f>F697</f>
        <v>1325</v>
      </c>
      <c r="G629" s="141" t="str">
        <f>HYPERLINK("#G"&amp;ROW(G675),"_x0005_`BDCOD|D01442_x0007_`POSS|"&amp;ROW(G631)&amp;"_x0007_`POSE|"&amp;ROW(G675)&amp;"_x0007_`")</f>
        <v>_x0005_`BDCOD|D01442_x0007_`POSS|631_x0007_`POSE|675_x0007_`</v>
      </c>
      <c r="Z629" s="155"/>
      <c r="AA629" s="155"/>
      <c r="AB629" s="155"/>
      <c r="AC629" s="155"/>
      <c r="AD629" s="155"/>
      <c r="AE629" s="155"/>
      <c r="AF629" s="155"/>
      <c r="AG629" s="155"/>
      <c r="AH629" s="155"/>
      <c r="AI629" s="155"/>
      <c r="AJ629" s="155"/>
      <c r="AK629" s="155"/>
      <c r="AL629" s="155"/>
      <c r="AM629" s="155"/>
      <c r="AN629" s="155"/>
      <c r="AO629" s="155"/>
      <c r="AP629" s="155"/>
      <c r="AQ629" s="155"/>
      <c r="AR629" s="155"/>
      <c r="AS629" s="155"/>
    </row>
    <row r="630" spans="1:45" ht="12.6" customHeight="1" x14ac:dyDescent="0.3">
      <c r="A630" s="124"/>
      <c r="B630" s="145" t="s">
        <v>72</v>
      </c>
      <c r="C630" s="189"/>
      <c r="D630" s="189"/>
      <c r="E630" s="189"/>
      <c r="F630" s="189"/>
      <c r="M630" s="34" t="s">
        <v>1125</v>
      </c>
      <c r="Z630" s="155"/>
      <c r="AA630" s="155"/>
      <c r="AB630" s="155"/>
      <c r="AC630" s="155"/>
      <c r="AD630" s="155"/>
      <c r="AE630" s="155"/>
      <c r="AF630" s="155"/>
      <c r="AG630" s="155"/>
      <c r="AH630" s="155"/>
      <c r="AI630" s="155"/>
      <c r="AJ630" s="155"/>
      <c r="AK630" s="155"/>
      <c r="AL630" s="155"/>
      <c r="AM630" s="155"/>
      <c r="AN630" s="155"/>
      <c r="AO630" s="155"/>
      <c r="AP630" s="155"/>
      <c r="AQ630" s="155"/>
      <c r="AR630" s="155"/>
      <c r="AS630" s="155"/>
    </row>
    <row r="631" spans="1:45" ht="12.6" customHeight="1" x14ac:dyDescent="0.3">
      <c r="A631" s="84"/>
      <c r="B631" s="41" t="s">
        <v>1127</v>
      </c>
      <c r="C631" s="147"/>
      <c r="D631" s="147"/>
      <c r="E631" s="147"/>
      <c r="F631" s="147"/>
      <c r="G631" s="17" t="s">
        <v>1126</v>
      </c>
      <c r="Z631" s="155"/>
      <c r="AA631" s="155"/>
      <c r="AB631" s="155"/>
      <c r="AC631" s="155"/>
      <c r="AD631" s="155"/>
      <c r="AE631" s="155"/>
      <c r="AF631" s="155"/>
      <c r="AG631" s="155"/>
      <c r="AH631" s="155"/>
      <c r="AI631" s="155"/>
      <c r="AJ631" s="155"/>
      <c r="AK631" s="155"/>
      <c r="AL631" s="155"/>
      <c r="AM631" s="155"/>
      <c r="AN631" s="155"/>
      <c r="AO631" s="155"/>
      <c r="AP631" s="155"/>
      <c r="AQ631" s="155"/>
      <c r="AR631" s="155"/>
      <c r="AS631" s="155"/>
    </row>
    <row r="632" spans="1:45" ht="12.6" customHeight="1" x14ac:dyDescent="0.3">
      <c r="A632" s="107"/>
      <c r="B632" s="107"/>
      <c r="C632" s="107"/>
      <c r="D632" s="107"/>
      <c r="E632" s="107"/>
      <c r="F632" s="107"/>
      <c r="G632" s="17" t="s">
        <v>848</v>
      </c>
      <c r="Z632" s="155"/>
      <c r="AA632" s="155"/>
      <c r="AB632" s="155"/>
      <c r="AC632" s="155"/>
      <c r="AD632" s="155"/>
      <c r="AE632" s="155"/>
      <c r="AF632" s="155"/>
      <c r="AG632" s="155"/>
      <c r="AH632" s="155"/>
      <c r="AI632" s="155"/>
      <c r="AJ632" s="155"/>
      <c r="AK632" s="155"/>
      <c r="AL632" s="155"/>
      <c r="AM632" s="155"/>
      <c r="AN632" s="155"/>
      <c r="AO632" s="155"/>
      <c r="AP632" s="155"/>
      <c r="AQ632" s="155"/>
      <c r="AR632" s="155"/>
      <c r="AS632" s="155"/>
    </row>
    <row r="633" spans="1:45" ht="12.6" customHeight="1" x14ac:dyDescent="0.3">
      <c r="A633" s="84"/>
      <c r="B633" s="41" t="s">
        <v>1129</v>
      </c>
      <c r="C633" s="107"/>
      <c r="D633" s="107"/>
      <c r="E633" s="107"/>
      <c r="F633" s="107"/>
      <c r="G633" s="17" t="s">
        <v>1128</v>
      </c>
      <c r="Z633" s="155"/>
      <c r="AA633" s="155"/>
      <c r="AB633" s="155"/>
      <c r="AC633" s="155"/>
      <c r="AD633" s="155"/>
      <c r="AE633" s="155"/>
      <c r="AF633" s="155"/>
      <c r="AG633" s="155"/>
      <c r="AH633" s="155"/>
      <c r="AI633" s="155"/>
      <c r="AJ633" s="155"/>
      <c r="AK633" s="155"/>
      <c r="AL633" s="155"/>
      <c r="AM633" s="155"/>
      <c r="AN633" s="155"/>
      <c r="AO633" s="155"/>
      <c r="AP633" s="155"/>
      <c r="AQ633" s="155"/>
      <c r="AR633" s="155"/>
      <c r="AS633" s="155"/>
    </row>
    <row r="634" spans="1:45" ht="12.6" customHeight="1" x14ac:dyDescent="0.3">
      <c r="A634" s="107"/>
      <c r="B634" s="107"/>
      <c r="C634" s="107"/>
      <c r="D634" s="107"/>
      <c r="E634" s="107"/>
      <c r="F634" s="107"/>
      <c r="G634" s="17" t="s">
        <v>848</v>
      </c>
      <c r="Z634" s="155"/>
      <c r="AA634" s="155"/>
      <c r="AB634" s="155"/>
      <c r="AC634" s="155"/>
      <c r="AD634" s="155"/>
      <c r="AE634" s="155"/>
      <c r="AF634" s="155"/>
      <c r="AG634" s="155"/>
      <c r="AH634" s="155"/>
      <c r="AI634" s="155"/>
      <c r="AJ634" s="155"/>
      <c r="AK634" s="155"/>
      <c r="AL634" s="155"/>
      <c r="AM634" s="155"/>
      <c r="AN634" s="155"/>
      <c r="AO634" s="155"/>
      <c r="AP634" s="155"/>
      <c r="AQ634" s="155"/>
      <c r="AR634" s="155"/>
      <c r="AS634" s="155"/>
    </row>
    <row r="635" spans="1:45" ht="12.6" customHeight="1" x14ac:dyDescent="0.3">
      <c r="A635" s="84"/>
      <c r="B635" s="41" t="s">
        <v>1131</v>
      </c>
      <c r="C635" s="107"/>
      <c r="D635" s="107"/>
      <c r="E635" s="107"/>
      <c r="F635" s="107"/>
      <c r="G635" s="17" t="s">
        <v>1130</v>
      </c>
      <c r="Z635" s="155"/>
      <c r="AA635" s="155"/>
      <c r="AB635" s="155"/>
      <c r="AC635" s="155"/>
      <c r="AD635" s="155"/>
      <c r="AE635" s="155"/>
      <c r="AF635" s="155"/>
      <c r="AG635" s="155"/>
      <c r="AH635" s="155"/>
      <c r="AI635" s="155"/>
      <c r="AJ635" s="155"/>
      <c r="AK635" s="155"/>
      <c r="AL635" s="155"/>
      <c r="AM635" s="155"/>
      <c r="AN635" s="155"/>
      <c r="AO635" s="155"/>
      <c r="AP635" s="155"/>
      <c r="AQ635" s="155"/>
      <c r="AR635" s="155"/>
      <c r="AS635" s="155"/>
    </row>
    <row r="636" spans="1:45" ht="12.6" customHeight="1" x14ac:dyDescent="0.3">
      <c r="A636" s="107"/>
      <c r="B636" s="107"/>
      <c r="C636" s="107"/>
      <c r="D636" s="107"/>
      <c r="E636" s="107"/>
      <c r="F636" s="107"/>
      <c r="G636" s="17" t="s">
        <v>848</v>
      </c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</row>
    <row r="637" spans="1:45" ht="12.6" customHeight="1" x14ac:dyDescent="0.3">
      <c r="A637" s="84"/>
      <c r="B637" s="41" t="s">
        <v>1133</v>
      </c>
      <c r="C637" s="107"/>
      <c r="D637" s="107"/>
      <c r="E637" s="107"/>
      <c r="F637" s="107"/>
      <c r="G637" s="17" t="s">
        <v>1132</v>
      </c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5"/>
    </row>
    <row r="638" spans="1:45" ht="12.6" customHeight="1" x14ac:dyDescent="0.3">
      <c r="A638" s="107"/>
      <c r="B638" s="107"/>
      <c r="C638" s="107"/>
      <c r="D638" s="107"/>
      <c r="E638" s="107"/>
      <c r="F638" s="107"/>
      <c r="G638" s="17" t="s">
        <v>848</v>
      </c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5"/>
    </row>
    <row r="639" spans="1:45" ht="12.6" customHeight="1" x14ac:dyDescent="0.3">
      <c r="A639" s="84"/>
      <c r="B639" s="41" t="str">
        <f>"q (버킷용량)  = "&amp;Z639&amp;" , k (버킷계수)  = "&amp;AD639&amp;" , f (체적환산계수)  ="&amp;AH639&amp;""</f>
        <v>q (버킷용량)  = 0.7 , k (버킷계수)  = 0.55 , f (체적환산계수)  =1</v>
      </c>
      <c r="C639" s="107"/>
      <c r="D639" s="107"/>
      <c r="E639" s="107"/>
      <c r="F639" s="107"/>
      <c r="G639" s="17" t="s">
        <v>1134</v>
      </c>
      <c r="Z639" s="156">
        <v>0.7</v>
      </c>
      <c r="AA639" s="34" t="s">
        <v>871</v>
      </c>
      <c r="AB639" s="158">
        <f>Z639</f>
        <v>0.7</v>
      </c>
      <c r="AC639" s="159" t="s">
        <v>872</v>
      </c>
      <c r="AD639" s="156">
        <v>0.55000000000000004</v>
      </c>
      <c r="AE639" s="34" t="s">
        <v>871</v>
      </c>
      <c r="AF639" s="158">
        <f>AD639</f>
        <v>0.55000000000000004</v>
      </c>
      <c r="AG639" s="159" t="s">
        <v>872</v>
      </c>
      <c r="AH639" s="157">
        <v>1</v>
      </c>
      <c r="AI639" s="34" t="s">
        <v>871</v>
      </c>
      <c r="AJ639" s="158">
        <f>AH639</f>
        <v>1</v>
      </c>
      <c r="AK639" s="155"/>
      <c r="AL639" s="155"/>
      <c r="AM639" s="155"/>
      <c r="AN639" s="155"/>
      <c r="AO639" s="155"/>
      <c r="AP639" s="155"/>
      <c r="AQ639" s="155"/>
      <c r="AR639" s="155"/>
      <c r="AS639" s="155"/>
    </row>
    <row r="640" spans="1:45" ht="12.6" customHeight="1" x14ac:dyDescent="0.3">
      <c r="A640" s="107"/>
      <c r="B640" s="107"/>
      <c r="C640" s="107"/>
      <c r="D640" s="107"/>
      <c r="E640" s="107"/>
      <c r="F640" s="107"/>
      <c r="G640" s="17" t="s">
        <v>848</v>
      </c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5"/>
    </row>
    <row r="641" spans="1:45" ht="12.6" customHeight="1" x14ac:dyDescent="0.3">
      <c r="A641" s="84"/>
      <c r="B641" s="41" t="str">
        <f>"E (작업효율)  = "&amp;Z641&amp;" , Cm (사이클 시간)  = "&amp;AD641&amp;"  sec(135) "</f>
        <v xml:space="preserve">E (작업효율)  = 0.35 , Cm (사이클 시간)  = 20  sec(135) </v>
      </c>
      <c r="C641" s="107"/>
      <c r="D641" s="107"/>
      <c r="E641" s="107"/>
      <c r="F641" s="107"/>
      <c r="G641" s="17" t="s">
        <v>1135</v>
      </c>
      <c r="Z641" s="156">
        <v>0.35</v>
      </c>
      <c r="AA641" s="34" t="s">
        <v>871</v>
      </c>
      <c r="AB641" s="158">
        <f>Z641</f>
        <v>0.35</v>
      </c>
      <c r="AC641" s="159" t="s">
        <v>872</v>
      </c>
      <c r="AD641" s="157">
        <v>20</v>
      </c>
      <c r="AE641" s="34" t="s">
        <v>871</v>
      </c>
      <c r="AF641" s="158">
        <f>AD641</f>
        <v>20</v>
      </c>
      <c r="AG641" s="155"/>
      <c r="AH641" s="155"/>
      <c r="AI641" s="155"/>
      <c r="AJ641" s="155"/>
      <c r="AK641" s="155"/>
      <c r="AL641" s="155"/>
      <c r="AM641" s="155"/>
      <c r="AN641" s="155"/>
      <c r="AO641" s="155"/>
      <c r="AP641" s="155"/>
      <c r="AQ641" s="155"/>
      <c r="AR641" s="155"/>
      <c r="AS641" s="155"/>
    </row>
    <row r="642" spans="1:45" ht="12.6" customHeight="1" x14ac:dyDescent="0.3">
      <c r="A642" s="107"/>
      <c r="B642" s="107"/>
      <c r="C642" s="107"/>
      <c r="D642" s="107"/>
      <c r="E642" s="107"/>
      <c r="F642" s="107"/>
      <c r="G642" s="17" t="s">
        <v>848</v>
      </c>
      <c r="Z642" s="155"/>
      <c r="AA642" s="155"/>
      <c r="AB642" s="155"/>
      <c r="AC642" s="155"/>
      <c r="AD642" s="155"/>
      <c r="AE642" s="155"/>
      <c r="AF642" s="155"/>
      <c r="AG642" s="155"/>
      <c r="AH642" s="155"/>
      <c r="AI642" s="155"/>
      <c r="AJ642" s="155"/>
      <c r="AK642" s="155"/>
      <c r="AL642" s="155"/>
      <c r="AM642" s="155"/>
      <c r="AN642" s="155"/>
      <c r="AO642" s="155"/>
      <c r="AP642" s="155"/>
      <c r="AQ642" s="155"/>
      <c r="AR642" s="155"/>
      <c r="AS642" s="155"/>
    </row>
    <row r="643" spans="1:45" ht="12.6" customHeight="1" x14ac:dyDescent="0.3">
      <c r="A643" s="84"/>
      <c r="B643" s="41" t="str">
        <f>"Q (시간당 작업량)  = "&amp;Z643&amp;"*q*k*E*f/Cm = "&amp;AL643&amp;" m3/hr "</f>
        <v xml:space="preserve">Q (시간당 작업량)  = 3600*q*k*E*f/Cm = 24.26 m3/hr </v>
      </c>
      <c r="C643" s="107"/>
      <c r="D643" s="107"/>
      <c r="E643" s="107"/>
      <c r="F643" s="107"/>
      <c r="G643" s="17" t="s">
        <v>1136</v>
      </c>
      <c r="Z643" s="157">
        <v>3600</v>
      </c>
      <c r="AA643" s="34" t="s">
        <v>876</v>
      </c>
      <c r="AB643" s="158">
        <f>AB639</f>
        <v>0.7</v>
      </c>
      <c r="AC643" s="34" t="s">
        <v>876</v>
      </c>
      <c r="AD643" s="158">
        <f>AF639</f>
        <v>0.55000000000000004</v>
      </c>
      <c r="AE643" s="34" t="s">
        <v>876</v>
      </c>
      <c r="AF643" s="158">
        <f>AB641</f>
        <v>0.35</v>
      </c>
      <c r="AG643" s="34" t="s">
        <v>876</v>
      </c>
      <c r="AH643" s="158">
        <f>AJ639</f>
        <v>1</v>
      </c>
      <c r="AI643" s="34" t="s">
        <v>873</v>
      </c>
      <c r="AJ643" s="158">
        <f>AF641</f>
        <v>20</v>
      </c>
      <c r="AK643" s="34" t="s">
        <v>871</v>
      </c>
      <c r="AL643" s="158" t="str">
        <f>TEXT(ROUND(Z643*AB639*AF639*AB641*AJ639/AF641,2),"#,0.00")</f>
        <v>24.26</v>
      </c>
      <c r="AM643" s="155"/>
      <c r="AN643" s="155"/>
      <c r="AO643" s="155"/>
      <c r="AP643" s="155"/>
      <c r="AQ643" s="155"/>
      <c r="AR643" s="155"/>
      <c r="AS643" s="155"/>
    </row>
    <row r="644" spans="1:45" ht="12.6" customHeight="1" x14ac:dyDescent="0.3">
      <c r="A644" s="107"/>
      <c r="B644" s="107"/>
      <c r="C644" s="107"/>
      <c r="D644" s="107"/>
      <c r="E644" s="107"/>
      <c r="F644" s="107"/>
      <c r="G644" s="17" t="s">
        <v>848</v>
      </c>
      <c r="Z644" s="155"/>
      <c r="AA644" s="155"/>
      <c r="AB644" s="155"/>
      <c r="AC644" s="155"/>
      <c r="AD644" s="155"/>
      <c r="AE644" s="155"/>
      <c r="AF644" s="155"/>
      <c r="AG644" s="155"/>
      <c r="AH644" s="155"/>
      <c r="AI644" s="155"/>
      <c r="AJ644" s="155"/>
      <c r="AK644" s="155"/>
      <c r="AL644" s="155"/>
      <c r="AM644" s="155"/>
      <c r="AN644" s="155"/>
      <c r="AO644" s="155"/>
      <c r="AP644" s="155"/>
      <c r="AQ644" s="155"/>
      <c r="AR644" s="155"/>
      <c r="AS644" s="155"/>
    </row>
    <row r="645" spans="1:45" ht="12.6" customHeight="1" x14ac:dyDescent="0.3">
      <c r="A645" s="84" t="s">
        <v>1119</v>
      </c>
      <c r="B645" s="146" t="str">
        <f>" 노 무 비  :   "&amp;TEXT(I645,"#,##0"&amp;IF(I645&lt;&gt;INT(I645),".###",""))&amp;" / Q   = "&amp;TEXT(C645,"#,##0.0")&amp;""</f>
        <v xml:space="preserve"> 노 무 비  :   57,077 / Q   = 2,352.7</v>
      </c>
      <c r="C645" s="148">
        <f>E645+D645+F645</f>
        <v>2352.6999999999998</v>
      </c>
      <c r="D645" s="148">
        <f>IF(H645=0,0,ROUNDDOWN(J645*H645,1))</f>
        <v>2352.6999999999998</v>
      </c>
      <c r="E645" s="148">
        <f>IF(H645=0,0,ROUNDDOWN(K645*H645,1))</f>
        <v>0</v>
      </c>
      <c r="F645" s="148">
        <f>IF(H645=0,0,ROUNDDOWN(L645*H645,1))</f>
        <v>0</v>
      </c>
      <c r="G645" s="17" t="s">
        <v>1137</v>
      </c>
      <c r="H645" s="152">
        <f>ROUNDUP(AC645,14-LEN(ABS(INT(AC645))))</f>
        <v>4.1220115416400006E-2</v>
      </c>
      <c r="I645" s="153">
        <f>K645+J645+L645</f>
        <v>57077</v>
      </c>
      <c r="J645" s="37">
        <f>중기목록표!F5</f>
        <v>57077</v>
      </c>
      <c r="M645" s="34" t="s">
        <v>1120</v>
      </c>
      <c r="N645" s="34" t="s">
        <v>886</v>
      </c>
      <c r="X645" s="154" t="str">
        <f>중기목록표!B5&amp;" / "&amp;중기목록표!C5</f>
        <v>굴착기(무한궤도) / 0.7㎥</v>
      </c>
      <c r="Y645" s="3" t="str">
        <f ca="1">HYPERLINK("#"&amp;중기목록표!J2&amp;"!A"&amp;ROW(중기목록표!A5),"X00005 →")</f>
        <v>X00005 →</v>
      </c>
      <c r="Z645" s="34" t="s">
        <v>879</v>
      </c>
      <c r="AA645" s="158" t="str">
        <f>AL643</f>
        <v>24.26</v>
      </c>
      <c r="AB645" s="34" t="s">
        <v>871</v>
      </c>
      <c r="AC645" s="158">
        <f>1/AL643</f>
        <v>4.1220115416323165E-2</v>
      </c>
      <c r="AD645" s="155"/>
      <c r="AE645" s="155"/>
      <c r="AF645" s="155"/>
      <c r="AG645" s="155"/>
      <c r="AH645" s="155"/>
      <c r="AI645" s="155"/>
      <c r="AJ645" s="155"/>
      <c r="AK645" s="155"/>
      <c r="AL645" s="155"/>
      <c r="AM645" s="155"/>
      <c r="AN645" s="155"/>
      <c r="AO645" s="155"/>
      <c r="AP645" s="155"/>
      <c r="AQ645" s="155"/>
      <c r="AR645" s="155"/>
      <c r="AS645" s="155"/>
    </row>
    <row r="646" spans="1:45" ht="12.6" customHeight="1" x14ac:dyDescent="0.3">
      <c r="A646" s="107"/>
      <c r="B646" s="107"/>
      <c r="C646" s="107"/>
      <c r="D646" s="107"/>
      <c r="E646" s="107"/>
      <c r="F646" s="107"/>
      <c r="G646" s="17" t="s">
        <v>848</v>
      </c>
      <c r="Z646" s="155"/>
      <c r="AA646" s="155"/>
      <c r="AB646" s="155"/>
      <c r="AC646" s="155"/>
      <c r="AD646" s="155"/>
      <c r="AE646" s="155"/>
      <c r="AF646" s="155"/>
      <c r="AG646" s="155"/>
      <c r="AH646" s="155"/>
      <c r="AI646" s="155"/>
      <c r="AJ646" s="155"/>
      <c r="AK646" s="155"/>
      <c r="AL646" s="155"/>
      <c r="AM646" s="155"/>
      <c r="AN646" s="155"/>
      <c r="AO646" s="155"/>
      <c r="AP646" s="155"/>
      <c r="AQ646" s="155"/>
      <c r="AR646" s="155"/>
      <c r="AS646" s="155"/>
    </row>
    <row r="647" spans="1:45" ht="12.6" customHeight="1" x14ac:dyDescent="0.3">
      <c r="A647" s="84" t="s">
        <v>1122</v>
      </c>
      <c r="B647" s="146" t="str">
        <f>" 재 료 비  :   "&amp;TEXT(I647,"#,##0"&amp;IF(I647&lt;&gt;INT(I647),".###",""))&amp;" / Q   = "&amp;TEXT(C647,"#,##0.0")&amp;""</f>
        <v xml:space="preserve"> 재 료 비  :   17,845 / Q   = 735.5</v>
      </c>
      <c r="C647" s="148">
        <f>E647+D647+F647</f>
        <v>735.5</v>
      </c>
      <c r="D647" s="148">
        <f>IF(H647=0,0,ROUNDDOWN(J647*H647,1))</f>
        <v>0</v>
      </c>
      <c r="E647" s="148">
        <f>IF(H647=0,0,ROUNDDOWN(K647*H647,1))</f>
        <v>735.5</v>
      </c>
      <c r="F647" s="148">
        <f>IF(H647=0,0,ROUNDDOWN(L647*H647,1))</f>
        <v>0</v>
      </c>
      <c r="G647" s="17" t="s">
        <v>1138</v>
      </c>
      <c r="H647" s="152">
        <f>ROUNDUP(AC647,14-LEN(ABS(INT(AC647))))</f>
        <v>4.1220115416400006E-2</v>
      </c>
      <c r="I647" s="153">
        <f>K647+J647+L647</f>
        <v>17845</v>
      </c>
      <c r="K647" s="37">
        <f>중기목록표!G5</f>
        <v>17845</v>
      </c>
      <c r="M647" s="34" t="s">
        <v>1120</v>
      </c>
      <c r="N647" s="34" t="s">
        <v>886</v>
      </c>
      <c r="X647" s="154" t="str">
        <f>중기목록표!B5&amp;" / "&amp;중기목록표!C5</f>
        <v>굴착기(무한궤도) / 0.7㎥</v>
      </c>
      <c r="Y647" s="3" t="str">
        <f ca="1">HYPERLINK("#"&amp;중기목록표!J2&amp;"!A"&amp;ROW(중기목록표!A5),"X00005 →")</f>
        <v>X00005 →</v>
      </c>
      <c r="Z647" s="34" t="s">
        <v>879</v>
      </c>
      <c r="AA647" s="158" t="str">
        <f>AL643</f>
        <v>24.26</v>
      </c>
      <c r="AB647" s="34" t="s">
        <v>871</v>
      </c>
      <c r="AC647" s="158">
        <f>1/AL643</f>
        <v>4.1220115416323165E-2</v>
      </c>
      <c r="AD647" s="155"/>
      <c r="AE647" s="155"/>
      <c r="AF647" s="155"/>
      <c r="AG647" s="155"/>
      <c r="AH647" s="155"/>
      <c r="AI647" s="155"/>
      <c r="AJ647" s="155"/>
      <c r="AK647" s="155"/>
      <c r="AL647" s="155"/>
      <c r="AM647" s="155"/>
      <c r="AN647" s="155"/>
      <c r="AO647" s="155"/>
      <c r="AP647" s="155"/>
      <c r="AQ647" s="155"/>
      <c r="AR647" s="155"/>
      <c r="AS647" s="155"/>
    </row>
    <row r="648" spans="1:45" ht="12.6" customHeight="1" x14ac:dyDescent="0.3">
      <c r="A648" s="107"/>
      <c r="B648" s="107"/>
      <c r="C648" s="107"/>
      <c r="D648" s="107"/>
      <c r="E648" s="107"/>
      <c r="F648" s="107"/>
      <c r="G648" s="17" t="s">
        <v>848</v>
      </c>
      <c r="Z648" s="155"/>
      <c r="AA648" s="155"/>
      <c r="AB648" s="155"/>
      <c r="AC648" s="155"/>
      <c r="AD648" s="155"/>
      <c r="AE648" s="155"/>
      <c r="AF648" s="155"/>
      <c r="AG648" s="155"/>
      <c r="AH648" s="155"/>
      <c r="AI648" s="155"/>
      <c r="AJ648" s="155"/>
      <c r="AK648" s="155"/>
      <c r="AL648" s="155"/>
      <c r="AM648" s="155"/>
      <c r="AN648" s="155"/>
      <c r="AO648" s="155"/>
      <c r="AP648" s="155"/>
      <c r="AQ648" s="155"/>
      <c r="AR648" s="155"/>
      <c r="AS648" s="155"/>
    </row>
    <row r="649" spans="1:45" ht="12.6" customHeight="1" x14ac:dyDescent="0.3">
      <c r="A649" s="84" t="s">
        <v>1124</v>
      </c>
      <c r="B649" s="146" t="str">
        <f>" 경    비  :   "&amp;TEXT(I649,"#,##0"&amp;IF(I649&lt;&gt;INT(I649),".###",""))&amp;" / Q   = "&amp;TEXT(C649,"#,##0.0")&amp;""</f>
        <v xml:space="preserve"> 경    비  :   24,001 / Q   = 989.3</v>
      </c>
      <c r="C649" s="148">
        <f>E649+D649+F649</f>
        <v>989.3</v>
      </c>
      <c r="D649" s="148">
        <f>IF(H649=0,0,ROUNDDOWN(J649*H649,1))</f>
        <v>0</v>
      </c>
      <c r="E649" s="148">
        <f>IF(H649=0,0,ROUNDDOWN(K649*H649,1))</f>
        <v>0</v>
      </c>
      <c r="F649" s="148">
        <f>IF(H649=0,0,ROUNDDOWN(L649*H649,1))</f>
        <v>989.3</v>
      </c>
      <c r="G649" s="17" t="s">
        <v>1139</v>
      </c>
      <c r="H649" s="152">
        <f>ROUNDUP(AC649,14-LEN(ABS(INT(AC649))))</f>
        <v>4.1220115416400006E-2</v>
      </c>
      <c r="I649" s="153">
        <f>K649+J649+L649</f>
        <v>24001</v>
      </c>
      <c r="L649" s="37">
        <f>중기목록표!H5</f>
        <v>24001</v>
      </c>
      <c r="M649" s="34" t="s">
        <v>1120</v>
      </c>
      <c r="N649" s="34" t="s">
        <v>886</v>
      </c>
      <c r="X649" s="154" t="str">
        <f>중기목록표!B5&amp;" / "&amp;중기목록표!C5</f>
        <v>굴착기(무한궤도) / 0.7㎥</v>
      </c>
      <c r="Y649" s="3" t="str">
        <f ca="1">HYPERLINK("#"&amp;중기목록표!J2&amp;"!A"&amp;ROW(중기목록표!A5),"X00005 →")</f>
        <v>X00005 →</v>
      </c>
      <c r="Z649" s="34" t="s">
        <v>879</v>
      </c>
      <c r="AA649" s="158" t="str">
        <f>AL643</f>
        <v>24.26</v>
      </c>
      <c r="AB649" s="34" t="s">
        <v>871</v>
      </c>
      <c r="AC649" s="158">
        <f>1/AL643</f>
        <v>4.1220115416323165E-2</v>
      </c>
      <c r="AD649" s="155"/>
      <c r="AE649" s="155"/>
      <c r="AF649" s="155"/>
      <c r="AG649" s="155"/>
      <c r="AH649" s="155"/>
      <c r="AI649" s="155"/>
      <c r="AJ649" s="155"/>
      <c r="AK649" s="155"/>
      <c r="AL649" s="155"/>
      <c r="AM649" s="155"/>
      <c r="AN649" s="155"/>
      <c r="AO649" s="155"/>
      <c r="AP649" s="155"/>
      <c r="AQ649" s="155"/>
      <c r="AR649" s="155"/>
      <c r="AS649" s="155"/>
    </row>
    <row r="650" spans="1:45" ht="12.6" customHeight="1" x14ac:dyDescent="0.3">
      <c r="A650" s="107"/>
      <c r="B650" s="107"/>
      <c r="C650" s="107"/>
      <c r="D650" s="107"/>
      <c r="E650" s="107"/>
      <c r="F650" s="107"/>
      <c r="G650" s="17" t="s">
        <v>848</v>
      </c>
      <c r="Z650" s="155"/>
      <c r="AA650" s="155"/>
      <c r="AB650" s="155"/>
      <c r="AC650" s="155"/>
      <c r="AD650" s="155"/>
      <c r="AE650" s="155"/>
      <c r="AF650" s="155"/>
      <c r="AG650" s="155"/>
      <c r="AH650" s="155"/>
      <c r="AI650" s="155"/>
      <c r="AJ650" s="155"/>
      <c r="AK650" s="155"/>
      <c r="AL650" s="155"/>
      <c r="AM650" s="155"/>
      <c r="AN650" s="155"/>
      <c r="AO650" s="155"/>
      <c r="AP650" s="155"/>
      <c r="AQ650" s="155"/>
      <c r="AR650" s="155"/>
      <c r="AS650" s="155"/>
    </row>
    <row r="651" spans="1:45" ht="12.6" customHeight="1" x14ac:dyDescent="0.3">
      <c r="A651" s="84"/>
      <c r="B651" s="41" t="s">
        <v>885</v>
      </c>
      <c r="C651" s="149">
        <f>E651+D651+F651</f>
        <v>4077.5</v>
      </c>
      <c r="D651" s="149">
        <f>SUMIF(N631:N650,M651,D631:D650)</f>
        <v>2352.6999999999998</v>
      </c>
      <c r="E651" s="149">
        <f>SUMIF(N631:N650,M651,E631:E650)</f>
        <v>735.5</v>
      </c>
      <c r="F651" s="149">
        <f>SUMIF(N631:N650,M651,F631:F650)</f>
        <v>989.3</v>
      </c>
      <c r="G651" s="17" t="s">
        <v>884</v>
      </c>
      <c r="M651" s="34" t="s">
        <v>886</v>
      </c>
      <c r="N651" s="34" t="s">
        <v>891</v>
      </c>
      <c r="Z651" s="155"/>
      <c r="AA651" s="155"/>
      <c r="AB651" s="155"/>
      <c r="AC651" s="155"/>
      <c r="AD651" s="155"/>
      <c r="AE651" s="155"/>
      <c r="AF651" s="155"/>
      <c r="AG651" s="155"/>
      <c r="AH651" s="155"/>
      <c r="AI651" s="155"/>
      <c r="AJ651" s="155"/>
      <c r="AK651" s="155"/>
      <c r="AL651" s="155"/>
      <c r="AM651" s="155"/>
      <c r="AN651" s="155"/>
      <c r="AO651" s="155"/>
      <c r="AP651" s="155"/>
      <c r="AQ651" s="155"/>
      <c r="AR651" s="155"/>
      <c r="AS651" s="155"/>
    </row>
    <row r="652" spans="1:45" ht="12.6" customHeight="1" x14ac:dyDescent="0.3">
      <c r="A652" s="107"/>
      <c r="B652" s="107"/>
      <c r="C652" s="147"/>
      <c r="D652" s="147"/>
      <c r="E652" s="147"/>
      <c r="F652" s="147"/>
      <c r="G652" s="17" t="s">
        <v>848</v>
      </c>
      <c r="Z652" s="155"/>
      <c r="AA652" s="155"/>
      <c r="AB652" s="155"/>
      <c r="AC652" s="155"/>
      <c r="AD652" s="155"/>
      <c r="AE652" s="155"/>
      <c r="AF652" s="155"/>
      <c r="AG652" s="155"/>
      <c r="AH652" s="155"/>
      <c r="AI652" s="155"/>
      <c r="AJ652" s="155"/>
      <c r="AK652" s="155"/>
      <c r="AL652" s="155"/>
      <c r="AM652" s="155"/>
      <c r="AN652" s="155"/>
      <c r="AO652" s="155"/>
      <c r="AP652" s="155"/>
      <c r="AQ652" s="155"/>
      <c r="AR652" s="155"/>
      <c r="AS652" s="155"/>
    </row>
    <row r="653" spans="1:45" ht="12.6" customHeight="1" x14ac:dyDescent="0.3">
      <c r="A653" s="84"/>
      <c r="B653" s="41" t="s">
        <v>1141</v>
      </c>
      <c r="C653" s="107"/>
      <c r="D653" s="107"/>
      <c r="E653" s="107"/>
      <c r="F653" s="107"/>
      <c r="G653" s="17" t="s">
        <v>1140</v>
      </c>
      <c r="Z653" s="155"/>
      <c r="AA653" s="155"/>
      <c r="AB653" s="155"/>
      <c r="AC653" s="155"/>
      <c r="AD653" s="155"/>
      <c r="AE653" s="155"/>
      <c r="AF653" s="155"/>
      <c r="AG653" s="155"/>
      <c r="AH653" s="155"/>
      <c r="AI653" s="155"/>
      <c r="AJ653" s="155"/>
      <c r="AK653" s="155"/>
      <c r="AL653" s="155"/>
      <c r="AM653" s="155"/>
      <c r="AN653" s="155"/>
      <c r="AO653" s="155"/>
      <c r="AP653" s="155"/>
      <c r="AQ653" s="155"/>
      <c r="AR653" s="155"/>
      <c r="AS653" s="155"/>
    </row>
    <row r="654" spans="1:45" ht="12.6" customHeight="1" x14ac:dyDescent="0.3">
      <c r="A654" s="107"/>
      <c r="B654" s="107"/>
      <c r="C654" s="107"/>
      <c r="D654" s="107"/>
      <c r="E654" s="107"/>
      <c r="F654" s="107"/>
      <c r="G654" s="17" t="s">
        <v>848</v>
      </c>
      <c r="Z654" s="155"/>
      <c r="AA654" s="155"/>
      <c r="AB654" s="155"/>
      <c r="AC654" s="155"/>
      <c r="AD654" s="155"/>
      <c r="AE654" s="155"/>
      <c r="AF654" s="155"/>
      <c r="AG654" s="155"/>
      <c r="AH654" s="155"/>
      <c r="AI654" s="155"/>
      <c r="AJ654" s="155"/>
      <c r="AK654" s="155"/>
      <c r="AL654" s="155"/>
      <c r="AM654" s="155"/>
      <c r="AN654" s="155"/>
      <c r="AO654" s="155"/>
      <c r="AP654" s="155"/>
      <c r="AQ654" s="155"/>
      <c r="AR654" s="155"/>
      <c r="AS654" s="155"/>
    </row>
    <row r="655" spans="1:45" ht="12.6" customHeight="1" x14ac:dyDescent="0.3">
      <c r="A655" s="84"/>
      <c r="B655" s="41" t="str">
        <f>"V  (다짐속도(km/hr))  = "&amp;Z655&amp;""</f>
        <v>V  (다짐속도(km/hr))  = 4</v>
      </c>
      <c r="C655" s="107"/>
      <c r="D655" s="107"/>
      <c r="E655" s="107"/>
      <c r="F655" s="107"/>
      <c r="G655" s="17" t="s">
        <v>1142</v>
      </c>
      <c r="Z655" s="157">
        <v>4</v>
      </c>
      <c r="AA655" s="34" t="s">
        <v>871</v>
      </c>
      <c r="AB655" s="158">
        <f>Z655</f>
        <v>4</v>
      </c>
      <c r="AC655" s="155"/>
      <c r="AD655" s="155"/>
      <c r="AE655" s="155"/>
      <c r="AF655" s="155"/>
      <c r="AG655" s="155"/>
      <c r="AH655" s="155"/>
      <c r="AI655" s="155"/>
      <c r="AJ655" s="155"/>
      <c r="AK655" s="155"/>
      <c r="AL655" s="155"/>
      <c r="AM655" s="155"/>
      <c r="AN655" s="155"/>
      <c r="AO655" s="155"/>
      <c r="AP655" s="155"/>
      <c r="AQ655" s="155"/>
      <c r="AR655" s="155"/>
      <c r="AS655" s="155"/>
    </row>
    <row r="656" spans="1:45" ht="12.6" customHeight="1" x14ac:dyDescent="0.3">
      <c r="A656" s="107"/>
      <c r="B656" s="107"/>
      <c r="C656" s="107"/>
      <c r="D656" s="107"/>
      <c r="E656" s="107"/>
      <c r="F656" s="107"/>
      <c r="G656" s="17" t="s">
        <v>848</v>
      </c>
      <c r="Z656" s="155"/>
      <c r="AA656" s="155"/>
      <c r="AB656" s="155"/>
      <c r="AC656" s="155"/>
      <c r="AD656" s="155"/>
      <c r="AE656" s="155"/>
      <c r="AF656" s="155"/>
      <c r="AG656" s="155"/>
      <c r="AH656" s="155"/>
      <c r="AI656" s="155"/>
      <c r="AJ656" s="155"/>
      <c r="AK656" s="155"/>
      <c r="AL656" s="155"/>
      <c r="AM656" s="155"/>
      <c r="AN656" s="155"/>
      <c r="AO656" s="155"/>
      <c r="AP656" s="155"/>
      <c r="AQ656" s="155"/>
      <c r="AR656" s="155"/>
      <c r="AS656" s="155"/>
    </row>
    <row r="657" spans="1:45" ht="12.6" customHeight="1" x14ac:dyDescent="0.3">
      <c r="A657" s="84"/>
      <c r="B657" s="41" t="str">
        <f>"W1  (롤러의 유효폭(m))  = "&amp;Z657&amp;""</f>
        <v>W1  (롤러의 유효폭(m))  = 1.9</v>
      </c>
      <c r="C657" s="107"/>
      <c r="D657" s="107"/>
      <c r="E657" s="107"/>
      <c r="F657" s="107"/>
      <c r="G657" s="17" t="s">
        <v>1143</v>
      </c>
      <c r="Z657" s="156">
        <v>1.9</v>
      </c>
      <c r="AA657" s="34" t="s">
        <v>871</v>
      </c>
      <c r="AB657" s="158">
        <f>Z657</f>
        <v>1.9</v>
      </c>
      <c r="AC657" s="155"/>
      <c r="AD657" s="155"/>
      <c r="AE657" s="155"/>
      <c r="AF657" s="155"/>
      <c r="AG657" s="155"/>
      <c r="AH657" s="155"/>
      <c r="AI657" s="155"/>
      <c r="AJ657" s="155"/>
      <c r="AK657" s="155"/>
      <c r="AL657" s="155"/>
      <c r="AM657" s="155"/>
      <c r="AN657" s="155"/>
      <c r="AO657" s="155"/>
      <c r="AP657" s="155"/>
      <c r="AQ657" s="155"/>
      <c r="AR657" s="155"/>
      <c r="AS657" s="155"/>
    </row>
    <row r="658" spans="1:45" ht="12.6" customHeight="1" x14ac:dyDescent="0.3">
      <c r="A658" s="107"/>
      <c r="B658" s="107"/>
      <c r="C658" s="107"/>
      <c r="D658" s="107"/>
      <c r="E658" s="107"/>
      <c r="F658" s="107"/>
      <c r="G658" s="17" t="s">
        <v>848</v>
      </c>
      <c r="Z658" s="155"/>
      <c r="AA658" s="155"/>
      <c r="AB658" s="155"/>
      <c r="AC658" s="155"/>
      <c r="AD658" s="155"/>
      <c r="AE658" s="155"/>
      <c r="AF658" s="155"/>
      <c r="AG658" s="155"/>
      <c r="AH658" s="155"/>
      <c r="AI658" s="155"/>
      <c r="AJ658" s="155"/>
      <c r="AK658" s="155"/>
      <c r="AL658" s="155"/>
      <c r="AM658" s="155"/>
      <c r="AN658" s="155"/>
      <c r="AO658" s="155"/>
      <c r="AP658" s="155"/>
      <c r="AQ658" s="155"/>
      <c r="AR658" s="155"/>
      <c r="AS658" s="155"/>
    </row>
    <row r="659" spans="1:45" ht="12.6" customHeight="1" x14ac:dyDescent="0.3">
      <c r="A659" s="84"/>
      <c r="B659" s="41" t="str">
        <f>"N  (소요 다짐 횟수)  = "&amp;Z659&amp;""</f>
        <v>N  (소요 다짐 횟수)  = 6</v>
      </c>
      <c r="C659" s="107"/>
      <c r="D659" s="107"/>
      <c r="E659" s="107"/>
      <c r="F659" s="107"/>
      <c r="G659" s="17" t="s">
        <v>1144</v>
      </c>
      <c r="Z659" s="157">
        <v>6</v>
      </c>
      <c r="AA659" s="34" t="s">
        <v>871</v>
      </c>
      <c r="AB659" s="158">
        <f>Z659</f>
        <v>6</v>
      </c>
      <c r="AC659" s="155"/>
      <c r="AD659" s="155"/>
      <c r="AE659" s="155"/>
      <c r="AF659" s="155"/>
      <c r="AG659" s="155"/>
      <c r="AH659" s="155"/>
      <c r="AI659" s="155"/>
      <c r="AJ659" s="155"/>
      <c r="AK659" s="155"/>
      <c r="AL659" s="155"/>
      <c r="AM659" s="155"/>
      <c r="AN659" s="155"/>
      <c r="AO659" s="155"/>
      <c r="AP659" s="155"/>
      <c r="AQ659" s="155"/>
      <c r="AR659" s="155"/>
      <c r="AS659" s="155"/>
    </row>
    <row r="660" spans="1:45" ht="12.6" customHeight="1" x14ac:dyDescent="0.3">
      <c r="A660" s="107"/>
      <c r="B660" s="107"/>
      <c r="C660" s="107"/>
      <c r="D660" s="107"/>
      <c r="E660" s="107"/>
      <c r="F660" s="107"/>
      <c r="G660" s="17" t="s">
        <v>848</v>
      </c>
      <c r="Z660" s="155"/>
      <c r="AA660" s="155"/>
      <c r="AB660" s="155"/>
      <c r="AC660" s="155"/>
      <c r="AD660" s="155"/>
      <c r="AE660" s="155"/>
      <c r="AF660" s="155"/>
      <c r="AG660" s="155"/>
      <c r="AH660" s="155"/>
      <c r="AI660" s="155"/>
      <c r="AJ660" s="155"/>
      <c r="AK660" s="155"/>
      <c r="AL660" s="155"/>
      <c r="AM660" s="155"/>
      <c r="AN660" s="155"/>
      <c r="AO660" s="155"/>
      <c r="AP660" s="155"/>
      <c r="AQ660" s="155"/>
      <c r="AR660" s="155"/>
      <c r="AS660" s="155"/>
    </row>
    <row r="661" spans="1:45" ht="12.6" customHeight="1" x14ac:dyDescent="0.3">
      <c r="A661" s="84"/>
      <c r="B661" s="41" t="str">
        <f>"E  (작업효율)  = "&amp;Z661&amp;""</f>
        <v>E  (작업효율)  = 0.4</v>
      </c>
      <c r="C661" s="107"/>
      <c r="D661" s="107"/>
      <c r="E661" s="107"/>
      <c r="F661" s="107"/>
      <c r="G661" s="17" t="s">
        <v>1145</v>
      </c>
      <c r="Z661" s="156">
        <v>0.4</v>
      </c>
      <c r="AA661" s="34" t="s">
        <v>871</v>
      </c>
      <c r="AB661" s="158">
        <f>Z661</f>
        <v>0.4</v>
      </c>
      <c r="AC661" s="155"/>
      <c r="AD661" s="155"/>
      <c r="AE661" s="155"/>
      <c r="AF661" s="155"/>
      <c r="AG661" s="155"/>
      <c r="AH661" s="155"/>
      <c r="AI661" s="155"/>
      <c r="AJ661" s="155"/>
      <c r="AK661" s="155"/>
      <c r="AL661" s="155"/>
      <c r="AM661" s="155"/>
      <c r="AN661" s="155"/>
      <c r="AO661" s="155"/>
      <c r="AP661" s="155"/>
      <c r="AQ661" s="155"/>
      <c r="AR661" s="155"/>
      <c r="AS661" s="155"/>
    </row>
    <row r="662" spans="1:45" ht="12.6" customHeight="1" x14ac:dyDescent="0.3">
      <c r="A662" s="107"/>
      <c r="B662" s="107"/>
      <c r="C662" s="107"/>
      <c r="D662" s="107"/>
      <c r="E662" s="107"/>
      <c r="F662" s="107"/>
      <c r="G662" s="17" t="s">
        <v>848</v>
      </c>
      <c r="Z662" s="155"/>
      <c r="AA662" s="155"/>
      <c r="AB662" s="155"/>
      <c r="AC662" s="155"/>
      <c r="AD662" s="155"/>
      <c r="AE662" s="155"/>
      <c r="AF662" s="155"/>
      <c r="AG662" s="155"/>
      <c r="AH662" s="155"/>
      <c r="AI662" s="155"/>
      <c r="AJ662" s="155"/>
      <c r="AK662" s="155"/>
      <c r="AL662" s="155"/>
      <c r="AM662" s="155"/>
      <c r="AN662" s="155"/>
      <c r="AO662" s="155"/>
      <c r="AP662" s="155"/>
      <c r="AQ662" s="155"/>
      <c r="AR662" s="155"/>
      <c r="AS662" s="155"/>
    </row>
    <row r="663" spans="1:45" ht="12.6" customHeight="1" x14ac:dyDescent="0.3">
      <c r="A663" s="84"/>
      <c r="B663" s="41" t="str">
        <f>"f  (토량의 체적 환산계수)  = "&amp;Z663&amp;""</f>
        <v>f  (토량의 체적 환산계수)  = 1</v>
      </c>
      <c r="C663" s="107"/>
      <c r="D663" s="107"/>
      <c r="E663" s="107"/>
      <c r="F663" s="107"/>
      <c r="G663" s="17" t="s">
        <v>1146</v>
      </c>
      <c r="Z663" s="157">
        <v>1</v>
      </c>
      <c r="AA663" s="34" t="s">
        <v>871</v>
      </c>
      <c r="AB663" s="158">
        <f>Z663</f>
        <v>1</v>
      </c>
      <c r="AC663" s="155"/>
      <c r="AD663" s="155"/>
      <c r="AE663" s="155"/>
      <c r="AF663" s="155"/>
      <c r="AG663" s="155"/>
      <c r="AH663" s="155"/>
      <c r="AI663" s="155"/>
      <c r="AJ663" s="155"/>
      <c r="AK663" s="155"/>
      <c r="AL663" s="155"/>
      <c r="AM663" s="155"/>
      <c r="AN663" s="155"/>
      <c r="AO663" s="155"/>
      <c r="AP663" s="155"/>
      <c r="AQ663" s="155"/>
      <c r="AR663" s="155"/>
      <c r="AS663" s="155"/>
    </row>
    <row r="664" spans="1:45" ht="12.6" customHeight="1" x14ac:dyDescent="0.3">
      <c r="A664" s="107"/>
      <c r="B664" s="107"/>
      <c r="C664" s="107"/>
      <c r="D664" s="107"/>
      <c r="E664" s="107"/>
      <c r="F664" s="107"/>
      <c r="G664" s="17" t="s">
        <v>848</v>
      </c>
      <c r="Z664" s="155"/>
      <c r="AA664" s="155"/>
      <c r="AB664" s="155"/>
      <c r="AC664" s="155"/>
      <c r="AD664" s="155"/>
      <c r="AE664" s="155"/>
      <c r="AF664" s="155"/>
      <c r="AG664" s="155"/>
      <c r="AH664" s="155"/>
      <c r="AI664" s="155"/>
      <c r="AJ664" s="155"/>
      <c r="AK664" s="155"/>
      <c r="AL664" s="155"/>
      <c r="AM664" s="155"/>
      <c r="AN664" s="155"/>
      <c r="AO664" s="155"/>
      <c r="AP664" s="155"/>
      <c r="AQ664" s="155"/>
      <c r="AR664" s="155"/>
      <c r="AS664" s="155"/>
    </row>
    <row r="665" spans="1:45" ht="12.6" customHeight="1" x14ac:dyDescent="0.3">
      <c r="A665" s="84"/>
      <c r="B665" s="41" t="str">
        <f>"A  (시간당 다짐 면적(m2/hr))  = "&amp;Z665&amp;" * V * W1 * E * f / N = "&amp;AL665&amp;"   m2/Hr "</f>
        <v xml:space="preserve">A  (시간당 다짐 면적(m2/hr))  = 1000 * V * W1 * E * f / N = 506.67   m2/Hr </v>
      </c>
      <c r="C665" s="107"/>
      <c r="D665" s="107"/>
      <c r="E665" s="107"/>
      <c r="F665" s="107"/>
      <c r="G665" s="17" t="s">
        <v>1147</v>
      </c>
      <c r="Z665" s="157">
        <v>1000</v>
      </c>
      <c r="AA665" s="34" t="s">
        <v>876</v>
      </c>
      <c r="AB665" s="158">
        <f>AB655</f>
        <v>4</v>
      </c>
      <c r="AC665" s="34" t="s">
        <v>876</v>
      </c>
      <c r="AD665" s="158">
        <f>AB657</f>
        <v>1.9</v>
      </c>
      <c r="AE665" s="34" t="s">
        <v>876</v>
      </c>
      <c r="AF665" s="158">
        <f>AB661</f>
        <v>0.4</v>
      </c>
      <c r="AG665" s="34" t="s">
        <v>876</v>
      </c>
      <c r="AH665" s="158">
        <f>AB663</f>
        <v>1</v>
      </c>
      <c r="AI665" s="34" t="s">
        <v>873</v>
      </c>
      <c r="AJ665" s="158">
        <f>AB659</f>
        <v>6</v>
      </c>
      <c r="AK665" s="34" t="s">
        <v>871</v>
      </c>
      <c r="AL665" s="158" t="str">
        <f>TEXT(ROUND(Z665*AB655*AB657*AB661*AB663/AB659,2),"#,0.00")</f>
        <v>506.67</v>
      </c>
      <c r="AM665" s="155"/>
      <c r="AN665" s="155"/>
      <c r="AO665" s="155"/>
      <c r="AP665" s="155"/>
      <c r="AQ665" s="155"/>
      <c r="AR665" s="155"/>
      <c r="AS665" s="155"/>
    </row>
    <row r="666" spans="1:45" ht="12.6" customHeight="1" x14ac:dyDescent="0.3">
      <c r="A666" s="107"/>
      <c r="B666" s="107"/>
      <c r="C666" s="107"/>
      <c r="D666" s="107"/>
      <c r="E666" s="107"/>
      <c r="F666" s="107"/>
      <c r="G666" s="17" t="s">
        <v>848</v>
      </c>
      <c r="Z666" s="155"/>
      <c r="AA666" s="155"/>
      <c r="AB666" s="155"/>
      <c r="AC666" s="155"/>
      <c r="AD666" s="155"/>
      <c r="AE666" s="155"/>
      <c r="AF666" s="155"/>
      <c r="AG666" s="155"/>
      <c r="AH666" s="155"/>
      <c r="AI666" s="155"/>
      <c r="AJ666" s="155"/>
      <c r="AK666" s="155"/>
      <c r="AL666" s="155"/>
      <c r="AM666" s="155"/>
      <c r="AN666" s="155"/>
      <c r="AO666" s="155"/>
      <c r="AP666" s="155"/>
      <c r="AQ666" s="155"/>
      <c r="AR666" s="155"/>
      <c r="AS666" s="155"/>
    </row>
    <row r="667" spans="1:45" ht="12.6" customHeight="1" x14ac:dyDescent="0.3">
      <c r="A667" s="84" t="s">
        <v>1149</v>
      </c>
      <c r="B667" s="146" t="str">
        <f>" 노 무 비  : "&amp;TEXT(I667,"#,##0"&amp;IF(I667&lt;&gt;INT(I667),".###",""))&amp;" / A * "&amp;AC667&amp;" = "&amp;TEXT(C667,"#,##0.0")&amp;""</f>
        <v xml:space="preserve"> 노 무 비  : 57,077 / A * 10 = 1,126.5</v>
      </c>
      <c r="C667" s="148">
        <f>E667+D667+F667</f>
        <v>1126.5</v>
      </c>
      <c r="D667" s="148">
        <f>IF(H667=0,0,ROUNDDOWN(J667*H667,1))</f>
        <v>1126.5</v>
      </c>
      <c r="E667" s="148">
        <f>IF(H667=0,0,ROUNDDOWN(K667*H667,1))</f>
        <v>0</v>
      </c>
      <c r="F667" s="148">
        <f>IF(H667=0,0,ROUNDDOWN(L667*H667,1))</f>
        <v>0</v>
      </c>
      <c r="G667" s="17" t="s">
        <v>1148</v>
      </c>
      <c r="H667" s="152">
        <f>ROUNDUP(AE667,14-LEN(ABS(INT(AE667))))</f>
        <v>1.9736712258499999E-2</v>
      </c>
      <c r="I667" s="153">
        <f>K667+J667+L667</f>
        <v>57077</v>
      </c>
      <c r="J667" s="37">
        <f>중기목록표!F18</f>
        <v>57077</v>
      </c>
      <c r="M667" s="34" t="s">
        <v>1150</v>
      </c>
      <c r="N667" s="34" t="s">
        <v>886</v>
      </c>
      <c r="X667" s="154" t="str">
        <f>중기목록표!B18&amp;" / "&amp;중기목록표!C18</f>
        <v>진동롤러(자주식) / 10톤</v>
      </c>
      <c r="Y667" s="3" t="str">
        <f ca="1">HYPERLINK("#"&amp;중기목록표!J2&amp;"!A"&amp;ROW(중기목록표!A18),"X00094 →")</f>
        <v>X00094 →</v>
      </c>
      <c r="Z667" s="34" t="s">
        <v>879</v>
      </c>
      <c r="AA667" s="158" t="str">
        <f>AL665</f>
        <v>506.67</v>
      </c>
      <c r="AB667" s="34" t="s">
        <v>876</v>
      </c>
      <c r="AC667" s="157">
        <v>10</v>
      </c>
      <c r="AD667" s="34" t="s">
        <v>871</v>
      </c>
      <c r="AE667" s="158">
        <f>1/AL665*AC667</f>
        <v>1.9736712258471983E-2</v>
      </c>
      <c r="AF667" s="155"/>
      <c r="AG667" s="155"/>
      <c r="AH667" s="155"/>
      <c r="AI667" s="155"/>
      <c r="AJ667" s="155"/>
      <c r="AK667" s="155"/>
      <c r="AL667" s="155"/>
      <c r="AM667" s="155"/>
      <c r="AN667" s="155"/>
      <c r="AO667" s="155"/>
      <c r="AP667" s="155"/>
      <c r="AQ667" s="155"/>
      <c r="AR667" s="155"/>
      <c r="AS667" s="155"/>
    </row>
    <row r="668" spans="1:45" ht="12.6" customHeight="1" x14ac:dyDescent="0.3">
      <c r="A668" s="107"/>
      <c r="B668" s="107"/>
      <c r="C668" s="107"/>
      <c r="D668" s="107"/>
      <c r="E668" s="107"/>
      <c r="F668" s="107"/>
      <c r="G668" s="17" t="s">
        <v>848</v>
      </c>
      <c r="Z668" s="155"/>
      <c r="AA668" s="155"/>
      <c r="AB668" s="155"/>
      <c r="AC668" s="155"/>
      <c r="AD668" s="155"/>
      <c r="AE668" s="155"/>
      <c r="AF668" s="155"/>
      <c r="AG668" s="155"/>
      <c r="AH668" s="155"/>
      <c r="AI668" s="155"/>
      <c r="AJ668" s="155"/>
      <c r="AK668" s="155"/>
      <c r="AL668" s="155"/>
      <c r="AM668" s="155"/>
      <c r="AN668" s="155"/>
      <c r="AO668" s="155"/>
      <c r="AP668" s="155"/>
      <c r="AQ668" s="155"/>
      <c r="AR668" s="155"/>
      <c r="AS668" s="155"/>
    </row>
    <row r="669" spans="1:45" ht="12.6" customHeight="1" x14ac:dyDescent="0.3">
      <c r="A669" s="84" t="s">
        <v>1152</v>
      </c>
      <c r="B669" s="146" t="str">
        <f>" 재 료 비  : "&amp;TEXT(I669,"#,##0"&amp;IF(I669&lt;&gt;INT(I669),".###",""))&amp;" / A * "&amp;AC669&amp;" = "&amp;TEXT(C669,"#,##0.0")&amp;""</f>
        <v xml:space="preserve"> 재 료 비  : 23,605 / A * 10 = 465.8</v>
      </c>
      <c r="C669" s="148">
        <f>E669+D669+F669</f>
        <v>465.8</v>
      </c>
      <c r="D669" s="148">
        <f>IF(H669=0,0,ROUNDDOWN(J669*H669,1))</f>
        <v>0</v>
      </c>
      <c r="E669" s="148">
        <f>IF(H669=0,0,ROUNDDOWN(K669*H669,1))</f>
        <v>465.8</v>
      </c>
      <c r="F669" s="148">
        <f>IF(H669=0,0,ROUNDDOWN(L669*H669,1))</f>
        <v>0</v>
      </c>
      <c r="G669" s="17" t="s">
        <v>1151</v>
      </c>
      <c r="H669" s="152">
        <f>ROUNDUP(AE669,14-LEN(ABS(INT(AE669))))</f>
        <v>1.9736712258499999E-2</v>
      </c>
      <c r="I669" s="153">
        <f>K669+J669+L669</f>
        <v>23605</v>
      </c>
      <c r="K669" s="37">
        <f>중기목록표!G18</f>
        <v>23605</v>
      </c>
      <c r="M669" s="34" t="s">
        <v>1150</v>
      </c>
      <c r="N669" s="34" t="s">
        <v>886</v>
      </c>
      <c r="X669" s="154" t="str">
        <f>중기목록표!B18&amp;" / "&amp;중기목록표!C18</f>
        <v>진동롤러(자주식) / 10톤</v>
      </c>
      <c r="Y669" s="3" t="str">
        <f ca="1">HYPERLINK("#"&amp;중기목록표!J2&amp;"!A"&amp;ROW(중기목록표!A18),"X00094 →")</f>
        <v>X00094 →</v>
      </c>
      <c r="Z669" s="34" t="s">
        <v>879</v>
      </c>
      <c r="AA669" s="158" t="str">
        <f>AL665</f>
        <v>506.67</v>
      </c>
      <c r="AB669" s="34" t="s">
        <v>876</v>
      </c>
      <c r="AC669" s="157">
        <v>10</v>
      </c>
      <c r="AD669" s="34" t="s">
        <v>871</v>
      </c>
      <c r="AE669" s="158">
        <f>1/AL665*AC669</f>
        <v>1.9736712258471983E-2</v>
      </c>
      <c r="AF669" s="155"/>
      <c r="AG669" s="155"/>
      <c r="AH669" s="155"/>
      <c r="AI669" s="155"/>
      <c r="AJ669" s="155"/>
      <c r="AK669" s="155"/>
      <c r="AL669" s="155"/>
      <c r="AM669" s="155"/>
      <c r="AN669" s="155"/>
      <c r="AO669" s="155"/>
      <c r="AP669" s="155"/>
      <c r="AQ669" s="155"/>
      <c r="AR669" s="155"/>
      <c r="AS669" s="155"/>
    </row>
    <row r="670" spans="1:45" ht="12.6" customHeight="1" x14ac:dyDescent="0.3">
      <c r="A670" s="107"/>
      <c r="B670" s="107"/>
      <c r="C670" s="107"/>
      <c r="D670" s="107"/>
      <c r="E670" s="107"/>
      <c r="F670" s="107"/>
      <c r="G670" s="17" t="s">
        <v>848</v>
      </c>
      <c r="Z670" s="155"/>
      <c r="AA670" s="155"/>
      <c r="AB670" s="155"/>
      <c r="AC670" s="155"/>
      <c r="AD670" s="155"/>
      <c r="AE670" s="155"/>
      <c r="AF670" s="155"/>
      <c r="AG670" s="155"/>
      <c r="AH670" s="155"/>
      <c r="AI670" s="155"/>
      <c r="AJ670" s="155"/>
      <c r="AK670" s="155"/>
      <c r="AL670" s="155"/>
      <c r="AM670" s="155"/>
      <c r="AN670" s="155"/>
      <c r="AO670" s="155"/>
      <c r="AP670" s="155"/>
      <c r="AQ670" s="155"/>
      <c r="AR670" s="155"/>
      <c r="AS670" s="155"/>
    </row>
    <row r="671" spans="1:45" ht="12.6" customHeight="1" x14ac:dyDescent="0.3">
      <c r="A671" s="84" t="s">
        <v>1154</v>
      </c>
      <c r="B671" s="146" t="str">
        <f>" 경    비  : "&amp;TEXT(I671,"#,##0"&amp;IF(I671&lt;&gt;INT(I671),".###",""))&amp;" / A * "&amp;AC671&amp;" = "&amp;TEXT(C671,"#,##0.0")&amp;""</f>
        <v xml:space="preserve"> 경    비  : 26,193 / A * 10 = 516.9</v>
      </c>
      <c r="C671" s="148">
        <f>E671+D671+F671</f>
        <v>516.9</v>
      </c>
      <c r="D671" s="148">
        <f>IF(H671=0,0,ROUNDDOWN(J671*H671,1))</f>
        <v>0</v>
      </c>
      <c r="E671" s="148">
        <f>IF(H671=0,0,ROUNDDOWN(K671*H671,1))</f>
        <v>0</v>
      </c>
      <c r="F671" s="148">
        <f>IF(H671=0,0,ROUNDDOWN(L671*H671,1))</f>
        <v>516.9</v>
      </c>
      <c r="G671" s="17" t="s">
        <v>1153</v>
      </c>
      <c r="H671" s="152">
        <f>ROUNDUP(AE671,14-LEN(ABS(INT(AE671))))</f>
        <v>1.9736712258499999E-2</v>
      </c>
      <c r="I671" s="153">
        <f>K671+J671+L671</f>
        <v>26193</v>
      </c>
      <c r="L671" s="37">
        <f>중기목록표!H18</f>
        <v>26193</v>
      </c>
      <c r="M671" s="34" t="s">
        <v>1150</v>
      </c>
      <c r="N671" s="34" t="s">
        <v>886</v>
      </c>
      <c r="X671" s="154" t="str">
        <f>중기목록표!B18&amp;" / "&amp;중기목록표!C18</f>
        <v>진동롤러(자주식) / 10톤</v>
      </c>
      <c r="Y671" s="3" t="str">
        <f ca="1">HYPERLINK("#"&amp;중기목록표!J2&amp;"!A"&amp;ROW(중기목록표!A18),"X00094 →")</f>
        <v>X00094 →</v>
      </c>
      <c r="Z671" s="34" t="s">
        <v>879</v>
      </c>
      <c r="AA671" s="158" t="str">
        <f>AL665</f>
        <v>506.67</v>
      </c>
      <c r="AB671" s="34" t="s">
        <v>876</v>
      </c>
      <c r="AC671" s="157">
        <v>10</v>
      </c>
      <c r="AD671" s="34" t="s">
        <v>871</v>
      </c>
      <c r="AE671" s="158">
        <f>1/AL665*AC671</f>
        <v>1.9736712258471983E-2</v>
      </c>
      <c r="AF671" s="155"/>
      <c r="AG671" s="155"/>
      <c r="AH671" s="155"/>
      <c r="AI671" s="155"/>
      <c r="AJ671" s="155"/>
      <c r="AK671" s="155"/>
      <c r="AL671" s="155"/>
      <c r="AM671" s="155"/>
      <c r="AN671" s="155"/>
      <c r="AO671" s="155"/>
      <c r="AP671" s="155"/>
      <c r="AQ671" s="155"/>
      <c r="AR671" s="155"/>
      <c r="AS671" s="155"/>
    </row>
    <row r="672" spans="1:45" ht="12.6" customHeight="1" x14ac:dyDescent="0.3">
      <c r="A672" s="107"/>
      <c r="B672" s="107"/>
      <c r="C672" s="107"/>
      <c r="D672" s="107"/>
      <c r="E672" s="107"/>
      <c r="F672" s="107"/>
      <c r="G672" s="17" t="s">
        <v>848</v>
      </c>
      <c r="Z672" s="155"/>
      <c r="AA672" s="155"/>
      <c r="AB672" s="155"/>
      <c r="AC672" s="155"/>
      <c r="AD672" s="155"/>
      <c r="AE672" s="155"/>
      <c r="AF672" s="155"/>
      <c r="AG672" s="155"/>
      <c r="AH672" s="155"/>
      <c r="AI672" s="155"/>
      <c r="AJ672" s="155"/>
      <c r="AK672" s="155"/>
      <c r="AL672" s="155"/>
      <c r="AM672" s="155"/>
      <c r="AN672" s="155"/>
      <c r="AO672" s="155"/>
      <c r="AP672" s="155"/>
      <c r="AQ672" s="155"/>
      <c r="AR672" s="155"/>
      <c r="AS672" s="155"/>
    </row>
    <row r="673" spans="1:45" ht="12.6" customHeight="1" x14ac:dyDescent="0.3">
      <c r="A673" s="84"/>
      <c r="B673" s="41" t="s">
        <v>885</v>
      </c>
      <c r="C673" s="149">
        <f>E673+D673+F673</f>
        <v>2109.1999999999998</v>
      </c>
      <c r="D673" s="149">
        <f>SUMIF(N652:N672,M673,D652:D672)</f>
        <v>1126.5</v>
      </c>
      <c r="E673" s="149">
        <f>SUMIF(N652:N672,M673,E652:E672)</f>
        <v>465.8</v>
      </c>
      <c r="F673" s="149">
        <f>SUMIF(N652:N672,M673,F652:F672)</f>
        <v>516.9</v>
      </c>
      <c r="G673" s="17" t="s">
        <v>884</v>
      </c>
      <c r="M673" s="34" t="s">
        <v>886</v>
      </c>
      <c r="N673" s="34" t="s">
        <v>891</v>
      </c>
      <c r="Z673" s="155"/>
      <c r="AA673" s="155"/>
      <c r="AB673" s="155"/>
      <c r="AC673" s="155"/>
      <c r="AD673" s="155"/>
      <c r="AE673" s="155"/>
      <c r="AF673" s="155"/>
      <c r="AG673" s="155"/>
      <c r="AH673" s="155"/>
      <c r="AI673" s="155"/>
      <c r="AJ673" s="155"/>
      <c r="AK673" s="155"/>
      <c r="AL673" s="155"/>
      <c r="AM673" s="155"/>
      <c r="AN673" s="155"/>
      <c r="AO673" s="155"/>
      <c r="AP673" s="155"/>
      <c r="AQ673" s="155"/>
      <c r="AR673" s="155"/>
      <c r="AS673" s="155"/>
    </row>
    <row r="674" spans="1:45" ht="12.6" customHeight="1" x14ac:dyDescent="0.3">
      <c r="A674" s="107"/>
      <c r="B674" s="107"/>
      <c r="C674" s="147"/>
      <c r="D674" s="147"/>
      <c r="E674" s="147"/>
      <c r="F674" s="147"/>
      <c r="G674" s="17" t="s">
        <v>848</v>
      </c>
      <c r="Z674" s="155"/>
      <c r="AA674" s="155"/>
      <c r="AB674" s="155"/>
      <c r="AC674" s="155"/>
      <c r="AD674" s="155"/>
      <c r="AE674" s="155"/>
      <c r="AF674" s="155"/>
      <c r="AG674" s="155"/>
      <c r="AH674" s="155"/>
      <c r="AI674" s="155"/>
      <c r="AJ674" s="155"/>
      <c r="AK674" s="155"/>
      <c r="AL674" s="155"/>
      <c r="AM674" s="155"/>
      <c r="AN674" s="155"/>
      <c r="AO674" s="155"/>
      <c r="AP674" s="155"/>
      <c r="AQ674" s="155"/>
      <c r="AR674" s="155"/>
      <c r="AS674" s="155"/>
    </row>
    <row r="675" spans="1:45" ht="12.6" customHeight="1" x14ac:dyDescent="0.3">
      <c r="A675" s="84"/>
      <c r="B675" s="41" t="s">
        <v>769</v>
      </c>
      <c r="C675" s="149">
        <f>E675+D675+F675</f>
        <v>6186.7</v>
      </c>
      <c r="D675" s="149">
        <f>SUMIF(N631:N674,M675,D631:D674)</f>
        <v>3479.2</v>
      </c>
      <c r="E675" s="149">
        <f>SUMIF(N631:N674,M675,E631:E674)</f>
        <v>1201.3</v>
      </c>
      <c r="F675" s="149">
        <f>SUMIF(N631:N674,M675,F631:F674)</f>
        <v>1506.1999999999998</v>
      </c>
      <c r="G675" s="17" t="s">
        <v>890</v>
      </c>
      <c r="M675" s="34" t="s">
        <v>891</v>
      </c>
      <c r="N675" s="34" t="s">
        <v>768</v>
      </c>
      <c r="Z675" s="155"/>
      <c r="AA675" s="155"/>
      <c r="AB675" s="155"/>
      <c r="AC675" s="155"/>
      <c r="AD675" s="155"/>
      <c r="AE675" s="155"/>
      <c r="AF675" s="155"/>
      <c r="AG675" s="155"/>
      <c r="AH675" s="155"/>
      <c r="AI675" s="155"/>
      <c r="AJ675" s="155"/>
      <c r="AK675" s="155"/>
      <c r="AL675" s="155"/>
      <c r="AM675" s="155"/>
      <c r="AN675" s="155"/>
      <c r="AO675" s="155"/>
      <c r="AP675" s="155"/>
      <c r="AQ675" s="155"/>
      <c r="AR675" s="155"/>
      <c r="AS675" s="155"/>
    </row>
    <row r="676" spans="1:45" ht="12.6" customHeight="1" x14ac:dyDescent="0.3">
      <c r="A676" s="107"/>
      <c r="B676" s="107"/>
      <c r="C676" s="147"/>
      <c r="D676" s="147"/>
      <c r="E676" s="147"/>
      <c r="F676" s="147"/>
      <c r="Z676" s="155"/>
      <c r="AA676" s="155"/>
      <c r="AB676" s="155"/>
      <c r="AC676" s="155"/>
      <c r="AD676" s="155"/>
      <c r="AE676" s="155"/>
      <c r="AF676" s="155"/>
      <c r="AG676" s="155"/>
      <c r="AH676" s="155"/>
      <c r="AI676" s="155"/>
      <c r="AJ676" s="155"/>
      <c r="AK676" s="155"/>
      <c r="AL676" s="155"/>
      <c r="AM676" s="155"/>
      <c r="AN676" s="155"/>
      <c r="AO676" s="155"/>
      <c r="AP676" s="155"/>
      <c r="AQ676" s="155"/>
      <c r="AR676" s="155"/>
      <c r="AS676" s="155"/>
    </row>
    <row r="677" spans="1:45" ht="12.6" customHeight="1" x14ac:dyDescent="0.3">
      <c r="A677" s="107"/>
      <c r="B677" s="107"/>
      <c r="C677" s="107"/>
      <c r="D677" s="107"/>
      <c r="E677" s="107"/>
      <c r="F677" s="107"/>
      <c r="Z677" s="155"/>
      <c r="AA677" s="155"/>
      <c r="AB677" s="155"/>
      <c r="AC677" s="155"/>
      <c r="AD677" s="155"/>
      <c r="AE677" s="155"/>
      <c r="AF677" s="155"/>
      <c r="AG677" s="155"/>
      <c r="AH677" s="155"/>
      <c r="AI677" s="155"/>
      <c r="AJ677" s="155"/>
      <c r="AK677" s="155"/>
      <c r="AL677" s="155"/>
      <c r="AM677" s="155"/>
      <c r="AN677" s="155"/>
      <c r="AO677" s="155"/>
      <c r="AP677" s="155"/>
      <c r="AQ677" s="155"/>
      <c r="AR677" s="155"/>
      <c r="AS677" s="155"/>
    </row>
    <row r="678" spans="1:45" ht="12.6" customHeight="1" x14ac:dyDescent="0.3">
      <c r="A678" s="107"/>
      <c r="B678" s="107"/>
      <c r="C678" s="107"/>
      <c r="D678" s="107"/>
      <c r="E678" s="107"/>
      <c r="F678" s="107"/>
      <c r="Z678" s="155"/>
      <c r="AA678" s="155"/>
      <c r="AB678" s="155"/>
      <c r="AC678" s="155"/>
      <c r="AD678" s="155"/>
      <c r="AE678" s="155"/>
      <c r="AF678" s="155"/>
      <c r="AG678" s="155"/>
      <c r="AH678" s="155"/>
      <c r="AI678" s="155"/>
      <c r="AJ678" s="155"/>
      <c r="AK678" s="155"/>
      <c r="AL678" s="155"/>
      <c r="AM678" s="155"/>
      <c r="AN678" s="155"/>
      <c r="AO678" s="155"/>
      <c r="AP678" s="155"/>
      <c r="AQ678" s="155"/>
      <c r="AR678" s="155"/>
      <c r="AS678" s="155"/>
    </row>
    <row r="679" spans="1:45" ht="12.6" customHeight="1" x14ac:dyDescent="0.3">
      <c r="A679" s="107"/>
      <c r="B679" s="107"/>
      <c r="C679" s="107"/>
      <c r="D679" s="107"/>
      <c r="E679" s="107"/>
      <c r="F679" s="107"/>
      <c r="Z679" s="155"/>
      <c r="AA679" s="155"/>
      <c r="AB679" s="155"/>
      <c r="AC679" s="155"/>
      <c r="AD679" s="155"/>
      <c r="AE679" s="155"/>
      <c r="AF679" s="155"/>
      <c r="AG679" s="155"/>
      <c r="AH679" s="155"/>
      <c r="AI679" s="155"/>
      <c r="AJ679" s="155"/>
      <c r="AK679" s="155"/>
      <c r="AL679" s="155"/>
      <c r="AM679" s="155"/>
      <c r="AN679" s="155"/>
      <c r="AO679" s="155"/>
      <c r="AP679" s="155"/>
      <c r="AQ679" s="155"/>
      <c r="AR679" s="155"/>
      <c r="AS679" s="155"/>
    </row>
    <row r="680" spans="1:45" ht="12.6" customHeight="1" x14ac:dyDescent="0.3">
      <c r="A680" s="107"/>
      <c r="B680" s="107"/>
      <c r="C680" s="107"/>
      <c r="D680" s="107"/>
      <c r="E680" s="107"/>
      <c r="F680" s="107"/>
      <c r="Z680" s="155"/>
      <c r="AA680" s="155"/>
      <c r="AB680" s="155"/>
      <c r="AC680" s="155"/>
      <c r="AD680" s="155"/>
      <c r="AE680" s="155"/>
      <c r="AF680" s="155"/>
      <c r="AG680" s="155"/>
      <c r="AH680" s="155"/>
      <c r="AI680" s="155"/>
      <c r="AJ680" s="155"/>
      <c r="AK680" s="155"/>
      <c r="AL680" s="155"/>
      <c r="AM680" s="155"/>
      <c r="AN680" s="155"/>
      <c r="AO680" s="155"/>
      <c r="AP680" s="155"/>
      <c r="AQ680" s="155"/>
      <c r="AR680" s="155"/>
      <c r="AS680" s="155"/>
    </row>
    <row r="681" spans="1:45" ht="12.6" customHeight="1" x14ac:dyDescent="0.3">
      <c r="A681" s="107"/>
      <c r="B681" s="107"/>
      <c r="C681" s="107"/>
      <c r="D681" s="107"/>
      <c r="E681" s="107"/>
      <c r="F681" s="107"/>
      <c r="Z681" s="155"/>
      <c r="AA681" s="155"/>
      <c r="AB681" s="155"/>
      <c r="AC681" s="155"/>
      <c r="AD681" s="155"/>
      <c r="AE681" s="155"/>
      <c r="AF681" s="155"/>
      <c r="AG681" s="155"/>
      <c r="AH681" s="155"/>
      <c r="AI681" s="155"/>
      <c r="AJ681" s="155"/>
      <c r="AK681" s="155"/>
      <c r="AL681" s="155"/>
      <c r="AM681" s="155"/>
      <c r="AN681" s="155"/>
      <c r="AO681" s="155"/>
      <c r="AP681" s="155"/>
      <c r="AQ681" s="155"/>
      <c r="AR681" s="155"/>
      <c r="AS681" s="155"/>
    </row>
    <row r="682" spans="1:45" ht="12.6" customHeight="1" x14ac:dyDescent="0.3">
      <c r="A682" s="107"/>
      <c r="B682" s="107"/>
      <c r="C682" s="107"/>
      <c r="D682" s="107"/>
      <c r="E682" s="107"/>
      <c r="F682" s="107"/>
      <c r="Z682" s="155"/>
      <c r="AA682" s="155"/>
      <c r="AB682" s="155"/>
      <c r="AC682" s="155"/>
      <c r="AD682" s="155"/>
      <c r="AE682" s="155"/>
      <c r="AF682" s="155"/>
      <c r="AG682" s="155"/>
      <c r="AH682" s="155"/>
      <c r="AI682" s="155"/>
      <c r="AJ682" s="155"/>
      <c r="AK682" s="155"/>
      <c r="AL682" s="155"/>
      <c r="AM682" s="155"/>
      <c r="AN682" s="155"/>
      <c r="AO682" s="155"/>
      <c r="AP682" s="155"/>
      <c r="AQ682" s="155"/>
      <c r="AR682" s="155"/>
      <c r="AS682" s="155"/>
    </row>
    <row r="683" spans="1:45" ht="12.6" customHeight="1" x14ac:dyDescent="0.3">
      <c r="A683" s="107"/>
      <c r="B683" s="107"/>
      <c r="C683" s="107"/>
      <c r="D683" s="107"/>
      <c r="E683" s="107"/>
      <c r="F683" s="107"/>
      <c r="Z683" s="155"/>
      <c r="AA683" s="155"/>
      <c r="AB683" s="155"/>
      <c r="AC683" s="155"/>
      <c r="AD683" s="155"/>
      <c r="AE683" s="155"/>
      <c r="AF683" s="155"/>
      <c r="AG683" s="155"/>
      <c r="AH683" s="155"/>
      <c r="AI683" s="155"/>
      <c r="AJ683" s="155"/>
      <c r="AK683" s="155"/>
      <c r="AL683" s="155"/>
      <c r="AM683" s="155"/>
      <c r="AN683" s="155"/>
      <c r="AO683" s="155"/>
      <c r="AP683" s="155"/>
      <c r="AQ683" s="155"/>
      <c r="AR683" s="155"/>
      <c r="AS683" s="155"/>
    </row>
    <row r="684" spans="1:45" ht="12.6" customHeight="1" x14ac:dyDescent="0.3">
      <c r="A684" s="107"/>
      <c r="B684" s="107"/>
      <c r="C684" s="107"/>
      <c r="D684" s="107"/>
      <c r="E684" s="107"/>
      <c r="F684" s="107"/>
      <c r="Z684" s="155"/>
      <c r="AA684" s="155"/>
      <c r="AB684" s="155"/>
      <c r="AC684" s="155"/>
      <c r="AD684" s="155"/>
      <c r="AE684" s="155"/>
      <c r="AF684" s="155"/>
      <c r="AG684" s="155"/>
      <c r="AH684" s="155"/>
      <c r="AI684" s="155"/>
      <c r="AJ684" s="155"/>
      <c r="AK684" s="155"/>
      <c r="AL684" s="155"/>
      <c r="AM684" s="155"/>
      <c r="AN684" s="155"/>
      <c r="AO684" s="155"/>
      <c r="AP684" s="155"/>
      <c r="AQ684" s="155"/>
      <c r="AR684" s="155"/>
      <c r="AS684" s="155"/>
    </row>
    <row r="685" spans="1:45" ht="12.6" customHeight="1" x14ac:dyDescent="0.3">
      <c r="A685" s="107"/>
      <c r="B685" s="107"/>
      <c r="C685" s="107"/>
      <c r="D685" s="107"/>
      <c r="E685" s="107"/>
      <c r="F685" s="107"/>
      <c r="Z685" s="155"/>
      <c r="AA685" s="155"/>
      <c r="AB685" s="155"/>
      <c r="AC685" s="155"/>
      <c r="AD685" s="155"/>
      <c r="AE685" s="155"/>
      <c r="AF685" s="155"/>
      <c r="AG685" s="155"/>
      <c r="AH685" s="155"/>
      <c r="AI685" s="155"/>
      <c r="AJ685" s="155"/>
      <c r="AK685" s="155"/>
      <c r="AL685" s="155"/>
      <c r="AM685" s="155"/>
      <c r="AN685" s="155"/>
      <c r="AO685" s="155"/>
      <c r="AP685" s="155"/>
      <c r="AQ685" s="155"/>
      <c r="AR685" s="155"/>
      <c r="AS685" s="155"/>
    </row>
    <row r="686" spans="1:45" ht="12.6" customHeight="1" x14ac:dyDescent="0.3">
      <c r="A686" s="107"/>
      <c r="B686" s="107"/>
      <c r="C686" s="107"/>
      <c r="D686" s="107"/>
      <c r="E686" s="107"/>
      <c r="F686" s="107"/>
      <c r="Z686" s="155"/>
      <c r="AA686" s="155"/>
      <c r="AB686" s="155"/>
      <c r="AC686" s="155"/>
      <c r="AD686" s="155"/>
      <c r="AE686" s="155"/>
      <c r="AF686" s="155"/>
      <c r="AG686" s="155"/>
      <c r="AH686" s="155"/>
      <c r="AI686" s="155"/>
      <c r="AJ686" s="155"/>
      <c r="AK686" s="155"/>
      <c r="AL686" s="155"/>
      <c r="AM686" s="155"/>
      <c r="AN686" s="155"/>
      <c r="AO686" s="155"/>
      <c r="AP686" s="155"/>
      <c r="AQ686" s="155"/>
      <c r="AR686" s="155"/>
      <c r="AS686" s="155"/>
    </row>
    <row r="687" spans="1:45" ht="12.6" customHeight="1" x14ac:dyDescent="0.3">
      <c r="A687" s="107"/>
      <c r="B687" s="107"/>
      <c r="C687" s="107"/>
      <c r="D687" s="107"/>
      <c r="E687" s="107"/>
      <c r="F687" s="107"/>
      <c r="Z687" s="155"/>
      <c r="AA687" s="155"/>
      <c r="AB687" s="155"/>
      <c r="AC687" s="155"/>
      <c r="AD687" s="155"/>
      <c r="AE687" s="155"/>
      <c r="AF687" s="155"/>
      <c r="AG687" s="155"/>
      <c r="AH687" s="155"/>
      <c r="AI687" s="155"/>
      <c r="AJ687" s="155"/>
      <c r="AK687" s="155"/>
      <c r="AL687" s="155"/>
      <c r="AM687" s="155"/>
      <c r="AN687" s="155"/>
      <c r="AO687" s="155"/>
      <c r="AP687" s="155"/>
      <c r="AQ687" s="155"/>
      <c r="AR687" s="155"/>
      <c r="AS687" s="155"/>
    </row>
    <row r="688" spans="1:45" ht="12.6" customHeight="1" x14ac:dyDescent="0.3">
      <c r="A688" s="107"/>
      <c r="B688" s="107"/>
      <c r="C688" s="107"/>
      <c r="D688" s="107"/>
      <c r="E688" s="107"/>
      <c r="F688" s="107"/>
      <c r="Z688" s="155"/>
      <c r="AA688" s="155"/>
      <c r="AB688" s="155"/>
      <c r="AC688" s="155"/>
      <c r="AD688" s="155"/>
      <c r="AE688" s="155"/>
      <c r="AF688" s="155"/>
      <c r="AG688" s="155"/>
      <c r="AH688" s="155"/>
      <c r="AI688" s="155"/>
      <c r="AJ688" s="155"/>
      <c r="AK688" s="155"/>
      <c r="AL688" s="155"/>
      <c r="AM688" s="155"/>
      <c r="AN688" s="155"/>
      <c r="AO688" s="155"/>
      <c r="AP688" s="155"/>
      <c r="AQ688" s="155"/>
      <c r="AR688" s="155"/>
      <c r="AS688" s="155"/>
    </row>
    <row r="689" spans="1:45" ht="12.6" customHeight="1" x14ac:dyDescent="0.3">
      <c r="A689" s="107"/>
      <c r="B689" s="107"/>
      <c r="C689" s="107"/>
      <c r="D689" s="107"/>
      <c r="E689" s="107"/>
      <c r="F689" s="107"/>
      <c r="Z689" s="155"/>
      <c r="AA689" s="155"/>
      <c r="AB689" s="155"/>
      <c r="AC689" s="155"/>
      <c r="AD689" s="155"/>
      <c r="AE689" s="155"/>
      <c r="AF689" s="155"/>
      <c r="AG689" s="155"/>
      <c r="AH689" s="155"/>
      <c r="AI689" s="155"/>
      <c r="AJ689" s="155"/>
      <c r="AK689" s="155"/>
      <c r="AL689" s="155"/>
      <c r="AM689" s="155"/>
      <c r="AN689" s="155"/>
      <c r="AO689" s="155"/>
      <c r="AP689" s="155"/>
      <c r="AQ689" s="155"/>
      <c r="AR689" s="155"/>
      <c r="AS689" s="155"/>
    </row>
    <row r="690" spans="1:45" ht="12.6" customHeight="1" x14ac:dyDescent="0.3">
      <c r="A690" s="107"/>
      <c r="B690" s="107"/>
      <c r="C690" s="107"/>
      <c r="D690" s="107"/>
      <c r="E690" s="107"/>
      <c r="F690" s="107"/>
      <c r="Z690" s="155"/>
      <c r="AA690" s="155"/>
      <c r="AB690" s="155"/>
      <c r="AC690" s="155"/>
      <c r="AD690" s="155"/>
      <c r="AE690" s="155"/>
      <c r="AF690" s="155"/>
      <c r="AG690" s="155"/>
      <c r="AH690" s="155"/>
      <c r="AI690" s="155"/>
      <c r="AJ690" s="155"/>
      <c r="AK690" s="155"/>
      <c r="AL690" s="155"/>
      <c r="AM690" s="155"/>
      <c r="AN690" s="155"/>
      <c r="AO690" s="155"/>
      <c r="AP690" s="155"/>
      <c r="AQ690" s="155"/>
      <c r="AR690" s="155"/>
      <c r="AS690" s="155"/>
    </row>
    <row r="691" spans="1:45" ht="12.6" customHeight="1" x14ac:dyDescent="0.3">
      <c r="A691" s="107"/>
      <c r="B691" s="107"/>
      <c r="C691" s="107"/>
      <c r="D691" s="107"/>
      <c r="E691" s="107"/>
      <c r="F691" s="107"/>
      <c r="Z691" s="155"/>
      <c r="AA691" s="155"/>
      <c r="AB691" s="155"/>
      <c r="AC691" s="155"/>
      <c r="AD691" s="155"/>
      <c r="AE691" s="155"/>
      <c r="AF691" s="155"/>
      <c r="AG691" s="155"/>
      <c r="AH691" s="155"/>
      <c r="AI691" s="155"/>
      <c r="AJ691" s="155"/>
      <c r="AK691" s="155"/>
      <c r="AL691" s="155"/>
      <c r="AM691" s="155"/>
      <c r="AN691" s="155"/>
      <c r="AO691" s="155"/>
      <c r="AP691" s="155"/>
      <c r="AQ691" s="155"/>
      <c r="AR691" s="155"/>
      <c r="AS691" s="155"/>
    </row>
    <row r="692" spans="1:45" ht="12.6" customHeight="1" x14ac:dyDescent="0.3">
      <c r="A692" s="107"/>
      <c r="B692" s="107"/>
      <c r="C692" s="107"/>
      <c r="D692" s="107"/>
      <c r="E692" s="107"/>
      <c r="F692" s="107"/>
      <c r="Z692" s="155"/>
      <c r="AA692" s="155"/>
      <c r="AB692" s="155"/>
      <c r="AC692" s="155"/>
      <c r="AD692" s="155"/>
      <c r="AE692" s="155"/>
      <c r="AF692" s="155"/>
      <c r="AG692" s="155"/>
      <c r="AH692" s="155"/>
      <c r="AI692" s="155"/>
      <c r="AJ692" s="155"/>
      <c r="AK692" s="155"/>
      <c r="AL692" s="155"/>
      <c r="AM692" s="155"/>
      <c r="AN692" s="155"/>
      <c r="AO692" s="155"/>
      <c r="AP692" s="155"/>
      <c r="AQ692" s="155"/>
      <c r="AR692" s="155"/>
      <c r="AS692" s="155"/>
    </row>
    <row r="693" spans="1:45" ht="12.6" customHeight="1" x14ac:dyDescent="0.3">
      <c r="A693" s="107"/>
      <c r="B693" s="107"/>
      <c r="C693" s="107"/>
      <c r="D693" s="107"/>
      <c r="E693" s="107"/>
      <c r="F693" s="107"/>
      <c r="Z693" s="155"/>
      <c r="AA693" s="155"/>
      <c r="AB693" s="155"/>
      <c r="AC693" s="155"/>
      <c r="AD693" s="155"/>
      <c r="AE693" s="155"/>
      <c r="AF693" s="155"/>
      <c r="AG693" s="155"/>
      <c r="AH693" s="155"/>
      <c r="AI693" s="155"/>
      <c r="AJ693" s="155"/>
      <c r="AK693" s="155"/>
      <c r="AL693" s="155"/>
      <c r="AM693" s="155"/>
      <c r="AN693" s="155"/>
      <c r="AO693" s="155"/>
      <c r="AP693" s="155"/>
      <c r="AQ693" s="155"/>
      <c r="AR693" s="155"/>
      <c r="AS693" s="155"/>
    </row>
    <row r="694" spans="1:45" ht="12.6" customHeight="1" x14ac:dyDescent="0.3">
      <c r="A694" s="107"/>
      <c r="B694" s="107"/>
      <c r="C694" s="107"/>
      <c r="D694" s="107"/>
      <c r="E694" s="107"/>
      <c r="F694" s="107"/>
      <c r="Z694" s="155"/>
      <c r="AA694" s="155"/>
      <c r="AB694" s="155"/>
      <c r="AC694" s="155"/>
      <c r="AD694" s="155"/>
      <c r="AE694" s="155"/>
      <c r="AF694" s="155"/>
      <c r="AG694" s="155"/>
      <c r="AH694" s="155"/>
      <c r="AI694" s="155"/>
      <c r="AJ694" s="155"/>
      <c r="AK694" s="155"/>
      <c r="AL694" s="155"/>
      <c r="AM694" s="155"/>
      <c r="AN694" s="155"/>
      <c r="AO694" s="155"/>
      <c r="AP694" s="155"/>
      <c r="AQ694" s="155"/>
      <c r="AR694" s="155"/>
      <c r="AS694" s="155"/>
    </row>
    <row r="695" spans="1:45" ht="12.6" customHeight="1" x14ac:dyDescent="0.3">
      <c r="A695" s="123"/>
      <c r="B695" s="123"/>
      <c r="C695" s="123"/>
      <c r="D695" s="123"/>
      <c r="E695" s="123"/>
      <c r="F695" s="123"/>
      <c r="Z695" s="155"/>
      <c r="AA695" s="155"/>
      <c r="AB695" s="155"/>
      <c r="AC695" s="155"/>
      <c r="AD695" s="155"/>
      <c r="AE695" s="155"/>
      <c r="AF695" s="155"/>
      <c r="AG695" s="155"/>
      <c r="AH695" s="155"/>
      <c r="AI695" s="155"/>
      <c r="AJ695" s="155"/>
      <c r="AK695" s="155"/>
      <c r="AL695" s="155"/>
      <c r="AM695" s="155"/>
      <c r="AN695" s="155"/>
      <c r="AO695" s="155"/>
      <c r="AP695" s="155"/>
      <c r="AQ695" s="155"/>
      <c r="AR695" s="155"/>
      <c r="AS695" s="155"/>
    </row>
    <row r="696" spans="1:45" ht="12.6" customHeight="1" x14ac:dyDescent="0.3">
      <c r="A696" s="193" t="s">
        <v>769</v>
      </c>
      <c r="B696" s="194"/>
      <c r="C696" s="99">
        <f>E696+D696+F696</f>
        <v>6186</v>
      </c>
      <c r="D696" s="121">
        <f>ROUNDDOWN(SUMIF(N631:N675,M696,D631:D675),0)</f>
        <v>3479</v>
      </c>
      <c r="E696" s="120">
        <f>ROUNDDOWN(SUMIF(N631:N675,M696,E631:E675),0)</f>
        <v>1201</v>
      </c>
      <c r="F696" s="99">
        <f>ROUNDDOWN(SUMIF(N631:N675,M696,F631:F675),0)</f>
        <v>1506</v>
      </c>
      <c r="M696" s="34" t="s">
        <v>768</v>
      </c>
      <c r="N696" s="34" t="s">
        <v>770</v>
      </c>
      <c r="Z696" s="155"/>
      <c r="AA696" s="155"/>
      <c r="AB696" s="155"/>
      <c r="AC696" s="155"/>
      <c r="AD696" s="155"/>
      <c r="AE696" s="155"/>
      <c r="AF696" s="155"/>
      <c r="AG696" s="155"/>
      <c r="AH696" s="155"/>
      <c r="AI696" s="155"/>
      <c r="AJ696" s="155"/>
      <c r="AK696" s="155"/>
      <c r="AL696" s="155"/>
      <c r="AM696" s="155"/>
      <c r="AN696" s="155"/>
      <c r="AO696" s="155"/>
      <c r="AP696" s="155"/>
      <c r="AQ696" s="155"/>
      <c r="AR696" s="155"/>
      <c r="AS696" s="155"/>
    </row>
    <row r="697" spans="1:45" ht="12.6" customHeight="1" x14ac:dyDescent="0.3">
      <c r="A697" s="193" t="s">
        <v>1046</v>
      </c>
      <c r="B697" s="194"/>
      <c r="C697" s="99">
        <f>E697+D697+F697</f>
        <v>5442</v>
      </c>
      <c r="D697" s="121">
        <f>ROUNDDOWN(D696*H697/100,0)</f>
        <v>3061</v>
      </c>
      <c r="E697" s="120">
        <f>ROUNDDOWN(E696*H697/100,0)</f>
        <v>1056</v>
      </c>
      <c r="F697" s="99">
        <f>ROUNDDOWN(F696*H697/100,0)</f>
        <v>1325</v>
      </c>
      <c r="H697" s="35">
        <v>88</v>
      </c>
      <c r="M697" s="34" t="s">
        <v>770</v>
      </c>
      <c r="Z697" s="155"/>
      <c r="AA697" s="155"/>
      <c r="AB697" s="155"/>
      <c r="AC697" s="155"/>
      <c r="AD697" s="155"/>
      <c r="AE697" s="155"/>
      <c r="AF697" s="155"/>
      <c r="AG697" s="155"/>
      <c r="AH697" s="155"/>
      <c r="AI697" s="155"/>
      <c r="AJ697" s="155"/>
      <c r="AK697" s="155"/>
      <c r="AL697" s="155"/>
      <c r="AM697" s="155"/>
      <c r="AN697" s="155"/>
      <c r="AO697" s="155"/>
      <c r="AP697" s="155"/>
      <c r="AQ697" s="155"/>
      <c r="AR697" s="155"/>
      <c r="AS697" s="155"/>
    </row>
    <row r="698" spans="1:45" ht="12.6" customHeight="1" x14ac:dyDescent="0.3">
      <c r="A698" s="144" t="s">
        <v>77</v>
      </c>
      <c r="B698" s="145" t="s">
        <v>77</v>
      </c>
      <c r="C698" s="232">
        <f>C731</f>
        <v>1114</v>
      </c>
      <c r="D698" s="232">
        <f>D731</f>
        <v>644</v>
      </c>
      <c r="E698" s="232">
        <f>E731</f>
        <v>200</v>
      </c>
      <c r="F698" s="232">
        <f>F731</f>
        <v>270</v>
      </c>
      <c r="G698" s="141" t="str">
        <f>HYPERLINK("#G"&amp;ROW(G720),"_x0005_`BDCOD|D01443_x0007_`POSS|"&amp;ROW(G700)&amp;"_x0007_`POSE|"&amp;ROW(G720)&amp;"_x0007_`")</f>
        <v>_x0005_`BDCOD|D01443_x0007_`POSS|700_x0007_`POSE|720_x0007_`</v>
      </c>
      <c r="Z698" s="155"/>
      <c r="AA698" s="155"/>
      <c r="AB698" s="155"/>
      <c r="AC698" s="155"/>
      <c r="AD698" s="155"/>
      <c r="AE698" s="155"/>
      <c r="AF698" s="155"/>
      <c r="AG698" s="155"/>
      <c r="AH698" s="155"/>
      <c r="AI698" s="155"/>
      <c r="AJ698" s="155"/>
      <c r="AK698" s="155"/>
      <c r="AL698" s="155"/>
      <c r="AM698" s="155"/>
      <c r="AN698" s="155"/>
      <c r="AO698" s="155"/>
      <c r="AP698" s="155"/>
      <c r="AQ698" s="155"/>
      <c r="AR698" s="155"/>
      <c r="AS698" s="155"/>
    </row>
    <row r="699" spans="1:45" ht="12.6" customHeight="1" x14ac:dyDescent="0.3">
      <c r="A699" s="124"/>
      <c r="B699" s="145" t="s">
        <v>76</v>
      </c>
      <c r="C699" s="189"/>
      <c r="D699" s="189"/>
      <c r="E699" s="189"/>
      <c r="F699" s="189"/>
      <c r="M699" s="34" t="s">
        <v>1155</v>
      </c>
      <c r="Z699" s="155"/>
      <c r="AA699" s="155"/>
      <c r="AB699" s="155"/>
      <c r="AC699" s="155"/>
      <c r="AD699" s="155"/>
      <c r="AE699" s="155"/>
      <c r="AF699" s="155"/>
      <c r="AG699" s="155"/>
      <c r="AH699" s="155"/>
      <c r="AI699" s="155"/>
      <c r="AJ699" s="155"/>
      <c r="AK699" s="155"/>
      <c r="AL699" s="155"/>
      <c r="AM699" s="155"/>
      <c r="AN699" s="155"/>
      <c r="AO699" s="155"/>
      <c r="AP699" s="155"/>
      <c r="AQ699" s="155"/>
      <c r="AR699" s="155"/>
      <c r="AS699" s="155"/>
    </row>
    <row r="700" spans="1:45" ht="12.6" customHeight="1" x14ac:dyDescent="0.3">
      <c r="A700" s="84"/>
      <c r="B700" s="41" t="s">
        <v>1110</v>
      </c>
      <c r="C700" s="147"/>
      <c r="D700" s="147"/>
      <c r="E700" s="147"/>
      <c r="F700" s="147"/>
      <c r="G700" s="17" t="s">
        <v>1109</v>
      </c>
      <c r="Z700" s="155"/>
      <c r="AA700" s="155"/>
      <c r="AB700" s="155"/>
      <c r="AC700" s="155"/>
      <c r="AD700" s="155"/>
      <c r="AE700" s="155"/>
      <c r="AF700" s="155"/>
      <c r="AG700" s="155"/>
      <c r="AH700" s="155"/>
      <c r="AI700" s="155"/>
      <c r="AJ700" s="155"/>
      <c r="AK700" s="155"/>
      <c r="AL700" s="155"/>
      <c r="AM700" s="155"/>
      <c r="AN700" s="155"/>
      <c r="AO700" s="155"/>
      <c r="AP700" s="155"/>
      <c r="AQ700" s="155"/>
      <c r="AR700" s="155"/>
      <c r="AS700" s="155"/>
    </row>
    <row r="701" spans="1:45" ht="12.6" customHeight="1" x14ac:dyDescent="0.3">
      <c r="A701" s="107"/>
      <c r="B701" s="107"/>
      <c r="C701" s="107"/>
      <c r="D701" s="107"/>
      <c r="E701" s="107"/>
      <c r="F701" s="107"/>
      <c r="G701" s="17" t="s">
        <v>848</v>
      </c>
      <c r="Z701" s="155"/>
      <c r="AA701" s="155"/>
      <c r="AB701" s="155"/>
      <c r="AC701" s="155"/>
      <c r="AD701" s="155"/>
      <c r="AE701" s="155"/>
      <c r="AF701" s="155"/>
      <c r="AG701" s="155"/>
      <c r="AH701" s="155"/>
      <c r="AI701" s="155"/>
      <c r="AJ701" s="155"/>
      <c r="AK701" s="155"/>
      <c r="AL701" s="155"/>
      <c r="AM701" s="155"/>
      <c r="AN701" s="155"/>
      <c r="AO701" s="155"/>
      <c r="AP701" s="155"/>
      <c r="AQ701" s="155"/>
      <c r="AR701" s="155"/>
      <c r="AS701" s="155"/>
    </row>
    <row r="702" spans="1:45" ht="12.6" customHeight="1" x14ac:dyDescent="0.3">
      <c r="A702" s="84"/>
      <c r="B702" s="41" t="s">
        <v>1112</v>
      </c>
      <c r="C702" s="107"/>
      <c r="D702" s="107"/>
      <c r="E702" s="107"/>
      <c r="F702" s="107"/>
      <c r="G702" s="17" t="s">
        <v>1111</v>
      </c>
      <c r="Z702" s="155"/>
      <c r="AA702" s="155"/>
      <c r="AB702" s="155"/>
      <c r="AC702" s="155"/>
      <c r="AD702" s="155"/>
      <c r="AE702" s="155"/>
      <c r="AF702" s="155"/>
      <c r="AG702" s="155"/>
      <c r="AH702" s="155"/>
      <c r="AI702" s="155"/>
      <c r="AJ702" s="155"/>
      <c r="AK702" s="155"/>
      <c r="AL702" s="155"/>
      <c r="AM702" s="155"/>
      <c r="AN702" s="155"/>
      <c r="AO702" s="155"/>
      <c r="AP702" s="155"/>
      <c r="AQ702" s="155"/>
      <c r="AR702" s="155"/>
      <c r="AS702" s="155"/>
    </row>
    <row r="703" spans="1:45" ht="12.6" customHeight="1" x14ac:dyDescent="0.3">
      <c r="A703" s="107"/>
      <c r="B703" s="107"/>
      <c r="C703" s="107"/>
      <c r="D703" s="107"/>
      <c r="E703" s="107"/>
      <c r="F703" s="107"/>
      <c r="G703" s="17" t="s">
        <v>848</v>
      </c>
      <c r="Z703" s="155"/>
      <c r="AA703" s="155"/>
      <c r="AB703" s="155"/>
      <c r="AC703" s="155"/>
      <c r="AD703" s="155"/>
      <c r="AE703" s="155"/>
      <c r="AF703" s="155"/>
      <c r="AG703" s="155"/>
      <c r="AH703" s="155"/>
      <c r="AI703" s="155"/>
      <c r="AJ703" s="155"/>
      <c r="AK703" s="155"/>
      <c r="AL703" s="155"/>
      <c r="AM703" s="155"/>
      <c r="AN703" s="155"/>
      <c r="AO703" s="155"/>
      <c r="AP703" s="155"/>
      <c r="AQ703" s="155"/>
      <c r="AR703" s="155"/>
      <c r="AS703" s="155"/>
    </row>
    <row r="704" spans="1:45" ht="12.6" customHeight="1" x14ac:dyDescent="0.3">
      <c r="A704" s="84"/>
      <c r="B704" s="41" t="str">
        <f>" 정비단면  A = "&amp;Z704&amp;" * "&amp;AB704&amp;" = "&amp;AD704&amp;""</f>
        <v xml:space="preserve"> 정비단면  A = 4 * 1 = 4.00</v>
      </c>
      <c r="C704" s="107"/>
      <c r="D704" s="107"/>
      <c r="E704" s="107"/>
      <c r="F704" s="107"/>
      <c r="G704" s="17" t="s">
        <v>1156</v>
      </c>
      <c r="Z704" s="157">
        <v>4</v>
      </c>
      <c r="AA704" s="34" t="s">
        <v>876</v>
      </c>
      <c r="AB704" s="157">
        <v>1</v>
      </c>
      <c r="AC704" s="34" t="s">
        <v>871</v>
      </c>
      <c r="AD704" s="158" t="str">
        <f>TEXT(ROUND(Z704*AB704,2),"#,0.00")</f>
        <v>4.00</v>
      </c>
      <c r="AE704" s="155"/>
      <c r="AF704" s="155"/>
      <c r="AG704" s="155"/>
      <c r="AH704" s="155"/>
      <c r="AI704" s="155"/>
      <c r="AJ704" s="155"/>
      <c r="AK704" s="155"/>
      <c r="AL704" s="155"/>
      <c r="AM704" s="155"/>
      <c r="AN704" s="155"/>
      <c r="AO704" s="155"/>
      <c r="AP704" s="155"/>
      <c r="AQ704" s="155"/>
      <c r="AR704" s="155"/>
      <c r="AS704" s="155"/>
    </row>
    <row r="705" spans="1:45" ht="12.6" customHeight="1" x14ac:dyDescent="0.3">
      <c r="A705" s="107"/>
      <c r="B705" s="107"/>
      <c r="C705" s="107"/>
      <c r="D705" s="107"/>
      <c r="E705" s="107"/>
      <c r="F705" s="107"/>
      <c r="G705" s="17" t="s">
        <v>848</v>
      </c>
      <c r="Z705" s="155"/>
      <c r="AA705" s="155"/>
      <c r="AB705" s="155"/>
      <c r="AC705" s="155"/>
      <c r="AD705" s="155"/>
      <c r="AE705" s="155"/>
      <c r="AF705" s="155"/>
      <c r="AG705" s="155"/>
      <c r="AH705" s="155"/>
      <c r="AI705" s="155"/>
      <c r="AJ705" s="155"/>
      <c r="AK705" s="155"/>
      <c r="AL705" s="155"/>
      <c r="AM705" s="155"/>
      <c r="AN705" s="155"/>
      <c r="AO705" s="155"/>
      <c r="AP705" s="155"/>
      <c r="AQ705" s="155"/>
      <c r="AR705" s="155"/>
      <c r="AS705" s="155"/>
    </row>
    <row r="706" spans="1:45" ht="12.6" customHeight="1" x14ac:dyDescent="0.3">
      <c r="A706" s="84"/>
      <c r="B706" s="41" t="str">
        <f>" 정비두께  T = "&amp;Z706&amp;" = "&amp;AB706&amp;""</f>
        <v xml:space="preserve"> 정비두께  T = 0.2 = 0.20</v>
      </c>
      <c r="C706" s="107"/>
      <c r="D706" s="107"/>
      <c r="E706" s="107"/>
      <c r="F706" s="107"/>
      <c r="G706" s="17" t="s">
        <v>1157</v>
      </c>
      <c r="Z706" s="156">
        <v>0.2</v>
      </c>
      <c r="AA706" s="34" t="s">
        <v>871</v>
      </c>
      <c r="AB706" s="158" t="str">
        <f>TEXT(ROUND(Z706,2),"#,0.00")</f>
        <v>0.20</v>
      </c>
      <c r="AC706" s="155"/>
      <c r="AD706" s="155"/>
      <c r="AE706" s="155"/>
      <c r="AF706" s="155"/>
      <c r="AG706" s="155"/>
      <c r="AH706" s="155"/>
      <c r="AI706" s="155"/>
      <c r="AJ706" s="155"/>
      <c r="AK706" s="155"/>
      <c r="AL706" s="155"/>
      <c r="AM706" s="155"/>
      <c r="AN706" s="155"/>
      <c r="AO706" s="155"/>
      <c r="AP706" s="155"/>
      <c r="AQ706" s="155"/>
      <c r="AR706" s="155"/>
      <c r="AS706" s="155"/>
    </row>
    <row r="707" spans="1:45" ht="12.6" customHeight="1" x14ac:dyDescent="0.3">
      <c r="A707" s="107"/>
      <c r="B707" s="107"/>
      <c r="C707" s="107"/>
      <c r="D707" s="107"/>
      <c r="E707" s="107"/>
      <c r="F707" s="107"/>
      <c r="G707" s="17" t="s">
        <v>848</v>
      </c>
      <c r="Z707" s="155"/>
      <c r="AA707" s="155"/>
      <c r="AB707" s="155"/>
      <c r="AC707" s="155"/>
      <c r="AD707" s="155"/>
      <c r="AE707" s="155"/>
      <c r="AF707" s="155"/>
      <c r="AG707" s="155"/>
      <c r="AH707" s="155"/>
      <c r="AI707" s="155"/>
      <c r="AJ707" s="155"/>
      <c r="AK707" s="155"/>
      <c r="AL707" s="155"/>
      <c r="AM707" s="155"/>
      <c r="AN707" s="155"/>
      <c r="AO707" s="155"/>
      <c r="AP707" s="155"/>
      <c r="AQ707" s="155"/>
      <c r="AR707" s="155"/>
      <c r="AS707" s="155"/>
    </row>
    <row r="708" spans="1:45" ht="12.6" customHeight="1" x14ac:dyDescent="0.3">
      <c r="A708" s="84"/>
      <c r="B708" s="41" t="str">
        <f>"q (버킷용량)  = "&amp;Z708&amp;" , f (체적환산계수)  = "&amp;AD708&amp;" , K (버킷계수)  = "&amp;AH708&amp;""</f>
        <v>q (버킷용량)  = 0.7 , f (체적환산계수)  = 1 , K (버킷계수)  = 0.9</v>
      </c>
      <c r="C708" s="107"/>
      <c r="D708" s="107"/>
      <c r="E708" s="107"/>
      <c r="F708" s="107"/>
      <c r="G708" s="17" t="s">
        <v>1115</v>
      </c>
      <c r="Z708" s="156">
        <v>0.7</v>
      </c>
      <c r="AA708" s="34" t="s">
        <v>871</v>
      </c>
      <c r="AB708" s="158">
        <f>Z708</f>
        <v>0.7</v>
      </c>
      <c r="AC708" s="159" t="s">
        <v>872</v>
      </c>
      <c r="AD708" s="157">
        <v>1</v>
      </c>
      <c r="AE708" s="34" t="s">
        <v>871</v>
      </c>
      <c r="AF708" s="158">
        <f>AD708</f>
        <v>1</v>
      </c>
      <c r="AG708" s="159" t="s">
        <v>872</v>
      </c>
      <c r="AH708" s="156">
        <v>0.9</v>
      </c>
      <c r="AI708" s="34" t="s">
        <v>871</v>
      </c>
      <c r="AJ708" s="158">
        <f>AH708</f>
        <v>0.9</v>
      </c>
      <c r="AK708" s="155"/>
      <c r="AL708" s="155"/>
      <c r="AM708" s="155"/>
      <c r="AN708" s="155"/>
      <c r="AO708" s="155"/>
      <c r="AP708" s="155"/>
      <c r="AQ708" s="155"/>
      <c r="AR708" s="155"/>
      <c r="AS708" s="155"/>
    </row>
    <row r="709" spans="1:45" ht="12.6" customHeight="1" x14ac:dyDescent="0.3">
      <c r="A709" s="107"/>
      <c r="B709" s="107"/>
      <c r="C709" s="107"/>
      <c r="D709" s="107"/>
      <c r="E709" s="107"/>
      <c r="F709" s="107"/>
      <c r="G709" s="17" t="s">
        <v>848</v>
      </c>
      <c r="Z709" s="155"/>
      <c r="AA709" s="155"/>
      <c r="AB709" s="155"/>
      <c r="AC709" s="155"/>
      <c r="AD709" s="155"/>
      <c r="AE709" s="155"/>
      <c r="AF709" s="155"/>
      <c r="AG709" s="155"/>
      <c r="AH709" s="155"/>
      <c r="AI709" s="155"/>
      <c r="AJ709" s="155"/>
      <c r="AK709" s="155"/>
      <c r="AL709" s="155"/>
      <c r="AM709" s="155"/>
      <c r="AN709" s="155"/>
      <c r="AO709" s="155"/>
      <c r="AP709" s="155"/>
      <c r="AQ709" s="155"/>
      <c r="AR709" s="155"/>
      <c r="AS709" s="155"/>
    </row>
    <row r="710" spans="1:45" ht="12.6" customHeight="1" x14ac:dyDescent="0.3">
      <c r="A710" s="84"/>
      <c r="B710" s="41" t="str">
        <f>"Cm (사이클 시간)  = "&amp;Z710&amp;" sec (135˚) , E (작업효율)  = "&amp;AD710&amp;""</f>
        <v>Cm (사이클 시간)  = 20 sec (135˚) , E (작업효율)  = 0.55</v>
      </c>
      <c r="C710" s="107"/>
      <c r="D710" s="107"/>
      <c r="E710" s="107"/>
      <c r="F710" s="107"/>
      <c r="G710" s="17" t="s">
        <v>1116</v>
      </c>
      <c r="Z710" s="157">
        <v>20</v>
      </c>
      <c r="AA710" s="34" t="s">
        <v>871</v>
      </c>
      <c r="AB710" s="158">
        <f>Z710</f>
        <v>20</v>
      </c>
      <c r="AC710" s="159" t="s">
        <v>872</v>
      </c>
      <c r="AD710" s="156">
        <v>0.55000000000000004</v>
      </c>
      <c r="AE710" s="34" t="s">
        <v>871</v>
      </c>
      <c r="AF710" s="158">
        <f>AD710</f>
        <v>0.55000000000000004</v>
      </c>
      <c r="AG710" s="155"/>
      <c r="AH710" s="155"/>
      <c r="AI710" s="155"/>
      <c r="AJ710" s="155"/>
      <c r="AK710" s="155"/>
      <c r="AL710" s="155"/>
      <c r="AM710" s="155"/>
      <c r="AN710" s="155"/>
      <c r="AO710" s="155"/>
      <c r="AP710" s="155"/>
      <c r="AQ710" s="155"/>
      <c r="AR710" s="155"/>
      <c r="AS710" s="155"/>
    </row>
    <row r="711" spans="1:45" ht="12.6" customHeight="1" x14ac:dyDescent="0.3">
      <c r="A711" s="107"/>
      <c r="B711" s="107"/>
      <c r="C711" s="107"/>
      <c r="D711" s="107"/>
      <c r="E711" s="107"/>
      <c r="F711" s="107"/>
      <c r="G711" s="17" t="s">
        <v>848</v>
      </c>
      <c r="Z711" s="155"/>
      <c r="AA711" s="155"/>
      <c r="AB711" s="155"/>
      <c r="AC711" s="155"/>
      <c r="AD711" s="155"/>
      <c r="AE711" s="155"/>
      <c r="AF711" s="155"/>
      <c r="AG711" s="155"/>
      <c r="AH711" s="155"/>
      <c r="AI711" s="155"/>
      <c r="AJ711" s="155"/>
      <c r="AK711" s="155"/>
      <c r="AL711" s="155"/>
      <c r="AM711" s="155"/>
      <c r="AN711" s="155"/>
      <c r="AO711" s="155"/>
      <c r="AP711" s="155"/>
      <c r="AQ711" s="155"/>
      <c r="AR711" s="155"/>
      <c r="AS711" s="155"/>
    </row>
    <row r="712" spans="1:45" ht="12.6" customHeight="1" x14ac:dyDescent="0.3">
      <c r="A712" s="84"/>
      <c r="B712" s="41" t="str">
        <f>"Q (시간당 작업량)  = "&amp;Z712&amp;"*q*K*f*E/Cm = "&amp;AL712&amp;" m3/hr "</f>
        <v xml:space="preserve">Q (시간당 작업량)  = 3600*q*K*f*E/Cm = 62.37 m3/hr </v>
      </c>
      <c r="C712" s="107"/>
      <c r="D712" s="107"/>
      <c r="E712" s="107"/>
      <c r="F712" s="107"/>
      <c r="G712" s="17" t="s">
        <v>1117</v>
      </c>
      <c r="Z712" s="157">
        <v>3600</v>
      </c>
      <c r="AA712" s="34" t="s">
        <v>876</v>
      </c>
      <c r="AB712" s="158">
        <f>AB708</f>
        <v>0.7</v>
      </c>
      <c r="AC712" s="34" t="s">
        <v>876</v>
      </c>
      <c r="AD712" s="158">
        <f>AJ708</f>
        <v>0.9</v>
      </c>
      <c r="AE712" s="34" t="s">
        <v>876</v>
      </c>
      <c r="AF712" s="158">
        <f>AF708</f>
        <v>1</v>
      </c>
      <c r="AG712" s="34" t="s">
        <v>876</v>
      </c>
      <c r="AH712" s="158">
        <f>AF710</f>
        <v>0.55000000000000004</v>
      </c>
      <c r="AI712" s="34" t="s">
        <v>873</v>
      </c>
      <c r="AJ712" s="158">
        <f>AB710</f>
        <v>20</v>
      </c>
      <c r="AK712" s="34" t="s">
        <v>871</v>
      </c>
      <c r="AL712" s="158" t="str">
        <f>TEXT(ROUND(Z712*AB708*AJ708*AF708*AF710/AB710,2),"#,0.00")</f>
        <v>62.37</v>
      </c>
      <c r="AM712" s="155"/>
      <c r="AN712" s="155"/>
      <c r="AO712" s="155"/>
      <c r="AP712" s="155"/>
      <c r="AQ712" s="155"/>
      <c r="AR712" s="155"/>
      <c r="AS712" s="155"/>
    </row>
    <row r="713" spans="1:45" ht="12.6" customHeight="1" x14ac:dyDescent="0.3">
      <c r="A713" s="107"/>
      <c r="B713" s="107"/>
      <c r="C713" s="107"/>
      <c r="D713" s="107"/>
      <c r="E713" s="107"/>
      <c r="F713" s="107"/>
      <c r="G713" s="17" t="s">
        <v>848</v>
      </c>
      <c r="Z713" s="155"/>
      <c r="AA713" s="155"/>
      <c r="AB713" s="155"/>
      <c r="AC713" s="155"/>
      <c r="AD713" s="155"/>
      <c r="AE713" s="155"/>
      <c r="AF713" s="155"/>
      <c r="AG713" s="155"/>
      <c r="AH713" s="155"/>
      <c r="AI713" s="155"/>
      <c r="AJ713" s="155"/>
      <c r="AK713" s="155"/>
      <c r="AL713" s="155"/>
      <c r="AM713" s="155"/>
      <c r="AN713" s="155"/>
      <c r="AO713" s="155"/>
      <c r="AP713" s="155"/>
      <c r="AQ713" s="155"/>
      <c r="AR713" s="155"/>
      <c r="AS713" s="155"/>
    </row>
    <row r="714" spans="1:45" ht="12.6" customHeight="1" x14ac:dyDescent="0.3">
      <c r="A714" s="84" t="s">
        <v>1119</v>
      </c>
      <c r="B714" s="146" t="str">
        <f>" 노 무 비  : "&amp;TEXT(I714,"#,##0"&amp;IF(I714&lt;&gt;INT(I714),".###",""))&amp;" / Q * A * t = "&amp;TEXT(C714,"#,##0.0")&amp;""</f>
        <v xml:space="preserve"> 노 무 비  : 57,077 / Q * A * t = 732.1</v>
      </c>
      <c r="C714" s="148">
        <f>E714+D714+F714</f>
        <v>732.1</v>
      </c>
      <c r="D714" s="148">
        <f>IF(H714=0,0,ROUNDDOWN(J714*H714,1))</f>
        <v>732.1</v>
      </c>
      <c r="E714" s="148">
        <f>IF(H714=0,0,ROUNDDOWN(K714*H714,1))</f>
        <v>0</v>
      </c>
      <c r="F714" s="148">
        <f>IF(H714=0,0,ROUNDDOWN(L714*H714,1))</f>
        <v>0</v>
      </c>
      <c r="G714" s="17" t="s">
        <v>1158</v>
      </c>
      <c r="H714" s="152">
        <f>ROUNDUP(AG714,14-LEN(ABS(INT(AG714))))</f>
        <v>1.28266794934E-2</v>
      </c>
      <c r="I714" s="153">
        <f>K714+J714+L714</f>
        <v>57077</v>
      </c>
      <c r="J714" s="37">
        <f>중기목록표!F5</f>
        <v>57077</v>
      </c>
      <c r="M714" s="34" t="s">
        <v>1120</v>
      </c>
      <c r="N714" s="34" t="s">
        <v>886</v>
      </c>
      <c r="X714" s="154" t="str">
        <f>중기목록표!B5&amp;" / "&amp;중기목록표!C5</f>
        <v>굴착기(무한궤도) / 0.7㎥</v>
      </c>
      <c r="Y714" s="3" t="str">
        <f ca="1">HYPERLINK("#"&amp;중기목록표!J2&amp;"!A"&amp;ROW(중기목록표!A5),"X00005 →")</f>
        <v>X00005 →</v>
      </c>
      <c r="Z714" s="34" t="s">
        <v>879</v>
      </c>
      <c r="AA714" s="158" t="str">
        <f>AL712</f>
        <v>62.37</v>
      </c>
      <c r="AB714" s="34" t="s">
        <v>876</v>
      </c>
      <c r="AC714" s="158" t="str">
        <f>AD704</f>
        <v>4.00</v>
      </c>
      <c r="AD714" s="34" t="s">
        <v>876</v>
      </c>
      <c r="AE714" s="158" t="str">
        <f>AB706</f>
        <v>0.20</v>
      </c>
      <c r="AF714" s="34" t="s">
        <v>871</v>
      </c>
      <c r="AG714" s="158">
        <f>1/AL712*AD704*AB706</f>
        <v>1.2826679493346161E-2</v>
      </c>
      <c r="AH714" s="155"/>
      <c r="AI714" s="155"/>
      <c r="AJ714" s="155"/>
      <c r="AK714" s="155"/>
      <c r="AL714" s="155"/>
      <c r="AM714" s="155"/>
      <c r="AN714" s="155"/>
      <c r="AO714" s="155"/>
      <c r="AP714" s="155"/>
      <c r="AQ714" s="155"/>
      <c r="AR714" s="155"/>
      <c r="AS714" s="155"/>
    </row>
    <row r="715" spans="1:45" ht="12.6" customHeight="1" x14ac:dyDescent="0.3">
      <c r="A715" s="107"/>
      <c r="B715" s="107"/>
      <c r="C715" s="107"/>
      <c r="D715" s="107"/>
      <c r="E715" s="107"/>
      <c r="F715" s="107"/>
      <c r="G715" s="17" t="s">
        <v>848</v>
      </c>
      <c r="Z715" s="155"/>
      <c r="AA715" s="155"/>
      <c r="AB715" s="155"/>
      <c r="AC715" s="155"/>
      <c r="AD715" s="155"/>
      <c r="AE715" s="155"/>
      <c r="AF715" s="155"/>
      <c r="AG715" s="155"/>
      <c r="AH715" s="155"/>
      <c r="AI715" s="155"/>
      <c r="AJ715" s="155"/>
      <c r="AK715" s="155"/>
      <c r="AL715" s="155"/>
      <c r="AM715" s="155"/>
      <c r="AN715" s="155"/>
      <c r="AO715" s="155"/>
      <c r="AP715" s="155"/>
      <c r="AQ715" s="155"/>
      <c r="AR715" s="155"/>
      <c r="AS715" s="155"/>
    </row>
    <row r="716" spans="1:45" ht="12.6" customHeight="1" x14ac:dyDescent="0.3">
      <c r="A716" s="84" t="s">
        <v>1122</v>
      </c>
      <c r="B716" s="146" t="str">
        <f>" 재 료 비  : "&amp;TEXT(I716,"#,##0"&amp;IF(I716&lt;&gt;INT(I716),".###",""))&amp;" / Q * A * t = "&amp;TEXT(C716,"#,##0.0")&amp;""</f>
        <v xml:space="preserve"> 재 료 비  : 17,845 / Q * A * t = 228.8</v>
      </c>
      <c r="C716" s="148">
        <f>E716+D716+F716</f>
        <v>228.8</v>
      </c>
      <c r="D716" s="148">
        <f>IF(H716=0,0,ROUNDDOWN(J716*H716,1))</f>
        <v>0</v>
      </c>
      <c r="E716" s="148">
        <f>IF(H716=0,0,ROUNDDOWN(K716*H716,1))</f>
        <v>228.8</v>
      </c>
      <c r="F716" s="148">
        <f>IF(H716=0,0,ROUNDDOWN(L716*H716,1))</f>
        <v>0</v>
      </c>
      <c r="G716" s="17" t="s">
        <v>1159</v>
      </c>
      <c r="H716" s="152">
        <f>ROUNDUP(AG716,14-LEN(ABS(INT(AG716))))</f>
        <v>1.28266794934E-2</v>
      </c>
      <c r="I716" s="153">
        <f>K716+J716+L716</f>
        <v>17845</v>
      </c>
      <c r="K716" s="37">
        <f>중기목록표!G5</f>
        <v>17845</v>
      </c>
      <c r="M716" s="34" t="s">
        <v>1120</v>
      </c>
      <c r="N716" s="34" t="s">
        <v>886</v>
      </c>
      <c r="X716" s="154" t="str">
        <f>중기목록표!B5&amp;" / "&amp;중기목록표!C5</f>
        <v>굴착기(무한궤도) / 0.7㎥</v>
      </c>
      <c r="Y716" s="3" t="str">
        <f ca="1">HYPERLINK("#"&amp;중기목록표!J2&amp;"!A"&amp;ROW(중기목록표!A5),"X00005 →")</f>
        <v>X00005 →</v>
      </c>
      <c r="Z716" s="34" t="s">
        <v>879</v>
      </c>
      <c r="AA716" s="158" t="str">
        <f>AL712</f>
        <v>62.37</v>
      </c>
      <c r="AB716" s="34" t="s">
        <v>876</v>
      </c>
      <c r="AC716" s="158" t="str">
        <f>AD704</f>
        <v>4.00</v>
      </c>
      <c r="AD716" s="34" t="s">
        <v>876</v>
      </c>
      <c r="AE716" s="158" t="str">
        <f>AB706</f>
        <v>0.20</v>
      </c>
      <c r="AF716" s="34" t="s">
        <v>871</v>
      </c>
      <c r="AG716" s="158">
        <f>1/AL712*AD704*AB706</f>
        <v>1.2826679493346161E-2</v>
      </c>
      <c r="AH716" s="155"/>
      <c r="AI716" s="155"/>
      <c r="AJ716" s="155"/>
      <c r="AK716" s="155"/>
      <c r="AL716" s="155"/>
      <c r="AM716" s="155"/>
      <c r="AN716" s="155"/>
      <c r="AO716" s="155"/>
      <c r="AP716" s="155"/>
      <c r="AQ716" s="155"/>
      <c r="AR716" s="155"/>
      <c r="AS716" s="155"/>
    </row>
    <row r="717" spans="1:45" ht="12.6" customHeight="1" x14ac:dyDescent="0.3">
      <c r="A717" s="107"/>
      <c r="B717" s="107"/>
      <c r="C717" s="107"/>
      <c r="D717" s="107"/>
      <c r="E717" s="107"/>
      <c r="F717" s="107"/>
      <c r="G717" s="17" t="s">
        <v>848</v>
      </c>
      <c r="Z717" s="155"/>
      <c r="AA717" s="155"/>
      <c r="AB717" s="155"/>
      <c r="AC717" s="155"/>
      <c r="AD717" s="155"/>
      <c r="AE717" s="155"/>
      <c r="AF717" s="155"/>
      <c r="AG717" s="155"/>
      <c r="AH717" s="155"/>
      <c r="AI717" s="155"/>
      <c r="AJ717" s="155"/>
      <c r="AK717" s="155"/>
      <c r="AL717" s="155"/>
      <c r="AM717" s="155"/>
      <c r="AN717" s="155"/>
      <c r="AO717" s="155"/>
      <c r="AP717" s="155"/>
      <c r="AQ717" s="155"/>
      <c r="AR717" s="155"/>
      <c r="AS717" s="155"/>
    </row>
    <row r="718" spans="1:45" ht="12.6" customHeight="1" x14ac:dyDescent="0.3">
      <c r="A718" s="84" t="s">
        <v>1124</v>
      </c>
      <c r="B718" s="146" t="str">
        <f>" 경    비  : "&amp;TEXT(I718,"#,##0"&amp;IF(I718&lt;&gt;INT(I718),".###",""))&amp;" / Q * A * t = "&amp;TEXT(C718,"#,##0.0")&amp;""</f>
        <v xml:space="preserve"> 경    비  : 24,001 / Q * A * t = 307.8</v>
      </c>
      <c r="C718" s="148">
        <f>E718+D718+F718</f>
        <v>307.8</v>
      </c>
      <c r="D718" s="148">
        <f>IF(H718=0,0,ROUNDDOWN(J718*H718,1))</f>
        <v>0</v>
      </c>
      <c r="E718" s="148">
        <f>IF(H718=0,0,ROUNDDOWN(K718*H718,1))</f>
        <v>0</v>
      </c>
      <c r="F718" s="148">
        <f>IF(H718=0,0,ROUNDDOWN(L718*H718,1))</f>
        <v>307.8</v>
      </c>
      <c r="G718" s="17" t="s">
        <v>1160</v>
      </c>
      <c r="H718" s="152">
        <f>ROUNDUP(AG718,14-LEN(ABS(INT(AG718))))</f>
        <v>1.28266794934E-2</v>
      </c>
      <c r="I718" s="153">
        <f>K718+J718+L718</f>
        <v>24001</v>
      </c>
      <c r="L718" s="37">
        <f>중기목록표!H5</f>
        <v>24001</v>
      </c>
      <c r="M718" s="34" t="s">
        <v>1120</v>
      </c>
      <c r="N718" s="34" t="s">
        <v>886</v>
      </c>
      <c r="X718" s="154" t="str">
        <f>중기목록표!B5&amp;" / "&amp;중기목록표!C5</f>
        <v>굴착기(무한궤도) / 0.7㎥</v>
      </c>
      <c r="Y718" s="3" t="str">
        <f ca="1">HYPERLINK("#"&amp;중기목록표!J2&amp;"!A"&amp;ROW(중기목록표!A5),"X00005 →")</f>
        <v>X00005 →</v>
      </c>
      <c r="Z718" s="34" t="s">
        <v>879</v>
      </c>
      <c r="AA718" s="158" t="str">
        <f>AL712</f>
        <v>62.37</v>
      </c>
      <c r="AB718" s="34" t="s">
        <v>876</v>
      </c>
      <c r="AC718" s="158" t="str">
        <f>AD704</f>
        <v>4.00</v>
      </c>
      <c r="AD718" s="34" t="s">
        <v>876</v>
      </c>
      <c r="AE718" s="158" t="str">
        <f>AB706</f>
        <v>0.20</v>
      </c>
      <c r="AF718" s="34" t="s">
        <v>871</v>
      </c>
      <c r="AG718" s="158">
        <f>1/AL712*AD704*AB706</f>
        <v>1.2826679493346161E-2</v>
      </c>
      <c r="AH718" s="155"/>
      <c r="AI718" s="155"/>
      <c r="AJ718" s="155"/>
      <c r="AK718" s="155"/>
      <c r="AL718" s="155"/>
      <c r="AM718" s="155"/>
      <c r="AN718" s="155"/>
      <c r="AO718" s="155"/>
      <c r="AP718" s="155"/>
      <c r="AQ718" s="155"/>
      <c r="AR718" s="155"/>
      <c r="AS718" s="155"/>
    </row>
    <row r="719" spans="1:45" ht="12.6" customHeight="1" x14ac:dyDescent="0.3">
      <c r="A719" s="107"/>
      <c r="B719" s="107"/>
      <c r="C719" s="107"/>
      <c r="D719" s="107"/>
      <c r="E719" s="107"/>
      <c r="F719" s="107"/>
      <c r="G719" s="17" t="s">
        <v>848</v>
      </c>
      <c r="Z719" s="155"/>
      <c r="AA719" s="155"/>
      <c r="AB719" s="155"/>
      <c r="AC719" s="155"/>
      <c r="AD719" s="155"/>
      <c r="AE719" s="155"/>
      <c r="AF719" s="155"/>
      <c r="AG719" s="155"/>
      <c r="AH719" s="155"/>
      <c r="AI719" s="155"/>
      <c r="AJ719" s="155"/>
      <c r="AK719" s="155"/>
      <c r="AL719" s="155"/>
      <c r="AM719" s="155"/>
      <c r="AN719" s="155"/>
      <c r="AO719" s="155"/>
      <c r="AP719" s="155"/>
      <c r="AQ719" s="155"/>
      <c r="AR719" s="155"/>
      <c r="AS719" s="155"/>
    </row>
    <row r="720" spans="1:45" ht="12.6" customHeight="1" x14ac:dyDescent="0.3">
      <c r="A720" s="84"/>
      <c r="B720" s="41" t="s">
        <v>885</v>
      </c>
      <c r="C720" s="149">
        <f>E720+D720+F720</f>
        <v>1268.7</v>
      </c>
      <c r="D720" s="149">
        <f>SUMIF(N700:N719,M720,D700:D719)</f>
        <v>732.1</v>
      </c>
      <c r="E720" s="149">
        <f>SUMIF(N700:N719,M720,E700:E719)</f>
        <v>228.8</v>
      </c>
      <c r="F720" s="149">
        <f>SUMIF(N700:N719,M720,F700:F719)</f>
        <v>307.8</v>
      </c>
      <c r="G720" s="17" t="s">
        <v>884</v>
      </c>
      <c r="M720" s="34" t="s">
        <v>886</v>
      </c>
      <c r="N720" s="34" t="s">
        <v>768</v>
      </c>
      <c r="Z720" s="155"/>
      <c r="AA720" s="155"/>
      <c r="AB720" s="155"/>
      <c r="AC720" s="155"/>
      <c r="AD720" s="155"/>
      <c r="AE720" s="155"/>
      <c r="AF720" s="155"/>
      <c r="AG720" s="155"/>
      <c r="AH720" s="155"/>
      <c r="AI720" s="155"/>
      <c r="AJ720" s="155"/>
      <c r="AK720" s="155"/>
      <c r="AL720" s="155"/>
      <c r="AM720" s="155"/>
      <c r="AN720" s="155"/>
      <c r="AO720" s="155"/>
      <c r="AP720" s="155"/>
      <c r="AQ720" s="155"/>
      <c r="AR720" s="155"/>
      <c r="AS720" s="155"/>
    </row>
    <row r="721" spans="1:45" ht="12.6" customHeight="1" x14ac:dyDescent="0.3">
      <c r="A721" s="107"/>
      <c r="B721" s="107"/>
      <c r="C721" s="147"/>
      <c r="D721" s="147"/>
      <c r="E721" s="147"/>
      <c r="F721" s="147"/>
      <c r="Z721" s="155"/>
      <c r="AA721" s="155"/>
      <c r="AB721" s="155"/>
      <c r="AC721" s="155"/>
      <c r="AD721" s="155"/>
      <c r="AE721" s="155"/>
      <c r="AF721" s="155"/>
      <c r="AG721" s="155"/>
      <c r="AH721" s="155"/>
      <c r="AI721" s="155"/>
      <c r="AJ721" s="155"/>
      <c r="AK721" s="155"/>
      <c r="AL721" s="155"/>
      <c r="AM721" s="155"/>
      <c r="AN721" s="155"/>
      <c r="AO721" s="155"/>
      <c r="AP721" s="155"/>
      <c r="AQ721" s="155"/>
      <c r="AR721" s="155"/>
      <c r="AS721" s="155"/>
    </row>
    <row r="722" spans="1:45" ht="12.6" customHeight="1" x14ac:dyDescent="0.3">
      <c r="A722" s="107"/>
      <c r="B722" s="107"/>
      <c r="C722" s="107"/>
      <c r="D722" s="107"/>
      <c r="E722" s="107"/>
      <c r="F722" s="107"/>
      <c r="Z722" s="155"/>
      <c r="AA722" s="155"/>
      <c r="AB722" s="155"/>
      <c r="AC722" s="155"/>
      <c r="AD722" s="155"/>
      <c r="AE722" s="155"/>
      <c r="AF722" s="155"/>
      <c r="AG722" s="155"/>
      <c r="AH722" s="155"/>
      <c r="AI722" s="155"/>
      <c r="AJ722" s="155"/>
      <c r="AK722" s="155"/>
      <c r="AL722" s="155"/>
      <c r="AM722" s="155"/>
      <c r="AN722" s="155"/>
      <c r="AO722" s="155"/>
      <c r="AP722" s="155"/>
      <c r="AQ722" s="155"/>
      <c r="AR722" s="155"/>
      <c r="AS722" s="155"/>
    </row>
    <row r="723" spans="1:45" ht="12.6" customHeight="1" x14ac:dyDescent="0.3">
      <c r="A723" s="107"/>
      <c r="B723" s="107"/>
      <c r="C723" s="107"/>
      <c r="D723" s="107"/>
      <c r="E723" s="107"/>
      <c r="F723" s="107"/>
      <c r="Z723" s="155"/>
      <c r="AA723" s="155"/>
      <c r="AB723" s="155"/>
      <c r="AC723" s="155"/>
      <c r="AD723" s="155"/>
      <c r="AE723" s="155"/>
      <c r="AF723" s="155"/>
      <c r="AG723" s="155"/>
      <c r="AH723" s="155"/>
      <c r="AI723" s="155"/>
      <c r="AJ723" s="155"/>
      <c r="AK723" s="155"/>
      <c r="AL723" s="155"/>
      <c r="AM723" s="155"/>
      <c r="AN723" s="155"/>
      <c r="AO723" s="155"/>
      <c r="AP723" s="155"/>
      <c r="AQ723" s="155"/>
      <c r="AR723" s="155"/>
      <c r="AS723" s="155"/>
    </row>
    <row r="724" spans="1:45" ht="12.6" customHeight="1" x14ac:dyDescent="0.3">
      <c r="A724" s="107"/>
      <c r="B724" s="107"/>
      <c r="C724" s="107"/>
      <c r="D724" s="107"/>
      <c r="E724" s="107"/>
      <c r="F724" s="107"/>
      <c r="Z724" s="155"/>
      <c r="AA724" s="155"/>
      <c r="AB724" s="155"/>
      <c r="AC724" s="155"/>
      <c r="AD724" s="155"/>
      <c r="AE724" s="155"/>
      <c r="AF724" s="155"/>
      <c r="AG724" s="155"/>
      <c r="AH724" s="155"/>
      <c r="AI724" s="155"/>
      <c r="AJ724" s="155"/>
      <c r="AK724" s="155"/>
      <c r="AL724" s="155"/>
      <c r="AM724" s="155"/>
      <c r="AN724" s="155"/>
      <c r="AO724" s="155"/>
      <c r="AP724" s="155"/>
      <c r="AQ724" s="155"/>
      <c r="AR724" s="155"/>
      <c r="AS724" s="155"/>
    </row>
    <row r="725" spans="1:45" ht="12.6" customHeight="1" x14ac:dyDescent="0.3">
      <c r="A725" s="107"/>
      <c r="B725" s="107"/>
      <c r="C725" s="107"/>
      <c r="D725" s="107"/>
      <c r="E725" s="107"/>
      <c r="F725" s="107"/>
      <c r="Z725" s="155"/>
      <c r="AA725" s="155"/>
      <c r="AB725" s="155"/>
      <c r="AC725" s="155"/>
      <c r="AD725" s="155"/>
      <c r="AE725" s="155"/>
      <c r="AF725" s="155"/>
      <c r="AG725" s="155"/>
      <c r="AH725" s="155"/>
      <c r="AI725" s="155"/>
      <c r="AJ725" s="155"/>
      <c r="AK725" s="155"/>
      <c r="AL725" s="155"/>
      <c r="AM725" s="155"/>
      <c r="AN725" s="155"/>
      <c r="AO725" s="155"/>
      <c r="AP725" s="155"/>
      <c r="AQ725" s="155"/>
      <c r="AR725" s="155"/>
      <c r="AS725" s="155"/>
    </row>
    <row r="726" spans="1:45" ht="12.6" customHeight="1" x14ac:dyDescent="0.3">
      <c r="A726" s="107"/>
      <c r="B726" s="107"/>
      <c r="C726" s="107"/>
      <c r="D726" s="107"/>
      <c r="E726" s="107"/>
      <c r="F726" s="107"/>
      <c r="Z726" s="155"/>
      <c r="AA726" s="155"/>
      <c r="AB726" s="155"/>
      <c r="AC726" s="155"/>
      <c r="AD726" s="155"/>
      <c r="AE726" s="155"/>
      <c r="AF726" s="155"/>
      <c r="AG726" s="155"/>
      <c r="AH726" s="155"/>
      <c r="AI726" s="155"/>
      <c r="AJ726" s="155"/>
      <c r="AK726" s="155"/>
      <c r="AL726" s="155"/>
      <c r="AM726" s="155"/>
      <c r="AN726" s="155"/>
      <c r="AO726" s="155"/>
      <c r="AP726" s="155"/>
      <c r="AQ726" s="155"/>
      <c r="AR726" s="155"/>
      <c r="AS726" s="155"/>
    </row>
    <row r="727" spans="1:45" ht="12.6" customHeight="1" x14ac:dyDescent="0.3">
      <c r="A727" s="107"/>
      <c r="B727" s="107"/>
      <c r="C727" s="107"/>
      <c r="D727" s="107"/>
      <c r="E727" s="107"/>
      <c r="F727" s="107"/>
      <c r="Z727" s="155"/>
      <c r="AA727" s="155"/>
      <c r="AB727" s="155"/>
      <c r="AC727" s="155"/>
      <c r="AD727" s="155"/>
      <c r="AE727" s="155"/>
      <c r="AF727" s="155"/>
      <c r="AG727" s="155"/>
      <c r="AH727" s="155"/>
      <c r="AI727" s="155"/>
      <c r="AJ727" s="155"/>
      <c r="AK727" s="155"/>
      <c r="AL727" s="155"/>
      <c r="AM727" s="155"/>
      <c r="AN727" s="155"/>
      <c r="AO727" s="155"/>
      <c r="AP727" s="155"/>
      <c r="AQ727" s="155"/>
      <c r="AR727" s="155"/>
      <c r="AS727" s="155"/>
    </row>
    <row r="728" spans="1:45" ht="12.6" customHeight="1" x14ac:dyDescent="0.3">
      <c r="A728" s="107"/>
      <c r="B728" s="107"/>
      <c r="C728" s="107"/>
      <c r="D728" s="107"/>
      <c r="E728" s="107"/>
      <c r="F728" s="107"/>
      <c r="Z728" s="155"/>
      <c r="AA728" s="155"/>
      <c r="AB728" s="155"/>
      <c r="AC728" s="155"/>
      <c r="AD728" s="155"/>
      <c r="AE728" s="155"/>
      <c r="AF728" s="155"/>
      <c r="AG728" s="155"/>
      <c r="AH728" s="155"/>
      <c r="AI728" s="155"/>
      <c r="AJ728" s="155"/>
      <c r="AK728" s="155"/>
      <c r="AL728" s="155"/>
      <c r="AM728" s="155"/>
      <c r="AN728" s="155"/>
      <c r="AO728" s="155"/>
      <c r="AP728" s="155"/>
      <c r="AQ728" s="155"/>
      <c r="AR728" s="155"/>
      <c r="AS728" s="155"/>
    </row>
    <row r="729" spans="1:45" ht="12.6" customHeight="1" x14ac:dyDescent="0.3">
      <c r="A729" s="123"/>
      <c r="B729" s="123"/>
      <c r="C729" s="123"/>
      <c r="D729" s="123"/>
      <c r="E729" s="123"/>
      <c r="F729" s="123"/>
      <c r="Z729" s="155"/>
      <c r="AA729" s="155"/>
      <c r="AB729" s="155"/>
      <c r="AC729" s="155"/>
      <c r="AD729" s="155"/>
      <c r="AE729" s="155"/>
      <c r="AF729" s="155"/>
      <c r="AG729" s="155"/>
      <c r="AH729" s="155"/>
      <c r="AI729" s="155"/>
      <c r="AJ729" s="155"/>
      <c r="AK729" s="155"/>
      <c r="AL729" s="155"/>
      <c r="AM729" s="155"/>
      <c r="AN729" s="155"/>
      <c r="AO729" s="155"/>
      <c r="AP729" s="155"/>
      <c r="AQ729" s="155"/>
      <c r="AR729" s="155"/>
      <c r="AS729" s="155"/>
    </row>
    <row r="730" spans="1:45" ht="12.6" customHeight="1" x14ac:dyDescent="0.3">
      <c r="A730" s="193" t="s">
        <v>769</v>
      </c>
      <c r="B730" s="194"/>
      <c r="C730" s="99">
        <f>E730+D730+F730</f>
        <v>1267</v>
      </c>
      <c r="D730" s="121">
        <f>ROUNDDOWN(SUMIF(N700:N720,M730,D700:D720),0)</f>
        <v>732</v>
      </c>
      <c r="E730" s="120">
        <f>ROUNDDOWN(SUMIF(N700:N720,M730,E700:E720),0)</f>
        <v>228</v>
      </c>
      <c r="F730" s="99">
        <f>ROUNDDOWN(SUMIF(N700:N720,M730,F700:F720),0)</f>
        <v>307</v>
      </c>
      <c r="M730" s="34" t="s">
        <v>768</v>
      </c>
      <c r="N730" s="34" t="s">
        <v>770</v>
      </c>
      <c r="Z730" s="155"/>
      <c r="AA730" s="155"/>
      <c r="AB730" s="155"/>
      <c r="AC730" s="155"/>
      <c r="AD730" s="155"/>
      <c r="AE730" s="155"/>
      <c r="AF730" s="155"/>
      <c r="AG730" s="155"/>
      <c r="AH730" s="155"/>
      <c r="AI730" s="155"/>
      <c r="AJ730" s="155"/>
      <c r="AK730" s="155"/>
      <c r="AL730" s="155"/>
      <c r="AM730" s="155"/>
      <c r="AN730" s="155"/>
      <c r="AO730" s="155"/>
      <c r="AP730" s="155"/>
      <c r="AQ730" s="155"/>
      <c r="AR730" s="155"/>
      <c r="AS730" s="155"/>
    </row>
    <row r="731" spans="1:45" ht="12.6" customHeight="1" x14ac:dyDescent="0.3">
      <c r="A731" s="193" t="s">
        <v>1046</v>
      </c>
      <c r="B731" s="194"/>
      <c r="C731" s="99">
        <f>E731+D731+F731</f>
        <v>1114</v>
      </c>
      <c r="D731" s="121">
        <f>ROUNDDOWN(D730*H731/100,0)</f>
        <v>644</v>
      </c>
      <c r="E731" s="120">
        <f>ROUNDDOWN(E730*H731/100,0)</f>
        <v>200</v>
      </c>
      <c r="F731" s="99">
        <f>ROUNDDOWN(F730*H731/100,0)</f>
        <v>270</v>
      </c>
      <c r="H731" s="35">
        <v>88</v>
      </c>
      <c r="M731" s="34" t="s">
        <v>770</v>
      </c>
      <c r="Z731" s="155"/>
      <c r="AA731" s="155"/>
      <c r="AB731" s="155"/>
      <c r="AC731" s="155"/>
      <c r="AD731" s="155"/>
      <c r="AE731" s="155"/>
      <c r="AF731" s="155"/>
      <c r="AG731" s="155"/>
      <c r="AH731" s="155"/>
      <c r="AI731" s="155"/>
      <c r="AJ731" s="155"/>
      <c r="AK731" s="155"/>
      <c r="AL731" s="155"/>
      <c r="AM731" s="155"/>
      <c r="AN731" s="155"/>
      <c r="AO731" s="155"/>
      <c r="AP731" s="155"/>
      <c r="AQ731" s="155"/>
      <c r="AR731" s="155"/>
      <c r="AS731" s="155"/>
    </row>
    <row r="732" spans="1:45" ht="12.6" customHeight="1" x14ac:dyDescent="0.3">
      <c r="A732" s="144" t="s">
        <v>80</v>
      </c>
      <c r="B732" s="145" t="s">
        <v>80</v>
      </c>
      <c r="C732" s="232">
        <f>C800</f>
        <v>3268</v>
      </c>
      <c r="D732" s="232">
        <f>D800</f>
        <v>0</v>
      </c>
      <c r="E732" s="232">
        <f>E800</f>
        <v>0</v>
      </c>
      <c r="F732" s="232">
        <f>F800</f>
        <v>3268</v>
      </c>
      <c r="G732" s="141" t="str">
        <f>HYPERLINK("#G"&amp;ROW(G783),"_x0005_`BDCOD|D01445_x0007_`POSS|"&amp;ROW(G734)&amp;"_x0007_`POSE|"&amp;ROW(G783)&amp;"_x0007_`")</f>
        <v>_x0005_`BDCOD|D01445_x0007_`POSS|734_x0007_`POSE|783_x0007_`</v>
      </c>
      <c r="Z732" s="155"/>
      <c r="AA732" s="155"/>
      <c r="AB732" s="155"/>
      <c r="AC732" s="155"/>
      <c r="AD732" s="155"/>
      <c r="AE732" s="155"/>
      <c r="AF732" s="155"/>
      <c r="AG732" s="155"/>
      <c r="AH732" s="155"/>
      <c r="AI732" s="155"/>
      <c r="AJ732" s="155"/>
      <c r="AK732" s="155"/>
      <c r="AL732" s="155"/>
      <c r="AM732" s="155"/>
      <c r="AN732" s="155"/>
      <c r="AO732" s="155"/>
      <c r="AP732" s="155"/>
      <c r="AQ732" s="155"/>
      <c r="AR732" s="155"/>
      <c r="AS732" s="155"/>
    </row>
    <row r="733" spans="1:45" ht="12.6" customHeight="1" x14ac:dyDescent="0.3">
      <c r="A733" s="124"/>
      <c r="B733" s="145" t="s">
        <v>79</v>
      </c>
      <c r="C733" s="189"/>
      <c r="D733" s="189"/>
      <c r="E733" s="189"/>
      <c r="F733" s="189"/>
      <c r="M733" s="34" t="s">
        <v>1161</v>
      </c>
      <c r="Z733" s="155"/>
      <c r="AA733" s="155"/>
      <c r="AB733" s="155"/>
      <c r="AC733" s="155"/>
      <c r="AD733" s="155"/>
      <c r="AE733" s="155"/>
      <c r="AF733" s="155"/>
      <c r="AG733" s="155"/>
      <c r="AH733" s="155"/>
      <c r="AI733" s="155"/>
      <c r="AJ733" s="155"/>
      <c r="AK733" s="155"/>
      <c r="AL733" s="155"/>
      <c r="AM733" s="155"/>
      <c r="AN733" s="155"/>
      <c r="AO733" s="155"/>
      <c r="AP733" s="155"/>
      <c r="AQ733" s="155"/>
      <c r="AR733" s="155"/>
      <c r="AS733" s="155"/>
    </row>
    <row r="734" spans="1:45" ht="12.6" customHeight="1" x14ac:dyDescent="0.3">
      <c r="A734" s="84"/>
      <c r="B734" s="41" t="s">
        <v>1163</v>
      </c>
      <c r="C734" s="147"/>
      <c r="D734" s="147"/>
      <c r="E734" s="147"/>
      <c r="F734" s="147"/>
      <c r="G734" s="17" t="s">
        <v>1162</v>
      </c>
      <c r="Z734" s="155"/>
      <c r="AA734" s="155"/>
      <c r="AB734" s="155"/>
      <c r="AC734" s="155"/>
      <c r="AD734" s="155"/>
      <c r="AE734" s="155"/>
      <c r="AF734" s="155"/>
      <c r="AG734" s="155"/>
      <c r="AH734" s="155"/>
      <c r="AI734" s="155"/>
      <c r="AJ734" s="155"/>
      <c r="AK734" s="155"/>
      <c r="AL734" s="155"/>
      <c r="AM734" s="155"/>
      <c r="AN734" s="155"/>
      <c r="AO734" s="155"/>
      <c r="AP734" s="155"/>
      <c r="AQ734" s="155"/>
      <c r="AR734" s="155"/>
      <c r="AS734" s="155"/>
    </row>
    <row r="735" spans="1:45" ht="12.6" customHeight="1" x14ac:dyDescent="0.3">
      <c r="A735" s="107"/>
      <c r="B735" s="107"/>
      <c r="C735" s="107"/>
      <c r="D735" s="107"/>
      <c r="E735" s="107"/>
      <c r="F735" s="107"/>
      <c r="G735" s="17" t="s">
        <v>848</v>
      </c>
      <c r="Z735" s="155"/>
      <c r="AA735" s="155"/>
      <c r="AB735" s="155"/>
      <c r="AC735" s="155"/>
      <c r="AD735" s="155"/>
      <c r="AE735" s="155"/>
      <c r="AF735" s="155"/>
      <c r="AG735" s="155"/>
      <c r="AH735" s="155"/>
      <c r="AI735" s="155"/>
      <c r="AJ735" s="155"/>
      <c r="AK735" s="155"/>
      <c r="AL735" s="155"/>
      <c r="AM735" s="155"/>
      <c r="AN735" s="155"/>
      <c r="AO735" s="155"/>
      <c r="AP735" s="155"/>
      <c r="AQ735" s="155"/>
      <c r="AR735" s="155"/>
      <c r="AS735" s="155"/>
    </row>
    <row r="736" spans="1:45" ht="12.6" customHeight="1" x14ac:dyDescent="0.3">
      <c r="A736" s="84"/>
      <c r="B736" s="41" t="s">
        <v>1165</v>
      </c>
      <c r="C736" s="107"/>
      <c r="D736" s="107"/>
      <c r="E736" s="107"/>
      <c r="F736" s="107"/>
      <c r="G736" s="17" t="s">
        <v>1164</v>
      </c>
      <c r="Z736" s="155"/>
      <c r="AA736" s="155"/>
      <c r="AB736" s="155"/>
      <c r="AC736" s="155"/>
      <c r="AD736" s="155"/>
      <c r="AE736" s="155"/>
      <c r="AF736" s="155"/>
      <c r="AG736" s="155"/>
      <c r="AH736" s="155"/>
      <c r="AI736" s="155"/>
      <c r="AJ736" s="155"/>
      <c r="AK736" s="155"/>
      <c r="AL736" s="155"/>
      <c r="AM736" s="155"/>
      <c r="AN736" s="155"/>
      <c r="AO736" s="155"/>
      <c r="AP736" s="155"/>
      <c r="AQ736" s="155"/>
      <c r="AR736" s="155"/>
      <c r="AS736" s="155"/>
    </row>
    <row r="737" spans="1:45" ht="12.6" customHeight="1" x14ac:dyDescent="0.3">
      <c r="A737" s="107"/>
      <c r="B737" s="107"/>
      <c r="C737" s="107"/>
      <c r="D737" s="107"/>
      <c r="E737" s="107"/>
      <c r="F737" s="107"/>
      <c r="G737" s="17" t="s">
        <v>848</v>
      </c>
      <c r="Z737" s="155"/>
      <c r="AA737" s="155"/>
      <c r="AB737" s="155"/>
      <c r="AC737" s="155"/>
      <c r="AD737" s="155"/>
      <c r="AE737" s="155"/>
      <c r="AF737" s="155"/>
      <c r="AG737" s="155"/>
      <c r="AH737" s="155"/>
      <c r="AI737" s="155"/>
      <c r="AJ737" s="155"/>
      <c r="AK737" s="155"/>
      <c r="AL737" s="155"/>
      <c r="AM737" s="155"/>
      <c r="AN737" s="155"/>
      <c r="AO737" s="155"/>
      <c r="AP737" s="155"/>
      <c r="AQ737" s="155"/>
      <c r="AR737" s="155"/>
      <c r="AS737" s="155"/>
    </row>
    <row r="738" spans="1:45" ht="12.6" customHeight="1" x14ac:dyDescent="0.3">
      <c r="A738" s="84"/>
      <c r="B738" s="41" t="s">
        <v>1167</v>
      </c>
      <c r="C738" s="107"/>
      <c r="D738" s="107"/>
      <c r="E738" s="107"/>
      <c r="F738" s="107"/>
      <c r="G738" s="17" t="s">
        <v>1166</v>
      </c>
      <c r="Z738" s="155"/>
      <c r="AA738" s="155"/>
      <c r="AB738" s="155"/>
      <c r="AC738" s="155"/>
      <c r="AD738" s="155"/>
      <c r="AE738" s="155"/>
      <c r="AF738" s="155"/>
      <c r="AG738" s="155"/>
      <c r="AH738" s="155"/>
      <c r="AI738" s="155"/>
      <c r="AJ738" s="155"/>
      <c r="AK738" s="155"/>
      <c r="AL738" s="155"/>
      <c r="AM738" s="155"/>
      <c r="AN738" s="155"/>
      <c r="AO738" s="155"/>
      <c r="AP738" s="155"/>
      <c r="AQ738" s="155"/>
      <c r="AR738" s="155"/>
      <c r="AS738" s="155"/>
    </row>
    <row r="739" spans="1:45" ht="12.6" customHeight="1" x14ac:dyDescent="0.3">
      <c r="A739" s="107"/>
      <c r="B739" s="107"/>
      <c r="C739" s="107"/>
      <c r="D739" s="107"/>
      <c r="E739" s="107"/>
      <c r="F739" s="107"/>
      <c r="G739" s="17" t="s">
        <v>848</v>
      </c>
      <c r="Z739" s="155"/>
      <c r="AA739" s="155"/>
      <c r="AB739" s="155"/>
      <c r="AC739" s="155"/>
      <c r="AD739" s="155"/>
      <c r="AE739" s="155"/>
      <c r="AF739" s="155"/>
      <c r="AG739" s="155"/>
      <c r="AH739" s="155"/>
      <c r="AI739" s="155"/>
      <c r="AJ739" s="155"/>
      <c r="AK739" s="155"/>
      <c r="AL739" s="155"/>
      <c r="AM739" s="155"/>
      <c r="AN739" s="155"/>
      <c r="AO739" s="155"/>
      <c r="AP739" s="155"/>
      <c r="AQ739" s="155"/>
      <c r="AR739" s="155"/>
      <c r="AS739" s="155"/>
    </row>
    <row r="740" spans="1:45" ht="12.6" customHeight="1" x14ac:dyDescent="0.3">
      <c r="A740" s="84"/>
      <c r="B740" s="41" t="str">
        <f>" q2 (버킷용량)  = "&amp;Z740&amp;" m3 "</f>
        <v xml:space="preserve"> q2 (버킷용량)  = 0.7 m3 </v>
      </c>
      <c r="C740" s="107"/>
      <c r="D740" s="107"/>
      <c r="E740" s="107"/>
      <c r="F740" s="107"/>
      <c r="G740" s="17" t="s">
        <v>1168</v>
      </c>
      <c r="Z740" s="156">
        <v>0.7</v>
      </c>
      <c r="AA740" s="34" t="s">
        <v>871</v>
      </c>
      <c r="AB740" s="158">
        <f>Z740</f>
        <v>0.7</v>
      </c>
      <c r="AC740" s="155"/>
      <c r="AD740" s="155"/>
      <c r="AE740" s="155"/>
      <c r="AF740" s="155"/>
      <c r="AG740" s="155"/>
      <c r="AH740" s="155"/>
      <c r="AI740" s="155"/>
      <c r="AJ740" s="155"/>
      <c r="AK740" s="155"/>
      <c r="AL740" s="155"/>
      <c r="AM740" s="155"/>
      <c r="AN740" s="155"/>
      <c r="AO740" s="155"/>
      <c r="AP740" s="155"/>
      <c r="AQ740" s="155"/>
      <c r="AR740" s="155"/>
      <c r="AS740" s="155"/>
    </row>
    <row r="741" spans="1:45" ht="12.6" customHeight="1" x14ac:dyDescent="0.3">
      <c r="A741" s="107"/>
      <c r="B741" s="107"/>
      <c r="C741" s="107"/>
      <c r="D741" s="107"/>
      <c r="E741" s="107"/>
      <c r="F741" s="107"/>
      <c r="G741" s="17" t="s">
        <v>848</v>
      </c>
      <c r="Z741" s="155"/>
      <c r="AA741" s="155"/>
      <c r="AB741" s="155"/>
      <c r="AC741" s="155"/>
      <c r="AD741" s="155"/>
      <c r="AE741" s="155"/>
      <c r="AF741" s="155"/>
      <c r="AG741" s="155"/>
      <c r="AH741" s="155"/>
      <c r="AI741" s="155"/>
      <c r="AJ741" s="155"/>
      <c r="AK741" s="155"/>
      <c r="AL741" s="155"/>
      <c r="AM741" s="155"/>
      <c r="AN741" s="155"/>
      <c r="AO741" s="155"/>
      <c r="AP741" s="155"/>
      <c r="AQ741" s="155"/>
      <c r="AR741" s="155"/>
      <c r="AS741" s="155"/>
    </row>
    <row r="742" spans="1:45" ht="12.6" customHeight="1" x14ac:dyDescent="0.3">
      <c r="A742" s="84"/>
      <c r="B742" s="41" t="str">
        <f>" f (체적환산계수) = "&amp;Z742&amp;"/"&amp;AB742&amp;"= "&amp;AD742&amp;" , E (작업효율) ="&amp;AF742&amp;" , k (버킷계수) ="&amp;AJ742&amp;""</f>
        <v xml:space="preserve"> f (체적환산계수) = 1/1.15= 0.87 , E (작업효율) =0.7 , k (버킷계수) =0.9</v>
      </c>
      <c r="C742" s="107"/>
      <c r="D742" s="107"/>
      <c r="E742" s="107"/>
      <c r="F742" s="107"/>
      <c r="G742" s="17" t="s">
        <v>1169</v>
      </c>
      <c r="Z742" s="157">
        <v>1</v>
      </c>
      <c r="AA742" s="34" t="s">
        <v>873</v>
      </c>
      <c r="AB742" s="156">
        <v>1.1499999999999999</v>
      </c>
      <c r="AC742" s="34" t="s">
        <v>871</v>
      </c>
      <c r="AD742" s="158" t="str">
        <f>TEXT(ROUND(Z742/AB742,2),"#,0.00")</f>
        <v>0.87</v>
      </c>
      <c r="AE742" s="159" t="s">
        <v>872</v>
      </c>
      <c r="AF742" s="156">
        <v>0.7</v>
      </c>
      <c r="AG742" s="34" t="s">
        <v>871</v>
      </c>
      <c r="AH742" s="158">
        <f>AF742</f>
        <v>0.7</v>
      </c>
      <c r="AI742" s="159" t="s">
        <v>872</v>
      </c>
      <c r="AJ742" s="156">
        <v>0.9</v>
      </c>
      <c r="AK742" s="34" t="s">
        <v>871</v>
      </c>
      <c r="AL742" s="158">
        <f>AJ742</f>
        <v>0.9</v>
      </c>
      <c r="AM742" s="155"/>
      <c r="AN742" s="155"/>
      <c r="AO742" s="155"/>
      <c r="AP742" s="155"/>
      <c r="AQ742" s="155"/>
      <c r="AR742" s="155"/>
      <c r="AS742" s="155"/>
    </row>
    <row r="743" spans="1:45" ht="12.6" customHeight="1" x14ac:dyDescent="0.3">
      <c r="A743" s="107"/>
      <c r="B743" s="107"/>
      <c r="C743" s="107"/>
      <c r="D743" s="107"/>
      <c r="E743" s="107"/>
      <c r="F743" s="107"/>
      <c r="G743" s="17" t="s">
        <v>848</v>
      </c>
      <c r="Z743" s="155"/>
      <c r="AA743" s="155"/>
      <c r="AB743" s="155"/>
      <c r="AC743" s="155"/>
      <c r="AD743" s="155"/>
      <c r="AE743" s="155"/>
      <c r="AF743" s="155"/>
      <c r="AG743" s="155"/>
      <c r="AH743" s="155"/>
      <c r="AI743" s="155"/>
      <c r="AJ743" s="155"/>
      <c r="AK743" s="155"/>
      <c r="AL743" s="155"/>
      <c r="AM743" s="155"/>
      <c r="AN743" s="155"/>
      <c r="AO743" s="155"/>
      <c r="AP743" s="155"/>
      <c r="AQ743" s="155"/>
      <c r="AR743" s="155"/>
      <c r="AS743" s="155"/>
    </row>
    <row r="744" spans="1:45" ht="12.6" customHeight="1" x14ac:dyDescent="0.3">
      <c r="A744" s="84"/>
      <c r="B744" s="41" t="str">
        <f>" Cm1 = "&amp;Z744&amp;"  sec(90˚) "</f>
        <v xml:space="preserve"> Cm1 = 18  sec(90˚) </v>
      </c>
      <c r="C744" s="107"/>
      <c r="D744" s="107"/>
      <c r="E744" s="107"/>
      <c r="F744" s="107"/>
      <c r="G744" s="17" t="s">
        <v>1170</v>
      </c>
      <c r="Z744" s="157">
        <v>18</v>
      </c>
      <c r="AA744" s="34" t="s">
        <v>871</v>
      </c>
      <c r="AB744" s="158">
        <f>Z744</f>
        <v>18</v>
      </c>
      <c r="AC744" s="155"/>
      <c r="AD744" s="155"/>
      <c r="AE744" s="155"/>
      <c r="AF744" s="155"/>
      <c r="AG744" s="155"/>
      <c r="AH744" s="155"/>
      <c r="AI744" s="155"/>
      <c r="AJ744" s="155"/>
      <c r="AK744" s="155"/>
      <c r="AL744" s="155"/>
      <c r="AM744" s="155"/>
      <c r="AN744" s="155"/>
      <c r="AO744" s="155"/>
      <c r="AP744" s="155"/>
      <c r="AQ744" s="155"/>
      <c r="AR744" s="155"/>
      <c r="AS744" s="155"/>
    </row>
    <row r="745" spans="1:45" ht="12.6" customHeight="1" x14ac:dyDescent="0.3">
      <c r="A745" s="107"/>
      <c r="B745" s="107"/>
      <c r="C745" s="107"/>
      <c r="D745" s="107"/>
      <c r="E745" s="107"/>
      <c r="F745" s="107"/>
      <c r="G745" s="17" t="s">
        <v>848</v>
      </c>
      <c r="Z745" s="155"/>
      <c r="AA745" s="155"/>
      <c r="AB745" s="155"/>
      <c r="AC745" s="155"/>
      <c r="AD745" s="155"/>
      <c r="AE745" s="155"/>
      <c r="AF745" s="155"/>
      <c r="AG745" s="155"/>
      <c r="AH745" s="155"/>
      <c r="AI745" s="155"/>
      <c r="AJ745" s="155"/>
      <c r="AK745" s="155"/>
      <c r="AL745" s="155"/>
      <c r="AM745" s="155"/>
      <c r="AN745" s="155"/>
      <c r="AO745" s="155"/>
      <c r="AP745" s="155"/>
      <c r="AQ745" s="155"/>
      <c r="AR745" s="155"/>
      <c r="AS745" s="155"/>
    </row>
    <row r="746" spans="1:45" ht="12.6" customHeight="1" x14ac:dyDescent="0.3">
      <c r="A746" s="84"/>
      <c r="B746" s="41" t="str">
        <f>" Q (시간당작업량) = "&amp;Z746&amp;" * q2 * k *f *E / Cm1 = "&amp;AL746&amp;" m3/hr "</f>
        <v xml:space="preserve"> Q (시간당작업량) = 3600 * q2 * k *f *E / Cm1 = 76.73 m3/hr </v>
      </c>
      <c r="C746" s="107"/>
      <c r="D746" s="107"/>
      <c r="E746" s="107"/>
      <c r="F746" s="107"/>
      <c r="G746" s="17" t="s">
        <v>1171</v>
      </c>
      <c r="Z746" s="157">
        <v>3600</v>
      </c>
      <c r="AA746" s="34" t="s">
        <v>876</v>
      </c>
      <c r="AB746" s="158">
        <f>AB740</f>
        <v>0.7</v>
      </c>
      <c r="AC746" s="34" t="s">
        <v>876</v>
      </c>
      <c r="AD746" s="158">
        <f>AL742</f>
        <v>0.9</v>
      </c>
      <c r="AE746" s="34" t="s">
        <v>876</v>
      </c>
      <c r="AF746" s="158" t="str">
        <f>AD742</f>
        <v>0.87</v>
      </c>
      <c r="AG746" s="34" t="s">
        <v>876</v>
      </c>
      <c r="AH746" s="158">
        <f>AH742</f>
        <v>0.7</v>
      </c>
      <c r="AI746" s="34" t="s">
        <v>873</v>
      </c>
      <c r="AJ746" s="158">
        <f>AB744</f>
        <v>18</v>
      </c>
      <c r="AK746" s="34" t="s">
        <v>871</v>
      </c>
      <c r="AL746" s="158" t="str">
        <f>TEXT(ROUND(Z746*AB740*AL742*AD742*AH742/AB744,2),"#,0.00")</f>
        <v>76.73</v>
      </c>
      <c r="AM746" s="155"/>
      <c r="AN746" s="155"/>
      <c r="AO746" s="155"/>
      <c r="AP746" s="155"/>
      <c r="AQ746" s="155"/>
      <c r="AR746" s="155"/>
      <c r="AS746" s="155"/>
    </row>
    <row r="747" spans="1:45" ht="12.6" customHeight="1" x14ac:dyDescent="0.3">
      <c r="A747" s="107"/>
      <c r="B747" s="107"/>
      <c r="C747" s="107"/>
      <c r="D747" s="107"/>
      <c r="E747" s="107"/>
      <c r="F747" s="107"/>
      <c r="G747" s="17" t="s">
        <v>848</v>
      </c>
      <c r="Z747" s="155"/>
      <c r="AA747" s="155"/>
      <c r="AB747" s="155"/>
      <c r="AC747" s="155"/>
      <c r="AD747" s="155"/>
      <c r="AE747" s="155"/>
      <c r="AF747" s="155"/>
      <c r="AG747" s="155"/>
      <c r="AH747" s="155"/>
      <c r="AI747" s="155"/>
      <c r="AJ747" s="155"/>
      <c r="AK747" s="155"/>
      <c r="AL747" s="155"/>
      <c r="AM747" s="155"/>
      <c r="AN747" s="155"/>
      <c r="AO747" s="155"/>
      <c r="AP747" s="155"/>
      <c r="AQ747" s="155"/>
      <c r="AR747" s="155"/>
      <c r="AS747" s="155"/>
    </row>
    <row r="748" spans="1:45" ht="12.6" customHeight="1" x14ac:dyDescent="0.3">
      <c r="A748" s="84" t="s">
        <v>1119</v>
      </c>
      <c r="B748" s="146" t="str">
        <f>"  노 무 비  :   "&amp;TEXT(I748,"#,##0"&amp;IF(I748&lt;&gt;INT(I748),".###",""))&amp;" / Q = "&amp;TEXT(C748,"#,##0.0")&amp;""</f>
        <v xml:space="preserve">  노 무 비  :   57,077 / Q = 743.8</v>
      </c>
      <c r="C748" s="148">
        <f>E748+D748+F748</f>
        <v>743.8</v>
      </c>
      <c r="D748" s="148">
        <f>IF(H748=0,0,ROUNDDOWN(J748*H748,1))</f>
        <v>743.8</v>
      </c>
      <c r="E748" s="148">
        <f>IF(H748=0,0,ROUNDDOWN(K748*H748,1))</f>
        <v>0</v>
      </c>
      <c r="F748" s="148">
        <f>IF(H748=0,0,ROUNDDOWN(L748*H748,1))</f>
        <v>0</v>
      </c>
      <c r="G748" s="17" t="s">
        <v>1172</v>
      </c>
      <c r="H748" s="152">
        <f>ROUNDUP(AC748,14-LEN(ABS(INT(AC748))))</f>
        <v>1.30327121074E-2</v>
      </c>
      <c r="I748" s="153">
        <f>K748+J748+L748</f>
        <v>57077</v>
      </c>
      <c r="J748" s="37">
        <f>중기목록표!F5</f>
        <v>57077</v>
      </c>
      <c r="M748" s="34" t="s">
        <v>1120</v>
      </c>
      <c r="N748" s="34" t="s">
        <v>886</v>
      </c>
      <c r="X748" s="154" t="str">
        <f>중기목록표!B5&amp;" / "&amp;중기목록표!C5</f>
        <v>굴착기(무한궤도) / 0.7㎥</v>
      </c>
      <c r="Y748" s="3" t="str">
        <f ca="1">HYPERLINK("#"&amp;중기목록표!J2&amp;"!A"&amp;ROW(중기목록표!A5),"X00005 →")</f>
        <v>X00005 →</v>
      </c>
      <c r="Z748" s="34" t="s">
        <v>879</v>
      </c>
      <c r="AA748" s="158" t="str">
        <f>AL746</f>
        <v>76.73</v>
      </c>
      <c r="AB748" s="34" t="s">
        <v>871</v>
      </c>
      <c r="AC748" s="158">
        <f>1/AL746</f>
        <v>1.3032712107389547E-2</v>
      </c>
      <c r="AD748" s="155"/>
      <c r="AE748" s="155"/>
      <c r="AF748" s="155"/>
      <c r="AG748" s="155"/>
      <c r="AH748" s="155"/>
      <c r="AI748" s="155"/>
      <c r="AJ748" s="155"/>
      <c r="AK748" s="155"/>
      <c r="AL748" s="155"/>
      <c r="AM748" s="155"/>
      <c r="AN748" s="155"/>
      <c r="AO748" s="155"/>
      <c r="AP748" s="155"/>
      <c r="AQ748" s="155"/>
      <c r="AR748" s="155"/>
      <c r="AS748" s="155"/>
    </row>
    <row r="749" spans="1:45" ht="12.6" customHeight="1" x14ac:dyDescent="0.3">
      <c r="A749" s="107"/>
      <c r="B749" s="107"/>
      <c r="C749" s="107"/>
      <c r="D749" s="107"/>
      <c r="E749" s="107"/>
      <c r="F749" s="107"/>
      <c r="G749" s="17" t="s">
        <v>848</v>
      </c>
      <c r="Z749" s="155"/>
      <c r="AA749" s="155"/>
      <c r="AB749" s="155"/>
      <c r="AC749" s="155"/>
      <c r="AD749" s="155"/>
      <c r="AE749" s="155"/>
      <c r="AF749" s="155"/>
      <c r="AG749" s="155"/>
      <c r="AH749" s="155"/>
      <c r="AI749" s="155"/>
      <c r="AJ749" s="155"/>
      <c r="AK749" s="155"/>
      <c r="AL749" s="155"/>
      <c r="AM749" s="155"/>
      <c r="AN749" s="155"/>
      <c r="AO749" s="155"/>
      <c r="AP749" s="155"/>
      <c r="AQ749" s="155"/>
      <c r="AR749" s="155"/>
      <c r="AS749" s="155"/>
    </row>
    <row r="750" spans="1:45" ht="12.6" customHeight="1" x14ac:dyDescent="0.3">
      <c r="A750" s="84" t="s">
        <v>1122</v>
      </c>
      <c r="B750" s="146" t="str">
        <f>"  재 료 비  :   "&amp;TEXT(I750,"#,##0"&amp;IF(I750&lt;&gt;INT(I750),".###",""))&amp;" / Q = "&amp;TEXT(C750,"#,##0.0")&amp;""</f>
        <v xml:space="preserve">  재 료 비  :   17,845 / Q = 232.5</v>
      </c>
      <c r="C750" s="148">
        <f>E750+D750+F750</f>
        <v>232.5</v>
      </c>
      <c r="D750" s="148">
        <f>IF(H750=0,0,ROUNDDOWN(J750*H750,1))</f>
        <v>0</v>
      </c>
      <c r="E750" s="148">
        <f>IF(H750=0,0,ROUNDDOWN(K750*H750,1))</f>
        <v>232.5</v>
      </c>
      <c r="F750" s="148">
        <f>IF(H750=0,0,ROUNDDOWN(L750*H750,1))</f>
        <v>0</v>
      </c>
      <c r="G750" s="17" t="s">
        <v>1173</v>
      </c>
      <c r="H750" s="152">
        <f>ROUNDUP(AC750,14-LEN(ABS(INT(AC750))))</f>
        <v>1.30327121074E-2</v>
      </c>
      <c r="I750" s="153">
        <f>K750+J750+L750</f>
        <v>17845</v>
      </c>
      <c r="K750" s="37">
        <f>중기목록표!G5</f>
        <v>17845</v>
      </c>
      <c r="M750" s="34" t="s">
        <v>1120</v>
      </c>
      <c r="N750" s="34" t="s">
        <v>886</v>
      </c>
      <c r="X750" s="154" t="str">
        <f>중기목록표!B5&amp;" / "&amp;중기목록표!C5</f>
        <v>굴착기(무한궤도) / 0.7㎥</v>
      </c>
      <c r="Y750" s="3" t="str">
        <f ca="1">HYPERLINK("#"&amp;중기목록표!J2&amp;"!A"&amp;ROW(중기목록표!A5),"X00005 →")</f>
        <v>X00005 →</v>
      </c>
      <c r="Z750" s="34" t="s">
        <v>879</v>
      </c>
      <c r="AA750" s="158" t="str">
        <f>AL746</f>
        <v>76.73</v>
      </c>
      <c r="AB750" s="34" t="s">
        <v>871</v>
      </c>
      <c r="AC750" s="158">
        <f>1/AL746</f>
        <v>1.3032712107389547E-2</v>
      </c>
      <c r="AD750" s="155"/>
      <c r="AE750" s="155"/>
      <c r="AF750" s="155"/>
      <c r="AG750" s="155"/>
      <c r="AH750" s="155"/>
      <c r="AI750" s="155"/>
      <c r="AJ750" s="155"/>
      <c r="AK750" s="155"/>
      <c r="AL750" s="155"/>
      <c r="AM750" s="155"/>
      <c r="AN750" s="155"/>
      <c r="AO750" s="155"/>
      <c r="AP750" s="155"/>
      <c r="AQ750" s="155"/>
      <c r="AR750" s="155"/>
      <c r="AS750" s="155"/>
    </row>
    <row r="751" spans="1:45" ht="12.6" customHeight="1" x14ac:dyDescent="0.3">
      <c r="A751" s="107"/>
      <c r="B751" s="107"/>
      <c r="C751" s="107"/>
      <c r="D751" s="107"/>
      <c r="E751" s="107"/>
      <c r="F751" s="107"/>
      <c r="G751" s="17" t="s">
        <v>848</v>
      </c>
      <c r="Z751" s="155"/>
      <c r="AA751" s="155"/>
      <c r="AB751" s="155"/>
      <c r="AC751" s="155"/>
      <c r="AD751" s="155"/>
      <c r="AE751" s="155"/>
      <c r="AF751" s="155"/>
      <c r="AG751" s="155"/>
      <c r="AH751" s="155"/>
      <c r="AI751" s="155"/>
      <c r="AJ751" s="155"/>
      <c r="AK751" s="155"/>
      <c r="AL751" s="155"/>
      <c r="AM751" s="155"/>
      <c r="AN751" s="155"/>
      <c r="AO751" s="155"/>
      <c r="AP751" s="155"/>
      <c r="AQ751" s="155"/>
      <c r="AR751" s="155"/>
      <c r="AS751" s="155"/>
    </row>
    <row r="752" spans="1:45" ht="12.6" customHeight="1" x14ac:dyDescent="0.3">
      <c r="A752" s="84" t="s">
        <v>1124</v>
      </c>
      <c r="B752" s="146" t="str">
        <f>"  경    비  :   "&amp;TEXT(I752,"#,##0"&amp;IF(I752&lt;&gt;INT(I752),".###",""))&amp;" / Q = "&amp;TEXT(C752,"#,##0.0")&amp;""</f>
        <v xml:space="preserve">  경    비  :   24,001 / Q = 312.7</v>
      </c>
      <c r="C752" s="148">
        <f>E752+D752+F752</f>
        <v>312.7</v>
      </c>
      <c r="D752" s="148">
        <f>IF(H752=0,0,ROUNDDOWN(J752*H752,1))</f>
        <v>0</v>
      </c>
      <c r="E752" s="148">
        <f>IF(H752=0,0,ROUNDDOWN(K752*H752,1))</f>
        <v>0</v>
      </c>
      <c r="F752" s="148">
        <f>IF(H752=0,0,ROUNDDOWN(L752*H752,1))</f>
        <v>312.7</v>
      </c>
      <c r="G752" s="17" t="s">
        <v>1174</v>
      </c>
      <c r="H752" s="152">
        <f>ROUNDUP(AC752,14-LEN(ABS(INT(AC752))))</f>
        <v>1.30327121074E-2</v>
      </c>
      <c r="I752" s="153">
        <f>K752+J752+L752</f>
        <v>24001</v>
      </c>
      <c r="L752" s="37">
        <f>중기목록표!H5</f>
        <v>24001</v>
      </c>
      <c r="M752" s="34" t="s">
        <v>1120</v>
      </c>
      <c r="N752" s="34" t="s">
        <v>886</v>
      </c>
      <c r="X752" s="154" t="str">
        <f>중기목록표!B5&amp;" / "&amp;중기목록표!C5</f>
        <v>굴착기(무한궤도) / 0.7㎥</v>
      </c>
      <c r="Y752" s="3" t="str">
        <f ca="1">HYPERLINK("#"&amp;중기목록표!J2&amp;"!A"&amp;ROW(중기목록표!A5),"X00005 →")</f>
        <v>X00005 →</v>
      </c>
      <c r="Z752" s="34" t="s">
        <v>879</v>
      </c>
      <c r="AA752" s="158" t="str">
        <f>AL746</f>
        <v>76.73</v>
      </c>
      <c r="AB752" s="34" t="s">
        <v>871</v>
      </c>
      <c r="AC752" s="158">
        <f>1/AL746</f>
        <v>1.3032712107389547E-2</v>
      </c>
      <c r="AD752" s="155"/>
      <c r="AE752" s="155"/>
      <c r="AF752" s="155"/>
      <c r="AG752" s="155"/>
      <c r="AH752" s="155"/>
      <c r="AI752" s="155"/>
      <c r="AJ752" s="155"/>
      <c r="AK752" s="155"/>
      <c r="AL752" s="155"/>
      <c r="AM752" s="155"/>
      <c r="AN752" s="155"/>
      <c r="AO752" s="155"/>
      <c r="AP752" s="155"/>
      <c r="AQ752" s="155"/>
      <c r="AR752" s="155"/>
      <c r="AS752" s="155"/>
    </row>
    <row r="753" spans="1:45" ht="12.6" customHeight="1" x14ac:dyDescent="0.3">
      <c r="A753" s="107"/>
      <c r="B753" s="107"/>
      <c r="C753" s="107"/>
      <c r="D753" s="107"/>
      <c r="E753" s="107"/>
      <c r="F753" s="107"/>
      <c r="G753" s="17" t="s">
        <v>848</v>
      </c>
      <c r="Z753" s="155"/>
      <c r="AA753" s="155"/>
      <c r="AB753" s="155"/>
      <c r="AC753" s="155"/>
      <c r="AD753" s="155"/>
      <c r="AE753" s="155"/>
      <c r="AF753" s="155"/>
      <c r="AG753" s="155"/>
      <c r="AH753" s="155"/>
      <c r="AI753" s="155"/>
      <c r="AJ753" s="155"/>
      <c r="AK753" s="155"/>
      <c r="AL753" s="155"/>
      <c r="AM753" s="155"/>
      <c r="AN753" s="155"/>
      <c r="AO753" s="155"/>
      <c r="AP753" s="155"/>
      <c r="AQ753" s="155"/>
      <c r="AR753" s="155"/>
      <c r="AS753" s="155"/>
    </row>
    <row r="754" spans="1:45" ht="12.6" customHeight="1" x14ac:dyDescent="0.3">
      <c r="A754" s="84"/>
      <c r="B754" s="41" t="s">
        <v>885</v>
      </c>
      <c r="C754" s="149">
        <f>E754+D754+F754</f>
        <v>1289</v>
      </c>
      <c r="D754" s="149">
        <f>SUMIF(N734:N753,M754,D734:D753)</f>
        <v>743.8</v>
      </c>
      <c r="E754" s="149">
        <f>SUMIF(N734:N753,M754,E734:E753)</f>
        <v>232.5</v>
      </c>
      <c r="F754" s="149">
        <f>SUMIF(N734:N753,M754,F734:F753)</f>
        <v>312.7</v>
      </c>
      <c r="G754" s="17" t="s">
        <v>884</v>
      </c>
      <c r="M754" s="34" t="s">
        <v>886</v>
      </c>
      <c r="N754" s="34" t="s">
        <v>891</v>
      </c>
      <c r="Z754" s="155"/>
      <c r="AA754" s="155"/>
      <c r="AB754" s="155"/>
      <c r="AC754" s="155"/>
      <c r="AD754" s="155"/>
      <c r="AE754" s="155"/>
      <c r="AF754" s="155"/>
      <c r="AG754" s="155"/>
      <c r="AH754" s="155"/>
      <c r="AI754" s="155"/>
      <c r="AJ754" s="155"/>
      <c r="AK754" s="155"/>
      <c r="AL754" s="155"/>
      <c r="AM754" s="155"/>
      <c r="AN754" s="155"/>
      <c r="AO754" s="155"/>
      <c r="AP754" s="155"/>
      <c r="AQ754" s="155"/>
      <c r="AR754" s="155"/>
      <c r="AS754" s="155"/>
    </row>
    <row r="755" spans="1:45" ht="12.6" customHeight="1" x14ac:dyDescent="0.3">
      <c r="A755" s="107"/>
      <c r="B755" s="107"/>
      <c r="C755" s="147"/>
      <c r="D755" s="147"/>
      <c r="E755" s="147"/>
      <c r="F755" s="147"/>
      <c r="G755" s="17" t="s">
        <v>848</v>
      </c>
      <c r="Z755" s="155"/>
      <c r="AA755" s="155"/>
      <c r="AB755" s="155"/>
      <c r="AC755" s="155"/>
      <c r="AD755" s="155"/>
      <c r="AE755" s="155"/>
      <c r="AF755" s="155"/>
      <c r="AG755" s="155"/>
      <c r="AH755" s="155"/>
      <c r="AI755" s="155"/>
      <c r="AJ755" s="155"/>
      <c r="AK755" s="155"/>
      <c r="AL755" s="155"/>
      <c r="AM755" s="155"/>
      <c r="AN755" s="155"/>
      <c r="AO755" s="155"/>
      <c r="AP755" s="155"/>
      <c r="AQ755" s="155"/>
      <c r="AR755" s="155"/>
      <c r="AS755" s="155"/>
    </row>
    <row r="756" spans="1:45" ht="12.6" customHeight="1" x14ac:dyDescent="0.3">
      <c r="A756" s="107"/>
      <c r="B756" s="107"/>
      <c r="C756" s="107"/>
      <c r="D756" s="107"/>
      <c r="E756" s="107"/>
      <c r="F756" s="107"/>
      <c r="G756" s="17" t="s">
        <v>848</v>
      </c>
      <c r="Z756" s="155"/>
      <c r="AA756" s="155"/>
      <c r="AB756" s="155"/>
      <c r="AC756" s="155"/>
      <c r="AD756" s="155"/>
      <c r="AE756" s="155"/>
      <c r="AF756" s="155"/>
      <c r="AG756" s="155"/>
      <c r="AH756" s="155"/>
      <c r="AI756" s="155"/>
      <c r="AJ756" s="155"/>
      <c r="AK756" s="155"/>
      <c r="AL756" s="155"/>
      <c r="AM756" s="155"/>
      <c r="AN756" s="155"/>
      <c r="AO756" s="155"/>
      <c r="AP756" s="155"/>
      <c r="AQ756" s="155"/>
      <c r="AR756" s="155"/>
      <c r="AS756" s="155"/>
    </row>
    <row r="757" spans="1:45" ht="12.6" customHeight="1" x14ac:dyDescent="0.3">
      <c r="A757" s="84"/>
      <c r="B757" s="41" t="s">
        <v>1176</v>
      </c>
      <c r="C757" s="107"/>
      <c r="D757" s="107"/>
      <c r="E757" s="107"/>
      <c r="F757" s="107"/>
      <c r="G757" s="17" t="s">
        <v>1175</v>
      </c>
      <c r="Z757" s="155"/>
      <c r="AA757" s="155"/>
      <c r="AB757" s="155"/>
      <c r="AC757" s="155"/>
      <c r="AD757" s="155"/>
      <c r="AE757" s="155"/>
      <c r="AF757" s="155"/>
      <c r="AG757" s="155"/>
      <c r="AH757" s="155"/>
      <c r="AI757" s="155"/>
      <c r="AJ757" s="155"/>
      <c r="AK757" s="155"/>
      <c r="AL757" s="155"/>
      <c r="AM757" s="155"/>
      <c r="AN757" s="155"/>
      <c r="AO757" s="155"/>
      <c r="AP757" s="155"/>
      <c r="AQ757" s="155"/>
      <c r="AR757" s="155"/>
      <c r="AS757" s="155"/>
    </row>
    <row r="758" spans="1:45" ht="12.6" customHeight="1" x14ac:dyDescent="0.3">
      <c r="A758" s="107"/>
      <c r="B758" s="107"/>
      <c r="C758" s="107"/>
      <c r="D758" s="107"/>
      <c r="E758" s="107"/>
      <c r="F758" s="107"/>
      <c r="G758" s="17" t="s">
        <v>848</v>
      </c>
      <c r="Z758" s="155"/>
      <c r="AA758" s="155"/>
      <c r="AB758" s="155"/>
      <c r="AC758" s="155"/>
      <c r="AD758" s="155"/>
      <c r="AE758" s="155"/>
      <c r="AF758" s="155"/>
      <c r="AG758" s="155"/>
      <c r="AH758" s="155"/>
      <c r="AI758" s="155"/>
      <c r="AJ758" s="155"/>
      <c r="AK758" s="155"/>
      <c r="AL758" s="155"/>
      <c r="AM758" s="155"/>
      <c r="AN758" s="155"/>
      <c r="AO758" s="155"/>
      <c r="AP758" s="155"/>
      <c r="AQ758" s="155"/>
      <c r="AR758" s="155"/>
      <c r="AS758" s="155"/>
    </row>
    <row r="759" spans="1:45" ht="12.6" customHeight="1" x14ac:dyDescent="0.3">
      <c r="A759" s="84"/>
      <c r="B759" s="41" t="str">
        <f>"L (운반거리)  = "&amp;Z759&amp;"  Km ,E (작업효율)  = "&amp;AD759&amp;" , f (환산계수)  = "&amp;AH759&amp;"/"&amp;AJ759&amp;" = "&amp;AL759&amp;""</f>
        <v>L (운반거리)  = 0.1  Km ,E (작업효율)  = 0.9 , f (환산계수)  = 1/1.15 = 0.87</v>
      </c>
      <c r="C759" s="107"/>
      <c r="D759" s="107"/>
      <c r="E759" s="107"/>
      <c r="F759" s="107"/>
      <c r="G759" s="17" t="s">
        <v>1177</v>
      </c>
      <c r="Z759" s="156">
        <v>0.1</v>
      </c>
      <c r="AA759" s="34" t="s">
        <v>871</v>
      </c>
      <c r="AB759" s="158">
        <f>Z759</f>
        <v>0.1</v>
      </c>
      <c r="AC759" s="159" t="s">
        <v>872</v>
      </c>
      <c r="AD759" s="156">
        <v>0.9</v>
      </c>
      <c r="AE759" s="34" t="s">
        <v>871</v>
      </c>
      <c r="AF759" s="158">
        <f>AD759</f>
        <v>0.9</v>
      </c>
      <c r="AG759" s="159" t="s">
        <v>872</v>
      </c>
      <c r="AH759" s="157">
        <v>1</v>
      </c>
      <c r="AI759" s="34" t="s">
        <v>873</v>
      </c>
      <c r="AJ759" s="156">
        <v>1.1499999999999999</v>
      </c>
      <c r="AK759" s="34" t="s">
        <v>871</v>
      </c>
      <c r="AL759" s="158" t="str">
        <f>TEXT(ROUND(AH759/AJ759,2),"#,0.00")</f>
        <v>0.87</v>
      </c>
      <c r="AM759" s="155"/>
      <c r="AN759" s="155"/>
      <c r="AO759" s="155"/>
      <c r="AP759" s="155"/>
      <c r="AQ759" s="155"/>
      <c r="AR759" s="155"/>
      <c r="AS759" s="155"/>
    </row>
    <row r="760" spans="1:45" ht="12.6" customHeight="1" x14ac:dyDescent="0.3">
      <c r="A760" s="107"/>
      <c r="B760" s="107"/>
      <c r="C760" s="107"/>
      <c r="D760" s="107"/>
      <c r="E760" s="107"/>
      <c r="F760" s="107"/>
      <c r="G760" s="17" t="s">
        <v>848</v>
      </c>
      <c r="Z760" s="155"/>
      <c r="AA760" s="155"/>
      <c r="AB760" s="155"/>
      <c r="AC760" s="155"/>
      <c r="AD760" s="155"/>
      <c r="AE760" s="155"/>
      <c r="AF760" s="155"/>
      <c r="AG760" s="155"/>
      <c r="AH760" s="155"/>
      <c r="AI760" s="155"/>
      <c r="AJ760" s="155"/>
      <c r="AK760" s="155"/>
      <c r="AL760" s="155"/>
      <c r="AM760" s="155"/>
      <c r="AN760" s="155"/>
      <c r="AO760" s="155"/>
      <c r="AP760" s="155"/>
      <c r="AQ760" s="155"/>
      <c r="AR760" s="155"/>
      <c r="AS760" s="155"/>
    </row>
    <row r="761" spans="1:45" ht="12.6" customHeight="1" x14ac:dyDescent="0.3">
      <c r="A761" s="84"/>
      <c r="B761" s="41" t="str">
        <f>"q1 (덤프트럭1회적재량)  = ("&amp;AA761&amp;"/"&amp;AC761&amp;") * "&amp;AE761&amp;" = "&amp;AG761&amp;""</f>
        <v>q1 (덤프트럭1회적재량)  = (4.5/1.6) * 1.15 = 3.23</v>
      </c>
      <c r="C761" s="107"/>
      <c r="D761" s="107"/>
      <c r="E761" s="107"/>
      <c r="F761" s="107"/>
      <c r="G761" s="17" t="s">
        <v>1178</v>
      </c>
      <c r="Z761" s="34" t="s">
        <v>998</v>
      </c>
      <c r="AA761" s="156">
        <v>4.5</v>
      </c>
      <c r="AB761" s="34" t="s">
        <v>873</v>
      </c>
      <c r="AC761" s="156">
        <v>1.6</v>
      </c>
      <c r="AD761" s="34" t="s">
        <v>1000</v>
      </c>
      <c r="AE761" s="156">
        <v>1.1499999999999999</v>
      </c>
      <c r="AF761" s="34" t="s">
        <v>871</v>
      </c>
      <c r="AG761" s="158" t="str">
        <f>TEXT(ROUND((AA761/AC761)*AE761,2),"#,0.00")</f>
        <v>3.23</v>
      </c>
      <c r="AH761" s="155"/>
      <c r="AI761" s="155"/>
      <c r="AJ761" s="155"/>
      <c r="AK761" s="155"/>
      <c r="AL761" s="155"/>
      <c r="AM761" s="155"/>
      <c r="AN761" s="155"/>
      <c r="AO761" s="155"/>
      <c r="AP761" s="155"/>
      <c r="AQ761" s="155"/>
      <c r="AR761" s="155"/>
      <c r="AS761" s="155"/>
    </row>
    <row r="762" spans="1:45" ht="12.6" customHeight="1" x14ac:dyDescent="0.3">
      <c r="A762" s="107"/>
      <c r="B762" s="107"/>
      <c r="C762" s="107"/>
      <c r="D762" s="107"/>
      <c r="E762" s="107"/>
      <c r="F762" s="107"/>
      <c r="G762" s="17" t="s">
        <v>848</v>
      </c>
      <c r="Z762" s="155"/>
      <c r="AA762" s="155"/>
      <c r="AB762" s="155"/>
      <c r="AC762" s="155"/>
      <c r="AD762" s="155"/>
      <c r="AE762" s="155"/>
      <c r="AF762" s="155"/>
      <c r="AG762" s="155"/>
      <c r="AH762" s="155"/>
      <c r="AI762" s="155"/>
      <c r="AJ762" s="155"/>
      <c r="AK762" s="155"/>
      <c r="AL762" s="155"/>
      <c r="AM762" s="155"/>
      <c r="AN762" s="155"/>
      <c r="AO762" s="155"/>
      <c r="AP762" s="155"/>
      <c r="AQ762" s="155"/>
      <c r="AR762" s="155"/>
      <c r="AS762" s="155"/>
    </row>
    <row r="763" spans="1:45" ht="12.6" customHeight="1" x14ac:dyDescent="0.3">
      <c r="A763" s="84"/>
      <c r="B763" s="41" t="str">
        <f>"n =q1 / ("&amp;AB763&amp;" * k) = "&amp;AG763&amp;"  회 "</f>
        <v xml:space="preserve">n =q1 / (0.7 * k) = 5.13  회 </v>
      </c>
      <c r="C763" s="107"/>
      <c r="D763" s="107"/>
      <c r="E763" s="107"/>
      <c r="F763" s="107"/>
      <c r="G763" s="17" t="s">
        <v>1179</v>
      </c>
      <c r="Z763" s="158" t="str">
        <f>AG761</f>
        <v>3.23</v>
      </c>
      <c r="AA763" s="34" t="s">
        <v>990</v>
      </c>
      <c r="AB763" s="156">
        <v>0.7</v>
      </c>
      <c r="AC763" s="34" t="s">
        <v>876</v>
      </c>
      <c r="AD763" s="158">
        <f>AL742</f>
        <v>0.9</v>
      </c>
      <c r="AE763" s="34" t="s">
        <v>991</v>
      </c>
      <c r="AF763" s="34" t="s">
        <v>871</v>
      </c>
      <c r="AG763" s="158" t="str">
        <f>TEXT(ROUND(AG761/(AB763*AL742),2),"#,0.00")</f>
        <v>5.13</v>
      </c>
      <c r="AH763" s="155"/>
      <c r="AI763" s="155"/>
      <c r="AJ763" s="155"/>
      <c r="AK763" s="155"/>
      <c r="AL763" s="155"/>
      <c r="AM763" s="155"/>
      <c r="AN763" s="155"/>
      <c r="AO763" s="155"/>
      <c r="AP763" s="155"/>
      <c r="AQ763" s="155"/>
      <c r="AR763" s="155"/>
      <c r="AS763" s="155"/>
    </row>
    <row r="764" spans="1:45" ht="12.6" customHeight="1" x14ac:dyDescent="0.3">
      <c r="A764" s="107"/>
      <c r="B764" s="107"/>
      <c r="C764" s="107"/>
      <c r="D764" s="107"/>
      <c r="E764" s="107"/>
      <c r="F764" s="107"/>
      <c r="G764" s="17" t="s">
        <v>848</v>
      </c>
      <c r="Z764" s="155"/>
      <c r="AA764" s="155"/>
      <c r="AB764" s="155"/>
      <c r="AC764" s="155"/>
      <c r="AD764" s="155"/>
      <c r="AE764" s="155"/>
      <c r="AF764" s="155"/>
      <c r="AG764" s="155"/>
      <c r="AH764" s="155"/>
      <c r="AI764" s="155"/>
      <c r="AJ764" s="155"/>
      <c r="AK764" s="155"/>
      <c r="AL764" s="155"/>
      <c r="AM764" s="155"/>
      <c r="AN764" s="155"/>
      <c r="AO764" s="155"/>
      <c r="AP764" s="155"/>
      <c r="AQ764" s="155"/>
      <c r="AR764" s="155"/>
      <c r="AS764" s="155"/>
    </row>
    <row r="765" spans="1:45" ht="12.6" customHeight="1" x14ac:dyDescent="0.3">
      <c r="A765" s="84"/>
      <c r="B765" s="41" t="str">
        <f>"t1 = Cm1 * n / ("&amp;AD765&amp;" * "&amp;AF765&amp;") = "&amp;AI765&amp;" 분 "</f>
        <v xml:space="preserve">t1 = Cm1 * n / (60 * 0.7) = 2.20 분 </v>
      </c>
      <c r="C765" s="107"/>
      <c r="D765" s="107"/>
      <c r="E765" s="107"/>
      <c r="F765" s="107"/>
      <c r="G765" s="17" t="s">
        <v>1180</v>
      </c>
      <c r="Z765" s="158">
        <f>AB744</f>
        <v>18</v>
      </c>
      <c r="AA765" s="34" t="s">
        <v>876</v>
      </c>
      <c r="AB765" s="158" t="str">
        <f>AG763</f>
        <v>5.13</v>
      </c>
      <c r="AC765" s="34" t="s">
        <v>990</v>
      </c>
      <c r="AD765" s="157">
        <v>60</v>
      </c>
      <c r="AE765" s="34" t="s">
        <v>876</v>
      </c>
      <c r="AF765" s="156">
        <v>0.7</v>
      </c>
      <c r="AG765" s="34" t="s">
        <v>991</v>
      </c>
      <c r="AH765" s="34" t="s">
        <v>871</v>
      </c>
      <c r="AI765" s="158" t="str">
        <f>TEXT(ROUND(AB744*AG763/(AD765*AF765),2),"#,0.00")</f>
        <v>2.20</v>
      </c>
      <c r="AJ765" s="155"/>
      <c r="AK765" s="155"/>
      <c r="AL765" s="155"/>
      <c r="AM765" s="155"/>
      <c r="AN765" s="155"/>
      <c r="AO765" s="155"/>
      <c r="AP765" s="155"/>
      <c r="AQ765" s="155"/>
      <c r="AR765" s="155"/>
      <c r="AS765" s="155"/>
    </row>
    <row r="766" spans="1:45" ht="12.6" customHeight="1" x14ac:dyDescent="0.3">
      <c r="A766" s="107"/>
      <c r="B766" s="107"/>
      <c r="C766" s="107"/>
      <c r="D766" s="107"/>
      <c r="E766" s="107"/>
      <c r="F766" s="107"/>
      <c r="G766" s="17" t="s">
        <v>848</v>
      </c>
      <c r="Z766" s="155"/>
      <c r="AA766" s="155"/>
      <c r="AB766" s="155"/>
      <c r="AC766" s="155"/>
      <c r="AD766" s="155"/>
      <c r="AE766" s="155"/>
      <c r="AF766" s="155"/>
      <c r="AG766" s="155"/>
      <c r="AH766" s="155"/>
      <c r="AI766" s="155"/>
      <c r="AJ766" s="155"/>
      <c r="AK766" s="155"/>
      <c r="AL766" s="155"/>
      <c r="AM766" s="155"/>
      <c r="AN766" s="155"/>
      <c r="AO766" s="155"/>
      <c r="AP766" s="155"/>
      <c r="AQ766" s="155"/>
      <c r="AR766" s="155"/>
      <c r="AS766" s="155"/>
    </row>
    <row r="767" spans="1:45" ht="12.6" customHeight="1" x14ac:dyDescent="0.3">
      <c r="A767" s="84"/>
      <c r="B767" s="41" t="str">
        <f>"t2 =(L/"&amp;AC767&amp;"+L/"&amp;AG767&amp;")* "&amp;AI767&amp;" = "&amp;AK767&amp;" 분 "</f>
        <v xml:space="preserve">t2 =(L/7+L/8)* 60 = 1.61 분 </v>
      </c>
      <c r="C767" s="107"/>
      <c r="D767" s="107"/>
      <c r="E767" s="107"/>
      <c r="F767" s="107"/>
      <c r="G767" s="17" t="s">
        <v>1181</v>
      </c>
      <c r="Z767" s="34" t="s">
        <v>998</v>
      </c>
      <c r="AA767" s="158">
        <f>AB759</f>
        <v>0.1</v>
      </c>
      <c r="AB767" s="34" t="s">
        <v>873</v>
      </c>
      <c r="AC767" s="157">
        <v>7</v>
      </c>
      <c r="AD767" s="34" t="s">
        <v>999</v>
      </c>
      <c r="AE767" s="158">
        <f>AB759</f>
        <v>0.1</v>
      </c>
      <c r="AF767" s="34" t="s">
        <v>873</v>
      </c>
      <c r="AG767" s="157">
        <v>8</v>
      </c>
      <c r="AH767" s="34" t="s">
        <v>1000</v>
      </c>
      <c r="AI767" s="157">
        <v>60</v>
      </c>
      <c r="AJ767" s="34" t="s">
        <v>871</v>
      </c>
      <c r="AK767" s="158" t="str">
        <f>TEXT(ROUND((AB759/AC767+AB759/AG767)*AI767,2),"#,0.00")</f>
        <v>1.61</v>
      </c>
      <c r="AL767" s="155"/>
      <c r="AM767" s="155"/>
      <c r="AN767" s="155"/>
      <c r="AO767" s="155"/>
      <c r="AP767" s="155"/>
      <c r="AQ767" s="155"/>
      <c r="AR767" s="155"/>
      <c r="AS767" s="155"/>
    </row>
    <row r="768" spans="1:45" ht="12.6" customHeight="1" x14ac:dyDescent="0.3">
      <c r="A768" s="107"/>
      <c r="B768" s="107"/>
      <c r="C768" s="107"/>
      <c r="D768" s="107"/>
      <c r="E768" s="107"/>
      <c r="F768" s="107"/>
      <c r="G768" s="17" t="s">
        <v>848</v>
      </c>
      <c r="Z768" s="155"/>
      <c r="AA768" s="155"/>
      <c r="AB768" s="155"/>
      <c r="AC768" s="155"/>
      <c r="AD768" s="155"/>
      <c r="AE768" s="155"/>
      <c r="AF768" s="155"/>
      <c r="AG768" s="155"/>
      <c r="AH768" s="155"/>
      <c r="AI768" s="155"/>
      <c r="AJ768" s="155"/>
      <c r="AK768" s="155"/>
      <c r="AL768" s="155"/>
      <c r="AM768" s="155"/>
      <c r="AN768" s="155"/>
      <c r="AO768" s="155"/>
      <c r="AP768" s="155"/>
      <c r="AQ768" s="155"/>
      <c r="AR768" s="155"/>
      <c r="AS768" s="155"/>
    </row>
    <row r="769" spans="1:45" ht="12.6" customHeight="1" x14ac:dyDescent="0.3">
      <c r="A769" s="84"/>
      <c r="B769" s="41" t="str">
        <f>"t3 = "&amp;Z769&amp;" 분 , t4 = "&amp;AD769&amp;" 분 "</f>
        <v xml:space="preserve">t3 = 1.1 분 , t4 = 0.7 분 </v>
      </c>
      <c r="C769" s="107"/>
      <c r="D769" s="107"/>
      <c r="E769" s="107"/>
      <c r="F769" s="107"/>
      <c r="G769" s="17" t="s">
        <v>1036</v>
      </c>
      <c r="Z769" s="156">
        <v>1.1000000000000001</v>
      </c>
      <c r="AA769" s="34" t="s">
        <v>871</v>
      </c>
      <c r="AB769" s="158">
        <f>Z769</f>
        <v>1.1000000000000001</v>
      </c>
      <c r="AC769" s="159" t="s">
        <v>872</v>
      </c>
      <c r="AD769" s="156">
        <v>0.7</v>
      </c>
      <c r="AE769" s="34" t="s">
        <v>871</v>
      </c>
      <c r="AF769" s="158">
        <f>AD769</f>
        <v>0.7</v>
      </c>
      <c r="AG769" s="155"/>
      <c r="AH769" s="155"/>
      <c r="AI769" s="155"/>
      <c r="AJ769" s="155"/>
      <c r="AK769" s="155"/>
      <c r="AL769" s="155"/>
      <c r="AM769" s="155"/>
      <c r="AN769" s="155"/>
      <c r="AO769" s="155"/>
      <c r="AP769" s="155"/>
      <c r="AQ769" s="155"/>
      <c r="AR769" s="155"/>
      <c r="AS769" s="155"/>
    </row>
    <row r="770" spans="1:45" ht="12.6" customHeight="1" x14ac:dyDescent="0.3">
      <c r="A770" s="107"/>
      <c r="B770" s="107"/>
      <c r="C770" s="107"/>
      <c r="D770" s="107"/>
      <c r="E770" s="107"/>
      <c r="F770" s="107"/>
      <c r="G770" s="17" t="s">
        <v>848</v>
      </c>
      <c r="Z770" s="155"/>
      <c r="AA770" s="155"/>
      <c r="AB770" s="155"/>
      <c r="AC770" s="155"/>
      <c r="AD770" s="155"/>
      <c r="AE770" s="155"/>
      <c r="AF770" s="155"/>
      <c r="AG770" s="155"/>
      <c r="AH770" s="155"/>
      <c r="AI770" s="155"/>
      <c r="AJ770" s="155"/>
      <c r="AK770" s="155"/>
      <c r="AL770" s="155"/>
      <c r="AM770" s="155"/>
      <c r="AN770" s="155"/>
      <c r="AO770" s="155"/>
      <c r="AP770" s="155"/>
      <c r="AQ770" s="155"/>
      <c r="AR770" s="155"/>
      <c r="AS770" s="155"/>
    </row>
    <row r="771" spans="1:45" ht="12.6" customHeight="1" x14ac:dyDescent="0.3">
      <c r="A771" s="84"/>
      <c r="B771" s="41" t="str">
        <f>"Cm = t1 + t2 + t3 + t4 = "&amp;AH771&amp;" 분 "</f>
        <v xml:space="preserve">Cm = t1 + t2 + t3 + t4 = 5.61 분 </v>
      </c>
      <c r="C771" s="107"/>
      <c r="D771" s="107"/>
      <c r="E771" s="107"/>
      <c r="F771" s="107"/>
      <c r="G771" s="17" t="s">
        <v>1037</v>
      </c>
      <c r="Z771" s="158" t="str">
        <f>AI765</f>
        <v>2.20</v>
      </c>
      <c r="AA771" s="34" t="s">
        <v>999</v>
      </c>
      <c r="AB771" s="158" t="str">
        <f>AK767</f>
        <v>1.61</v>
      </c>
      <c r="AC771" s="34" t="s">
        <v>999</v>
      </c>
      <c r="AD771" s="158">
        <f>AB769</f>
        <v>1.1000000000000001</v>
      </c>
      <c r="AE771" s="34" t="s">
        <v>999</v>
      </c>
      <c r="AF771" s="158">
        <f>AF769</f>
        <v>0.7</v>
      </c>
      <c r="AG771" s="34" t="s">
        <v>871</v>
      </c>
      <c r="AH771" s="158" t="str">
        <f>TEXT(ROUND(AI765+AK767+AB769+AF769,2),"#,0.00")</f>
        <v>5.61</v>
      </c>
      <c r="AI771" s="155"/>
      <c r="AJ771" s="155"/>
      <c r="AK771" s="155"/>
      <c r="AL771" s="155"/>
      <c r="AM771" s="155"/>
      <c r="AN771" s="155"/>
      <c r="AO771" s="155"/>
      <c r="AP771" s="155"/>
      <c r="AQ771" s="155"/>
      <c r="AR771" s="155"/>
      <c r="AS771" s="155"/>
    </row>
    <row r="772" spans="1:45" ht="12.6" customHeight="1" x14ac:dyDescent="0.3">
      <c r="A772" s="107"/>
      <c r="B772" s="107"/>
      <c r="C772" s="107"/>
      <c r="D772" s="107"/>
      <c r="E772" s="107"/>
      <c r="F772" s="107"/>
      <c r="G772" s="17" t="s">
        <v>848</v>
      </c>
      <c r="Z772" s="155"/>
      <c r="AA772" s="155"/>
      <c r="AB772" s="155"/>
      <c r="AC772" s="155"/>
      <c r="AD772" s="155"/>
      <c r="AE772" s="155"/>
      <c r="AF772" s="155"/>
      <c r="AG772" s="155"/>
      <c r="AH772" s="155"/>
      <c r="AI772" s="155"/>
      <c r="AJ772" s="155"/>
      <c r="AK772" s="155"/>
      <c r="AL772" s="155"/>
      <c r="AM772" s="155"/>
      <c r="AN772" s="155"/>
      <c r="AO772" s="155"/>
      <c r="AP772" s="155"/>
      <c r="AQ772" s="155"/>
      <c r="AR772" s="155"/>
      <c r="AS772" s="155"/>
    </row>
    <row r="773" spans="1:45" ht="12.6" customHeight="1" x14ac:dyDescent="0.3">
      <c r="A773" s="84"/>
      <c r="B773" s="41" t="str">
        <f>"Q1 = "&amp;Z773&amp;" * q1 * f * E / Cm = "&amp;AJ773&amp;" m3/hr "</f>
        <v xml:space="preserve">Q1 = 60 * q1 * f * E / Cm = 27.05 m3/hr </v>
      </c>
      <c r="C773" s="107"/>
      <c r="D773" s="107"/>
      <c r="E773" s="107"/>
      <c r="F773" s="107"/>
      <c r="G773" s="17" t="s">
        <v>1182</v>
      </c>
      <c r="Z773" s="157">
        <v>60</v>
      </c>
      <c r="AA773" s="34" t="s">
        <v>876</v>
      </c>
      <c r="AB773" s="158" t="str">
        <f>AG761</f>
        <v>3.23</v>
      </c>
      <c r="AC773" s="34" t="s">
        <v>876</v>
      </c>
      <c r="AD773" s="158" t="str">
        <f>AL759</f>
        <v>0.87</v>
      </c>
      <c r="AE773" s="34" t="s">
        <v>876</v>
      </c>
      <c r="AF773" s="158">
        <f>AF759</f>
        <v>0.9</v>
      </c>
      <c r="AG773" s="34" t="s">
        <v>873</v>
      </c>
      <c r="AH773" s="158" t="str">
        <f>AH771</f>
        <v>5.61</v>
      </c>
      <c r="AI773" s="34" t="s">
        <v>871</v>
      </c>
      <c r="AJ773" s="158" t="str">
        <f>TEXT(ROUND(Z773*AG761*AL759*AF759/AH771,2),"#,0.00")</f>
        <v>27.05</v>
      </c>
      <c r="AK773" s="155"/>
      <c r="AL773" s="155"/>
      <c r="AM773" s="155"/>
      <c r="AN773" s="155"/>
      <c r="AO773" s="155"/>
      <c r="AP773" s="155"/>
      <c r="AQ773" s="155"/>
      <c r="AR773" s="155"/>
      <c r="AS773" s="155"/>
    </row>
    <row r="774" spans="1:45" ht="12.6" customHeight="1" x14ac:dyDescent="0.3">
      <c r="A774" s="107"/>
      <c r="B774" s="107"/>
      <c r="C774" s="107"/>
      <c r="D774" s="107"/>
      <c r="E774" s="107"/>
      <c r="F774" s="107"/>
      <c r="G774" s="17" t="s">
        <v>848</v>
      </c>
      <c r="Z774" s="155"/>
      <c r="AA774" s="155"/>
      <c r="AB774" s="155"/>
      <c r="AC774" s="155"/>
      <c r="AD774" s="155"/>
      <c r="AE774" s="155"/>
      <c r="AF774" s="155"/>
      <c r="AG774" s="155"/>
      <c r="AH774" s="155"/>
      <c r="AI774" s="155"/>
      <c r="AJ774" s="155"/>
      <c r="AK774" s="155"/>
      <c r="AL774" s="155"/>
      <c r="AM774" s="155"/>
      <c r="AN774" s="155"/>
      <c r="AO774" s="155"/>
      <c r="AP774" s="155"/>
      <c r="AQ774" s="155"/>
      <c r="AR774" s="155"/>
      <c r="AS774" s="155"/>
    </row>
    <row r="775" spans="1:45" ht="12.6" customHeight="1" x14ac:dyDescent="0.3">
      <c r="A775" s="84" t="s">
        <v>1184</v>
      </c>
      <c r="B775" s="146" t="str">
        <f>" 노 무 비  :   "&amp;TEXT(I775,"#,##0"&amp;IF(I775&lt;&gt;INT(I775),".###",""))&amp;" / Q1 = "&amp;TEXT(C775,"#,##0.0")&amp;""</f>
        <v xml:space="preserve"> 노 무 비  :   49,479 / Q1 = 1,829.1</v>
      </c>
      <c r="C775" s="148">
        <f>E775+D775+F775</f>
        <v>1829.1</v>
      </c>
      <c r="D775" s="148">
        <f>IF(H775=0,0,ROUNDDOWN(J775*H775,1))</f>
        <v>1829.1</v>
      </c>
      <c r="E775" s="148">
        <f>IF(H775=0,0,ROUNDDOWN(K775*H775,1))</f>
        <v>0</v>
      </c>
      <c r="F775" s="148">
        <f>IF(H775=0,0,ROUNDDOWN(L775*H775,1))</f>
        <v>0</v>
      </c>
      <c r="G775" s="17" t="s">
        <v>1183</v>
      </c>
      <c r="H775" s="152">
        <f>ROUNDUP(AC775,14-LEN(ABS(INT(AC775))))</f>
        <v>3.6968576709800006E-2</v>
      </c>
      <c r="I775" s="153">
        <f>K775+J775+L775</f>
        <v>49479</v>
      </c>
      <c r="J775" s="37">
        <f>중기목록표!F8</f>
        <v>49479</v>
      </c>
      <c r="M775" s="34" t="s">
        <v>1185</v>
      </c>
      <c r="N775" s="34" t="s">
        <v>886</v>
      </c>
      <c r="X775" s="154" t="str">
        <f>중기목록표!B8&amp;" / "&amp;중기목록표!C8</f>
        <v>덤프트럭 / 4.5톤</v>
      </c>
      <c r="Y775" s="3" t="str">
        <f ca="1">HYPERLINK("#"&amp;중기목록표!J2&amp;"!A"&amp;ROW(중기목록표!A8),"X00024 →")</f>
        <v>X00024 →</v>
      </c>
      <c r="Z775" s="34" t="s">
        <v>879</v>
      </c>
      <c r="AA775" s="158" t="str">
        <f>AJ773</f>
        <v>27.05</v>
      </c>
      <c r="AB775" s="34" t="s">
        <v>871</v>
      </c>
      <c r="AC775" s="158">
        <f>1/AJ773</f>
        <v>3.6968576709796669E-2</v>
      </c>
      <c r="AD775" s="155"/>
      <c r="AE775" s="155"/>
      <c r="AF775" s="155"/>
      <c r="AG775" s="155"/>
      <c r="AH775" s="155"/>
      <c r="AI775" s="155"/>
      <c r="AJ775" s="155"/>
      <c r="AK775" s="155"/>
      <c r="AL775" s="155"/>
      <c r="AM775" s="155"/>
      <c r="AN775" s="155"/>
      <c r="AO775" s="155"/>
      <c r="AP775" s="155"/>
      <c r="AQ775" s="155"/>
      <c r="AR775" s="155"/>
      <c r="AS775" s="155"/>
    </row>
    <row r="776" spans="1:45" ht="12.6" customHeight="1" x14ac:dyDescent="0.3">
      <c r="A776" s="107"/>
      <c r="B776" s="107"/>
      <c r="C776" s="107"/>
      <c r="D776" s="107"/>
      <c r="E776" s="107"/>
      <c r="F776" s="107"/>
      <c r="G776" s="17" t="s">
        <v>848</v>
      </c>
      <c r="Z776" s="155"/>
      <c r="AA776" s="155"/>
      <c r="AB776" s="155"/>
      <c r="AC776" s="155"/>
      <c r="AD776" s="155"/>
      <c r="AE776" s="155"/>
      <c r="AF776" s="155"/>
      <c r="AG776" s="155"/>
      <c r="AH776" s="155"/>
      <c r="AI776" s="155"/>
      <c r="AJ776" s="155"/>
      <c r="AK776" s="155"/>
      <c r="AL776" s="155"/>
      <c r="AM776" s="155"/>
      <c r="AN776" s="155"/>
      <c r="AO776" s="155"/>
      <c r="AP776" s="155"/>
      <c r="AQ776" s="155"/>
      <c r="AR776" s="155"/>
      <c r="AS776" s="155"/>
    </row>
    <row r="777" spans="1:45" ht="12.6" customHeight="1" x14ac:dyDescent="0.3">
      <c r="A777" s="84" t="s">
        <v>1187</v>
      </c>
      <c r="B777" s="146" t="str">
        <f>" 재 료 비  :   "&amp;TEXT(I777,"#,##0"&amp;IF(I777&lt;&gt;INT(I777),".###",""))&amp;" / Q1 = "&amp;TEXT(C777,"#,##0.0")&amp;""</f>
        <v xml:space="preserve"> 재 료 비  :   8,700 / Q1 = 321.6</v>
      </c>
      <c r="C777" s="148">
        <f>E777+D777+F777</f>
        <v>321.60000000000002</v>
      </c>
      <c r="D777" s="148">
        <f>IF(H777=0,0,ROUNDDOWN(J777*H777,1))</f>
        <v>0</v>
      </c>
      <c r="E777" s="148">
        <f>IF(H777=0,0,ROUNDDOWN(K777*H777,1))</f>
        <v>321.60000000000002</v>
      </c>
      <c r="F777" s="148">
        <f>IF(H777=0,0,ROUNDDOWN(L777*H777,1))</f>
        <v>0</v>
      </c>
      <c r="G777" s="17" t="s">
        <v>1186</v>
      </c>
      <c r="H777" s="152">
        <f>ROUNDUP(AC777,14-LEN(ABS(INT(AC777))))</f>
        <v>3.6968576709800006E-2</v>
      </c>
      <c r="I777" s="153">
        <f>K777+J777+L777</f>
        <v>8700</v>
      </c>
      <c r="K777" s="37">
        <f>중기목록표!G8</f>
        <v>8700</v>
      </c>
      <c r="M777" s="34" t="s">
        <v>1185</v>
      </c>
      <c r="N777" s="34" t="s">
        <v>886</v>
      </c>
      <c r="X777" s="154" t="str">
        <f>중기목록표!B8&amp;" / "&amp;중기목록표!C8</f>
        <v>덤프트럭 / 4.5톤</v>
      </c>
      <c r="Y777" s="3" t="str">
        <f ca="1">HYPERLINK("#"&amp;중기목록표!J2&amp;"!A"&amp;ROW(중기목록표!A8),"X00024 →")</f>
        <v>X00024 →</v>
      </c>
      <c r="Z777" s="34" t="s">
        <v>879</v>
      </c>
      <c r="AA777" s="158" t="str">
        <f>AJ773</f>
        <v>27.05</v>
      </c>
      <c r="AB777" s="34" t="s">
        <v>871</v>
      </c>
      <c r="AC777" s="158">
        <f>1/AJ773</f>
        <v>3.6968576709796669E-2</v>
      </c>
      <c r="AD777" s="155"/>
      <c r="AE777" s="155"/>
      <c r="AF777" s="155"/>
      <c r="AG777" s="155"/>
      <c r="AH777" s="155"/>
      <c r="AI777" s="155"/>
      <c r="AJ777" s="155"/>
      <c r="AK777" s="155"/>
      <c r="AL777" s="155"/>
      <c r="AM777" s="155"/>
      <c r="AN777" s="155"/>
      <c r="AO777" s="155"/>
      <c r="AP777" s="155"/>
      <c r="AQ777" s="155"/>
      <c r="AR777" s="155"/>
      <c r="AS777" s="155"/>
    </row>
    <row r="778" spans="1:45" ht="12.6" customHeight="1" x14ac:dyDescent="0.3">
      <c r="A778" s="107"/>
      <c r="B778" s="107"/>
      <c r="C778" s="107"/>
      <c r="D778" s="107"/>
      <c r="E778" s="107"/>
      <c r="F778" s="107"/>
      <c r="G778" s="17" t="s">
        <v>848</v>
      </c>
      <c r="Z778" s="155"/>
      <c r="AA778" s="155"/>
      <c r="AB778" s="155"/>
      <c r="AC778" s="155"/>
      <c r="AD778" s="155"/>
      <c r="AE778" s="155"/>
      <c r="AF778" s="155"/>
      <c r="AG778" s="155"/>
      <c r="AH778" s="155"/>
      <c r="AI778" s="155"/>
      <c r="AJ778" s="155"/>
      <c r="AK778" s="155"/>
      <c r="AL778" s="155"/>
      <c r="AM778" s="155"/>
      <c r="AN778" s="155"/>
      <c r="AO778" s="155"/>
      <c r="AP778" s="155"/>
      <c r="AQ778" s="155"/>
      <c r="AR778" s="155"/>
      <c r="AS778" s="155"/>
    </row>
    <row r="779" spans="1:45" ht="12.6" customHeight="1" x14ac:dyDescent="0.3">
      <c r="A779" s="84" t="s">
        <v>1189</v>
      </c>
      <c r="B779" s="146" t="str">
        <f>" 경    비  :   "&amp;TEXT(I779,"#,##0"&amp;IF(I779&lt;&gt;INT(I779),".###",""))&amp;" / Q1 = "&amp;TEXT(C779,"#,##0.0")&amp;""</f>
        <v xml:space="preserve"> 경    비  :   7,472 / Q1 = 276.2</v>
      </c>
      <c r="C779" s="148">
        <f>E779+D779+F779</f>
        <v>276.2</v>
      </c>
      <c r="D779" s="148">
        <f>IF(H779=0,0,ROUNDDOWN(J779*H779,1))</f>
        <v>0</v>
      </c>
      <c r="E779" s="148">
        <f>IF(H779=0,0,ROUNDDOWN(K779*H779,1))</f>
        <v>0</v>
      </c>
      <c r="F779" s="148">
        <f>IF(H779=0,0,ROUNDDOWN(L779*H779,1))</f>
        <v>276.2</v>
      </c>
      <c r="G779" s="17" t="s">
        <v>1188</v>
      </c>
      <c r="H779" s="152">
        <f>ROUNDUP(AC779,14-LEN(ABS(INT(AC779))))</f>
        <v>3.6968576709800006E-2</v>
      </c>
      <c r="I779" s="153">
        <f>K779+J779+L779</f>
        <v>7472</v>
      </c>
      <c r="L779" s="37">
        <f>중기목록표!H8</f>
        <v>7472</v>
      </c>
      <c r="M779" s="34" t="s">
        <v>1185</v>
      </c>
      <c r="N779" s="34" t="s">
        <v>886</v>
      </c>
      <c r="X779" s="154" t="str">
        <f>중기목록표!B8&amp;" / "&amp;중기목록표!C8</f>
        <v>덤프트럭 / 4.5톤</v>
      </c>
      <c r="Y779" s="3" t="str">
        <f ca="1">HYPERLINK("#"&amp;중기목록표!J2&amp;"!A"&amp;ROW(중기목록표!A8),"X00024 →")</f>
        <v>X00024 →</v>
      </c>
      <c r="Z779" s="34" t="s">
        <v>879</v>
      </c>
      <c r="AA779" s="158" t="str">
        <f>AJ773</f>
        <v>27.05</v>
      </c>
      <c r="AB779" s="34" t="s">
        <v>871</v>
      </c>
      <c r="AC779" s="158">
        <f>1/AJ773</f>
        <v>3.6968576709796669E-2</v>
      </c>
      <c r="AD779" s="155"/>
      <c r="AE779" s="155"/>
      <c r="AF779" s="155"/>
      <c r="AG779" s="155"/>
      <c r="AH779" s="155"/>
      <c r="AI779" s="155"/>
      <c r="AJ779" s="155"/>
      <c r="AK779" s="155"/>
      <c r="AL779" s="155"/>
      <c r="AM779" s="155"/>
      <c r="AN779" s="155"/>
      <c r="AO779" s="155"/>
      <c r="AP779" s="155"/>
      <c r="AQ779" s="155"/>
      <c r="AR779" s="155"/>
      <c r="AS779" s="155"/>
    </row>
    <row r="780" spans="1:45" ht="12.6" customHeight="1" x14ac:dyDescent="0.3">
      <c r="A780" s="107"/>
      <c r="B780" s="107"/>
      <c r="C780" s="107"/>
      <c r="D780" s="107"/>
      <c r="E780" s="107"/>
      <c r="F780" s="107"/>
      <c r="G780" s="17" t="s">
        <v>848</v>
      </c>
      <c r="Z780" s="155"/>
      <c r="AA780" s="155"/>
      <c r="AB780" s="155"/>
      <c r="AC780" s="155"/>
      <c r="AD780" s="155"/>
      <c r="AE780" s="155"/>
      <c r="AF780" s="155"/>
      <c r="AG780" s="155"/>
      <c r="AH780" s="155"/>
      <c r="AI780" s="155"/>
      <c r="AJ780" s="155"/>
      <c r="AK780" s="155"/>
      <c r="AL780" s="155"/>
      <c r="AM780" s="155"/>
      <c r="AN780" s="155"/>
      <c r="AO780" s="155"/>
      <c r="AP780" s="155"/>
      <c r="AQ780" s="155"/>
      <c r="AR780" s="155"/>
      <c r="AS780" s="155"/>
    </row>
    <row r="781" spans="1:45" ht="12.6" customHeight="1" x14ac:dyDescent="0.3">
      <c r="A781" s="84"/>
      <c r="B781" s="41" t="s">
        <v>885</v>
      </c>
      <c r="C781" s="149">
        <f>E781+D781+F781</f>
        <v>2426.8999999999996</v>
      </c>
      <c r="D781" s="149">
        <f>SUMIF(N755:N780,M781,D755:D780)</f>
        <v>1829.1</v>
      </c>
      <c r="E781" s="149">
        <f>SUMIF(N755:N780,M781,E755:E780)</f>
        <v>321.60000000000002</v>
      </c>
      <c r="F781" s="149">
        <f>SUMIF(N755:N780,M781,F755:F780)</f>
        <v>276.2</v>
      </c>
      <c r="G781" s="17" t="s">
        <v>884</v>
      </c>
      <c r="M781" s="34" t="s">
        <v>886</v>
      </c>
      <c r="N781" s="34" t="s">
        <v>891</v>
      </c>
      <c r="Z781" s="155"/>
      <c r="AA781" s="155"/>
      <c r="AB781" s="155"/>
      <c r="AC781" s="155"/>
      <c r="AD781" s="155"/>
      <c r="AE781" s="155"/>
      <c r="AF781" s="155"/>
      <c r="AG781" s="155"/>
      <c r="AH781" s="155"/>
      <c r="AI781" s="155"/>
      <c r="AJ781" s="155"/>
      <c r="AK781" s="155"/>
      <c r="AL781" s="155"/>
      <c r="AM781" s="155"/>
      <c r="AN781" s="155"/>
      <c r="AO781" s="155"/>
      <c r="AP781" s="155"/>
      <c r="AQ781" s="155"/>
      <c r="AR781" s="155"/>
      <c r="AS781" s="155"/>
    </row>
    <row r="782" spans="1:45" ht="12.6" customHeight="1" x14ac:dyDescent="0.3">
      <c r="A782" s="107"/>
      <c r="B782" s="107"/>
      <c r="C782" s="147"/>
      <c r="D782" s="147"/>
      <c r="E782" s="147"/>
      <c r="F782" s="147"/>
      <c r="G782" s="17" t="s">
        <v>848</v>
      </c>
      <c r="Z782" s="155"/>
      <c r="AA782" s="155"/>
      <c r="AB782" s="155"/>
      <c r="AC782" s="155"/>
      <c r="AD782" s="155"/>
      <c r="AE782" s="155"/>
      <c r="AF782" s="155"/>
      <c r="AG782" s="155"/>
      <c r="AH782" s="155"/>
      <c r="AI782" s="155"/>
      <c r="AJ782" s="155"/>
      <c r="AK782" s="155"/>
      <c r="AL782" s="155"/>
      <c r="AM782" s="155"/>
      <c r="AN782" s="155"/>
      <c r="AO782" s="155"/>
      <c r="AP782" s="155"/>
      <c r="AQ782" s="155"/>
      <c r="AR782" s="155"/>
      <c r="AS782" s="155"/>
    </row>
    <row r="783" spans="1:45" ht="12.6" customHeight="1" x14ac:dyDescent="0.3">
      <c r="A783" s="84"/>
      <c r="B783" s="41" t="s">
        <v>769</v>
      </c>
      <c r="C783" s="149">
        <f>E783+D783+F783</f>
        <v>3715.8999999999996</v>
      </c>
      <c r="D783" s="149">
        <f>SUMIF(N734:N782,M783,D734:D782)</f>
        <v>2572.8999999999996</v>
      </c>
      <c r="E783" s="149">
        <f>SUMIF(N734:N782,M783,E734:E782)</f>
        <v>554.1</v>
      </c>
      <c r="F783" s="149">
        <f>SUMIF(N734:N782,M783,F734:F782)</f>
        <v>588.9</v>
      </c>
      <c r="G783" s="17" t="s">
        <v>890</v>
      </c>
      <c r="M783" s="34" t="s">
        <v>891</v>
      </c>
      <c r="N783" s="34" t="s">
        <v>768</v>
      </c>
      <c r="Z783" s="155"/>
      <c r="AA783" s="155"/>
      <c r="AB783" s="155"/>
      <c r="AC783" s="155"/>
      <c r="AD783" s="155"/>
      <c r="AE783" s="155"/>
      <c r="AF783" s="155"/>
      <c r="AG783" s="155"/>
      <c r="AH783" s="155"/>
      <c r="AI783" s="155"/>
      <c r="AJ783" s="155"/>
      <c r="AK783" s="155"/>
      <c r="AL783" s="155"/>
      <c r="AM783" s="155"/>
      <c r="AN783" s="155"/>
      <c r="AO783" s="155"/>
      <c r="AP783" s="155"/>
      <c r="AQ783" s="155"/>
      <c r="AR783" s="155"/>
      <c r="AS783" s="155"/>
    </row>
    <row r="784" spans="1:45" ht="12.6" customHeight="1" x14ac:dyDescent="0.3">
      <c r="A784" s="107"/>
      <c r="B784" s="107"/>
      <c r="C784" s="147"/>
      <c r="D784" s="147"/>
      <c r="E784" s="147"/>
      <c r="F784" s="147"/>
      <c r="Z784" s="155"/>
      <c r="AA784" s="155"/>
      <c r="AB784" s="155"/>
      <c r="AC784" s="155"/>
      <c r="AD784" s="155"/>
      <c r="AE784" s="155"/>
      <c r="AF784" s="155"/>
      <c r="AG784" s="155"/>
      <c r="AH784" s="155"/>
      <c r="AI784" s="155"/>
      <c r="AJ784" s="155"/>
      <c r="AK784" s="155"/>
      <c r="AL784" s="155"/>
      <c r="AM784" s="155"/>
      <c r="AN784" s="155"/>
      <c r="AO784" s="155"/>
      <c r="AP784" s="155"/>
      <c r="AQ784" s="155"/>
      <c r="AR784" s="155"/>
      <c r="AS784" s="155"/>
    </row>
    <row r="785" spans="1:45" ht="12.6" customHeight="1" x14ac:dyDescent="0.3">
      <c r="A785" s="107"/>
      <c r="B785" s="107"/>
      <c r="C785" s="107"/>
      <c r="D785" s="107"/>
      <c r="E785" s="107"/>
      <c r="F785" s="107"/>
      <c r="Z785" s="155"/>
      <c r="AA785" s="155"/>
      <c r="AB785" s="155"/>
      <c r="AC785" s="155"/>
      <c r="AD785" s="155"/>
      <c r="AE785" s="155"/>
      <c r="AF785" s="155"/>
      <c r="AG785" s="155"/>
      <c r="AH785" s="155"/>
      <c r="AI785" s="155"/>
      <c r="AJ785" s="155"/>
      <c r="AK785" s="155"/>
      <c r="AL785" s="155"/>
      <c r="AM785" s="155"/>
      <c r="AN785" s="155"/>
      <c r="AO785" s="155"/>
      <c r="AP785" s="155"/>
      <c r="AQ785" s="155"/>
      <c r="AR785" s="155"/>
      <c r="AS785" s="155"/>
    </row>
    <row r="786" spans="1:45" ht="12.6" customHeight="1" x14ac:dyDescent="0.3">
      <c r="A786" s="107"/>
      <c r="B786" s="107"/>
      <c r="C786" s="107"/>
      <c r="D786" s="107"/>
      <c r="E786" s="107"/>
      <c r="F786" s="107"/>
      <c r="Z786" s="155"/>
      <c r="AA786" s="155"/>
      <c r="AB786" s="155"/>
      <c r="AC786" s="155"/>
      <c r="AD786" s="155"/>
      <c r="AE786" s="155"/>
      <c r="AF786" s="155"/>
      <c r="AG786" s="155"/>
      <c r="AH786" s="155"/>
      <c r="AI786" s="155"/>
      <c r="AJ786" s="155"/>
      <c r="AK786" s="155"/>
      <c r="AL786" s="155"/>
      <c r="AM786" s="155"/>
      <c r="AN786" s="155"/>
      <c r="AO786" s="155"/>
      <c r="AP786" s="155"/>
      <c r="AQ786" s="155"/>
      <c r="AR786" s="155"/>
      <c r="AS786" s="155"/>
    </row>
    <row r="787" spans="1:45" ht="12.6" customHeight="1" x14ac:dyDescent="0.3">
      <c r="A787" s="107"/>
      <c r="B787" s="107"/>
      <c r="C787" s="107"/>
      <c r="D787" s="107"/>
      <c r="E787" s="107"/>
      <c r="F787" s="107"/>
      <c r="Z787" s="155"/>
      <c r="AA787" s="155"/>
      <c r="AB787" s="155"/>
      <c r="AC787" s="155"/>
      <c r="AD787" s="155"/>
      <c r="AE787" s="155"/>
      <c r="AF787" s="155"/>
      <c r="AG787" s="155"/>
      <c r="AH787" s="155"/>
      <c r="AI787" s="155"/>
      <c r="AJ787" s="155"/>
      <c r="AK787" s="155"/>
      <c r="AL787" s="155"/>
      <c r="AM787" s="155"/>
      <c r="AN787" s="155"/>
      <c r="AO787" s="155"/>
      <c r="AP787" s="155"/>
      <c r="AQ787" s="155"/>
      <c r="AR787" s="155"/>
      <c r="AS787" s="155"/>
    </row>
    <row r="788" spans="1:45" ht="12.6" customHeight="1" x14ac:dyDescent="0.3">
      <c r="A788" s="107"/>
      <c r="B788" s="107"/>
      <c r="C788" s="107"/>
      <c r="D788" s="107"/>
      <c r="E788" s="107"/>
      <c r="F788" s="107"/>
      <c r="Z788" s="155"/>
      <c r="AA788" s="155"/>
      <c r="AB788" s="155"/>
      <c r="AC788" s="155"/>
      <c r="AD788" s="155"/>
      <c r="AE788" s="155"/>
      <c r="AF788" s="155"/>
      <c r="AG788" s="155"/>
      <c r="AH788" s="155"/>
      <c r="AI788" s="155"/>
      <c r="AJ788" s="155"/>
      <c r="AK788" s="155"/>
      <c r="AL788" s="155"/>
      <c r="AM788" s="155"/>
      <c r="AN788" s="155"/>
      <c r="AO788" s="155"/>
      <c r="AP788" s="155"/>
      <c r="AQ788" s="155"/>
      <c r="AR788" s="155"/>
      <c r="AS788" s="155"/>
    </row>
    <row r="789" spans="1:45" ht="12.6" customHeight="1" x14ac:dyDescent="0.3">
      <c r="A789" s="107"/>
      <c r="B789" s="107"/>
      <c r="C789" s="107"/>
      <c r="D789" s="107"/>
      <c r="E789" s="107"/>
      <c r="F789" s="107"/>
      <c r="Z789" s="155"/>
      <c r="AA789" s="155"/>
      <c r="AB789" s="155"/>
      <c r="AC789" s="155"/>
      <c r="AD789" s="155"/>
      <c r="AE789" s="155"/>
      <c r="AF789" s="155"/>
      <c r="AG789" s="155"/>
      <c r="AH789" s="155"/>
      <c r="AI789" s="155"/>
      <c r="AJ789" s="155"/>
      <c r="AK789" s="155"/>
      <c r="AL789" s="155"/>
      <c r="AM789" s="155"/>
      <c r="AN789" s="155"/>
      <c r="AO789" s="155"/>
      <c r="AP789" s="155"/>
      <c r="AQ789" s="155"/>
      <c r="AR789" s="155"/>
      <c r="AS789" s="155"/>
    </row>
    <row r="790" spans="1:45" ht="12.6" customHeight="1" x14ac:dyDescent="0.3">
      <c r="A790" s="107"/>
      <c r="B790" s="107"/>
      <c r="C790" s="107"/>
      <c r="D790" s="107"/>
      <c r="E790" s="107"/>
      <c r="F790" s="107"/>
      <c r="Z790" s="155"/>
      <c r="AA790" s="155"/>
      <c r="AB790" s="155"/>
      <c r="AC790" s="155"/>
      <c r="AD790" s="155"/>
      <c r="AE790" s="155"/>
      <c r="AF790" s="155"/>
      <c r="AG790" s="155"/>
      <c r="AH790" s="155"/>
      <c r="AI790" s="155"/>
      <c r="AJ790" s="155"/>
      <c r="AK790" s="155"/>
      <c r="AL790" s="155"/>
      <c r="AM790" s="155"/>
      <c r="AN790" s="155"/>
      <c r="AO790" s="155"/>
      <c r="AP790" s="155"/>
      <c r="AQ790" s="155"/>
      <c r="AR790" s="155"/>
      <c r="AS790" s="155"/>
    </row>
    <row r="791" spans="1:45" ht="12.6" customHeight="1" x14ac:dyDescent="0.3">
      <c r="A791" s="107"/>
      <c r="B791" s="107"/>
      <c r="C791" s="107"/>
      <c r="D791" s="107"/>
      <c r="E791" s="107"/>
      <c r="F791" s="107"/>
      <c r="Z791" s="155"/>
      <c r="AA791" s="155"/>
      <c r="AB791" s="155"/>
      <c r="AC791" s="155"/>
      <c r="AD791" s="155"/>
      <c r="AE791" s="155"/>
      <c r="AF791" s="155"/>
      <c r="AG791" s="155"/>
      <c r="AH791" s="155"/>
      <c r="AI791" s="155"/>
      <c r="AJ791" s="155"/>
      <c r="AK791" s="155"/>
      <c r="AL791" s="155"/>
      <c r="AM791" s="155"/>
      <c r="AN791" s="155"/>
      <c r="AO791" s="155"/>
      <c r="AP791" s="155"/>
      <c r="AQ791" s="155"/>
      <c r="AR791" s="155"/>
      <c r="AS791" s="155"/>
    </row>
    <row r="792" spans="1:45" ht="12.6" customHeight="1" x14ac:dyDescent="0.3">
      <c r="A792" s="107"/>
      <c r="B792" s="107"/>
      <c r="C792" s="107"/>
      <c r="D792" s="107"/>
      <c r="E792" s="107"/>
      <c r="F792" s="107"/>
      <c r="Z792" s="155"/>
      <c r="AA792" s="155"/>
      <c r="AB792" s="155"/>
      <c r="AC792" s="155"/>
      <c r="AD792" s="155"/>
      <c r="AE792" s="155"/>
      <c r="AF792" s="155"/>
      <c r="AG792" s="155"/>
      <c r="AH792" s="155"/>
      <c r="AI792" s="155"/>
      <c r="AJ792" s="155"/>
      <c r="AK792" s="155"/>
      <c r="AL792" s="155"/>
      <c r="AM792" s="155"/>
      <c r="AN792" s="155"/>
      <c r="AO792" s="155"/>
      <c r="AP792" s="155"/>
      <c r="AQ792" s="155"/>
      <c r="AR792" s="155"/>
      <c r="AS792" s="155"/>
    </row>
    <row r="793" spans="1:45" ht="12.6" customHeight="1" x14ac:dyDescent="0.3">
      <c r="A793" s="107"/>
      <c r="B793" s="107"/>
      <c r="C793" s="107"/>
      <c r="D793" s="107"/>
      <c r="E793" s="107"/>
      <c r="F793" s="107"/>
      <c r="Z793" s="155"/>
      <c r="AA793" s="155"/>
      <c r="AB793" s="155"/>
      <c r="AC793" s="155"/>
      <c r="AD793" s="155"/>
      <c r="AE793" s="155"/>
      <c r="AF793" s="155"/>
      <c r="AG793" s="155"/>
      <c r="AH793" s="155"/>
      <c r="AI793" s="155"/>
      <c r="AJ793" s="155"/>
      <c r="AK793" s="155"/>
      <c r="AL793" s="155"/>
      <c r="AM793" s="155"/>
      <c r="AN793" s="155"/>
      <c r="AO793" s="155"/>
      <c r="AP793" s="155"/>
      <c r="AQ793" s="155"/>
      <c r="AR793" s="155"/>
      <c r="AS793" s="155"/>
    </row>
    <row r="794" spans="1:45" ht="12.6" customHeight="1" x14ac:dyDescent="0.3">
      <c r="A794" s="107"/>
      <c r="B794" s="107"/>
      <c r="C794" s="107"/>
      <c r="D794" s="107"/>
      <c r="E794" s="107"/>
      <c r="F794" s="107"/>
      <c r="Z794" s="155"/>
      <c r="AA794" s="155"/>
      <c r="AB794" s="155"/>
      <c r="AC794" s="155"/>
      <c r="AD794" s="155"/>
      <c r="AE794" s="155"/>
      <c r="AF794" s="155"/>
      <c r="AG794" s="155"/>
      <c r="AH794" s="155"/>
      <c r="AI794" s="155"/>
      <c r="AJ794" s="155"/>
      <c r="AK794" s="155"/>
      <c r="AL794" s="155"/>
      <c r="AM794" s="155"/>
      <c r="AN794" s="155"/>
      <c r="AO794" s="155"/>
      <c r="AP794" s="155"/>
      <c r="AQ794" s="155"/>
      <c r="AR794" s="155"/>
      <c r="AS794" s="155"/>
    </row>
    <row r="795" spans="1:45" ht="12.6" customHeight="1" x14ac:dyDescent="0.3">
      <c r="A795" s="107"/>
      <c r="B795" s="107"/>
      <c r="C795" s="107"/>
      <c r="D795" s="107"/>
      <c r="E795" s="107"/>
      <c r="F795" s="107"/>
      <c r="Z795" s="155"/>
      <c r="AA795" s="155"/>
      <c r="AB795" s="155"/>
      <c r="AC795" s="155"/>
      <c r="AD795" s="155"/>
      <c r="AE795" s="155"/>
      <c r="AF795" s="155"/>
      <c r="AG795" s="155"/>
      <c r="AH795" s="155"/>
      <c r="AI795" s="155"/>
      <c r="AJ795" s="155"/>
      <c r="AK795" s="155"/>
      <c r="AL795" s="155"/>
      <c r="AM795" s="155"/>
      <c r="AN795" s="155"/>
      <c r="AO795" s="155"/>
      <c r="AP795" s="155"/>
      <c r="AQ795" s="155"/>
      <c r="AR795" s="155"/>
      <c r="AS795" s="155"/>
    </row>
    <row r="796" spans="1:45" ht="12.6" customHeight="1" x14ac:dyDescent="0.3">
      <c r="A796" s="107"/>
      <c r="B796" s="107"/>
      <c r="C796" s="107"/>
      <c r="D796" s="107"/>
      <c r="E796" s="107"/>
      <c r="F796" s="107"/>
      <c r="Z796" s="155"/>
      <c r="AA796" s="155"/>
      <c r="AB796" s="155"/>
      <c r="AC796" s="155"/>
      <c r="AD796" s="155"/>
      <c r="AE796" s="155"/>
      <c r="AF796" s="155"/>
      <c r="AG796" s="155"/>
      <c r="AH796" s="155"/>
      <c r="AI796" s="155"/>
      <c r="AJ796" s="155"/>
      <c r="AK796" s="155"/>
      <c r="AL796" s="155"/>
      <c r="AM796" s="155"/>
      <c r="AN796" s="155"/>
      <c r="AO796" s="155"/>
      <c r="AP796" s="155"/>
      <c r="AQ796" s="155"/>
      <c r="AR796" s="155"/>
      <c r="AS796" s="155"/>
    </row>
    <row r="797" spans="1:45" ht="12.6" customHeight="1" x14ac:dyDescent="0.3">
      <c r="A797" s="107"/>
      <c r="B797" s="107"/>
      <c r="C797" s="107"/>
      <c r="D797" s="107"/>
      <c r="E797" s="107"/>
      <c r="F797" s="107"/>
      <c r="Z797" s="155"/>
      <c r="AA797" s="155"/>
      <c r="AB797" s="155"/>
      <c r="AC797" s="155"/>
      <c r="AD797" s="155"/>
      <c r="AE797" s="155"/>
      <c r="AF797" s="155"/>
      <c r="AG797" s="155"/>
      <c r="AH797" s="155"/>
      <c r="AI797" s="155"/>
      <c r="AJ797" s="155"/>
      <c r="AK797" s="155"/>
      <c r="AL797" s="155"/>
      <c r="AM797" s="155"/>
      <c r="AN797" s="155"/>
      <c r="AO797" s="155"/>
      <c r="AP797" s="155"/>
      <c r="AQ797" s="155"/>
      <c r="AR797" s="155"/>
      <c r="AS797" s="155"/>
    </row>
    <row r="798" spans="1:45" ht="12.6" customHeight="1" x14ac:dyDescent="0.3">
      <c r="A798" s="123"/>
      <c r="B798" s="123"/>
      <c r="C798" s="123"/>
      <c r="D798" s="123"/>
      <c r="E798" s="123"/>
      <c r="F798" s="123"/>
      <c r="Z798" s="155"/>
      <c r="AA798" s="155"/>
      <c r="AB798" s="155"/>
      <c r="AC798" s="155"/>
      <c r="AD798" s="155"/>
      <c r="AE798" s="155"/>
      <c r="AF798" s="155"/>
      <c r="AG798" s="155"/>
      <c r="AH798" s="155"/>
      <c r="AI798" s="155"/>
      <c r="AJ798" s="155"/>
      <c r="AK798" s="155"/>
      <c r="AL798" s="155"/>
      <c r="AM798" s="155"/>
      <c r="AN798" s="155"/>
      <c r="AO798" s="155"/>
      <c r="AP798" s="155"/>
      <c r="AQ798" s="155"/>
      <c r="AR798" s="155"/>
      <c r="AS798" s="155"/>
    </row>
    <row r="799" spans="1:45" ht="12.6" customHeight="1" x14ac:dyDescent="0.3">
      <c r="A799" s="193" t="s">
        <v>1107</v>
      </c>
      <c r="B799" s="194"/>
      <c r="C799" s="99">
        <f>E799+D799+F799</f>
        <v>3714</v>
      </c>
      <c r="D799" s="12">
        <v>0</v>
      </c>
      <c r="E799" s="13">
        <v>0</v>
      </c>
      <c r="F799" s="99">
        <f>ROUNDDOWN(SUMIF(N734:N783,M799,E734:E783),0)+ROUNDDOWN(SUMIF(N734:N783,M799,D734:D783),0)+ROUNDDOWN(SUMIF(N734:N783,M799,F734:F783),0)</f>
        <v>3714</v>
      </c>
      <c r="M799" s="34" t="s">
        <v>768</v>
      </c>
      <c r="N799" s="34" t="s">
        <v>770</v>
      </c>
      <c r="Z799" s="155"/>
      <c r="AA799" s="155"/>
      <c r="AB799" s="155"/>
      <c r="AC799" s="155"/>
      <c r="AD799" s="155"/>
      <c r="AE799" s="155"/>
      <c r="AF799" s="155"/>
      <c r="AG799" s="155"/>
      <c r="AH799" s="155"/>
      <c r="AI799" s="155"/>
      <c r="AJ799" s="155"/>
      <c r="AK799" s="155"/>
      <c r="AL799" s="155"/>
      <c r="AM799" s="155"/>
      <c r="AN799" s="155"/>
      <c r="AO799" s="155"/>
      <c r="AP799" s="155"/>
      <c r="AQ799" s="155"/>
      <c r="AR799" s="155"/>
      <c r="AS799" s="155"/>
    </row>
    <row r="800" spans="1:45" ht="12.6" customHeight="1" x14ac:dyDescent="0.3">
      <c r="A800" s="193" t="s">
        <v>1046</v>
      </c>
      <c r="B800" s="194"/>
      <c r="C800" s="99">
        <f>E800+D800+F800</f>
        <v>3268</v>
      </c>
      <c r="D800" s="121">
        <f>ROUNDDOWN(D799*H800/100,0)</f>
        <v>0</v>
      </c>
      <c r="E800" s="120">
        <f>ROUNDDOWN(E799*H800/100,0)</f>
        <v>0</v>
      </c>
      <c r="F800" s="99">
        <f>ROUNDDOWN(F799*H800/100,0)</f>
        <v>3268</v>
      </c>
      <c r="H800" s="35">
        <v>88</v>
      </c>
      <c r="M800" s="34" t="s">
        <v>770</v>
      </c>
      <c r="Z800" s="155"/>
      <c r="AA800" s="155"/>
      <c r="AB800" s="155"/>
      <c r="AC800" s="155"/>
      <c r="AD800" s="155"/>
      <c r="AE800" s="155"/>
      <c r="AF800" s="155"/>
      <c r="AG800" s="155"/>
      <c r="AH800" s="155"/>
      <c r="AI800" s="155"/>
      <c r="AJ800" s="155"/>
      <c r="AK800" s="155"/>
      <c r="AL800" s="155"/>
      <c r="AM800" s="155"/>
      <c r="AN800" s="155"/>
      <c r="AO800" s="155"/>
      <c r="AP800" s="155"/>
      <c r="AQ800" s="155"/>
      <c r="AR800" s="155"/>
      <c r="AS800" s="155"/>
    </row>
    <row r="801" spans="1:45" ht="12.6" customHeight="1" x14ac:dyDescent="0.3">
      <c r="A801" s="144" t="s">
        <v>84</v>
      </c>
      <c r="B801" s="145" t="s">
        <v>84</v>
      </c>
      <c r="C801" s="232">
        <f>C869</f>
        <v>3511</v>
      </c>
      <c r="D801" s="232">
        <f>D869</f>
        <v>0</v>
      </c>
      <c r="E801" s="232">
        <f>E869</f>
        <v>0</v>
      </c>
      <c r="F801" s="232">
        <f>F869</f>
        <v>3511</v>
      </c>
      <c r="G801" s="141" t="str">
        <f>HYPERLINK("#G"&amp;ROW(G851),"_x0005_`BDCOD|D01446_x0007_`POSS|"&amp;ROW(G803)&amp;"_x0007_`POSE|"&amp;ROW(G851)&amp;"_x0007_`")</f>
        <v>_x0005_`BDCOD|D01446_x0007_`POSS|803_x0007_`POSE|851_x0007_`</v>
      </c>
      <c r="Z801" s="155"/>
      <c r="AA801" s="155"/>
      <c r="AB801" s="155"/>
      <c r="AC801" s="155"/>
      <c r="AD801" s="155"/>
      <c r="AE801" s="155"/>
      <c r="AF801" s="155"/>
      <c r="AG801" s="155"/>
      <c r="AH801" s="155"/>
      <c r="AI801" s="155"/>
      <c r="AJ801" s="155"/>
      <c r="AK801" s="155"/>
      <c r="AL801" s="155"/>
      <c r="AM801" s="155"/>
      <c r="AN801" s="155"/>
      <c r="AO801" s="155"/>
      <c r="AP801" s="155"/>
      <c r="AQ801" s="155"/>
      <c r="AR801" s="155"/>
      <c r="AS801" s="155"/>
    </row>
    <row r="802" spans="1:45" ht="12.6" customHeight="1" x14ac:dyDescent="0.3">
      <c r="A802" s="124"/>
      <c r="B802" s="145" t="s">
        <v>83</v>
      </c>
      <c r="C802" s="189"/>
      <c r="D802" s="189"/>
      <c r="E802" s="189"/>
      <c r="F802" s="189"/>
      <c r="M802" s="34" t="s">
        <v>1190</v>
      </c>
      <c r="Z802" s="155"/>
      <c r="AA802" s="155"/>
      <c r="AB802" s="155"/>
      <c r="AC802" s="155"/>
      <c r="AD802" s="155"/>
      <c r="AE802" s="155"/>
      <c r="AF802" s="155"/>
      <c r="AG802" s="155"/>
      <c r="AH802" s="155"/>
      <c r="AI802" s="155"/>
      <c r="AJ802" s="155"/>
      <c r="AK802" s="155"/>
      <c r="AL802" s="155"/>
      <c r="AM802" s="155"/>
      <c r="AN802" s="155"/>
      <c r="AO802" s="155"/>
      <c r="AP802" s="155"/>
      <c r="AQ802" s="155"/>
      <c r="AR802" s="155"/>
      <c r="AS802" s="155"/>
    </row>
    <row r="803" spans="1:45" ht="12.6" customHeight="1" x14ac:dyDescent="0.3">
      <c r="A803" s="84"/>
      <c r="B803" s="41" t="s">
        <v>1192</v>
      </c>
      <c r="C803" s="147"/>
      <c r="D803" s="147"/>
      <c r="E803" s="147"/>
      <c r="F803" s="147"/>
      <c r="G803" s="17" t="s">
        <v>1191</v>
      </c>
      <c r="Z803" s="155"/>
      <c r="AA803" s="155"/>
      <c r="AB803" s="155"/>
      <c r="AC803" s="155"/>
      <c r="AD803" s="155"/>
      <c r="AE803" s="155"/>
      <c r="AF803" s="155"/>
      <c r="AG803" s="155"/>
      <c r="AH803" s="155"/>
      <c r="AI803" s="155"/>
      <c r="AJ803" s="155"/>
      <c r="AK803" s="155"/>
      <c r="AL803" s="155"/>
      <c r="AM803" s="155"/>
      <c r="AN803" s="155"/>
      <c r="AO803" s="155"/>
      <c r="AP803" s="155"/>
      <c r="AQ803" s="155"/>
      <c r="AR803" s="155"/>
      <c r="AS803" s="155"/>
    </row>
    <row r="804" spans="1:45" ht="12.6" customHeight="1" x14ac:dyDescent="0.3">
      <c r="A804" s="107"/>
      <c r="B804" s="107"/>
      <c r="C804" s="107"/>
      <c r="D804" s="107"/>
      <c r="E804" s="107"/>
      <c r="F804" s="107"/>
      <c r="G804" s="17" t="s">
        <v>848</v>
      </c>
      <c r="Z804" s="155"/>
      <c r="AA804" s="155"/>
      <c r="AB804" s="155"/>
      <c r="AC804" s="155"/>
      <c r="AD804" s="155"/>
      <c r="AE804" s="155"/>
      <c r="AF804" s="155"/>
      <c r="AG804" s="155"/>
      <c r="AH804" s="155"/>
      <c r="AI804" s="155"/>
      <c r="AJ804" s="155"/>
      <c r="AK804" s="155"/>
      <c r="AL804" s="155"/>
      <c r="AM804" s="155"/>
      <c r="AN804" s="155"/>
      <c r="AO804" s="155"/>
      <c r="AP804" s="155"/>
      <c r="AQ804" s="155"/>
      <c r="AR804" s="155"/>
      <c r="AS804" s="155"/>
    </row>
    <row r="805" spans="1:45" ht="12.6" customHeight="1" x14ac:dyDescent="0.3">
      <c r="A805" s="84"/>
      <c r="B805" s="41" t="s">
        <v>1194</v>
      </c>
      <c r="C805" s="107"/>
      <c r="D805" s="107"/>
      <c r="E805" s="107"/>
      <c r="F805" s="107"/>
      <c r="G805" s="17" t="s">
        <v>1193</v>
      </c>
      <c r="Z805" s="155"/>
      <c r="AA805" s="155"/>
      <c r="AB805" s="155"/>
      <c r="AC805" s="155"/>
      <c r="AD805" s="155"/>
      <c r="AE805" s="155"/>
      <c r="AF805" s="155"/>
      <c r="AG805" s="155"/>
      <c r="AH805" s="155"/>
      <c r="AI805" s="155"/>
      <c r="AJ805" s="155"/>
      <c r="AK805" s="155"/>
      <c r="AL805" s="155"/>
      <c r="AM805" s="155"/>
      <c r="AN805" s="155"/>
      <c r="AO805" s="155"/>
      <c r="AP805" s="155"/>
      <c r="AQ805" s="155"/>
      <c r="AR805" s="155"/>
      <c r="AS805" s="155"/>
    </row>
    <row r="806" spans="1:45" ht="12.6" customHeight="1" x14ac:dyDescent="0.3">
      <c r="A806" s="107"/>
      <c r="B806" s="107"/>
      <c r="C806" s="107"/>
      <c r="D806" s="107"/>
      <c r="E806" s="107"/>
      <c r="F806" s="107"/>
      <c r="G806" s="17" t="s">
        <v>848</v>
      </c>
      <c r="Z806" s="155"/>
      <c r="AA806" s="155"/>
      <c r="AB806" s="155"/>
      <c r="AC806" s="155"/>
      <c r="AD806" s="155"/>
      <c r="AE806" s="155"/>
      <c r="AF806" s="155"/>
      <c r="AG806" s="155"/>
      <c r="AH806" s="155"/>
      <c r="AI806" s="155"/>
      <c r="AJ806" s="155"/>
      <c r="AK806" s="155"/>
      <c r="AL806" s="155"/>
      <c r="AM806" s="155"/>
      <c r="AN806" s="155"/>
      <c r="AO806" s="155"/>
      <c r="AP806" s="155"/>
      <c r="AQ806" s="155"/>
      <c r="AR806" s="155"/>
      <c r="AS806" s="155"/>
    </row>
    <row r="807" spans="1:45" ht="12.6" customHeight="1" x14ac:dyDescent="0.3">
      <c r="A807" s="84"/>
      <c r="B807" s="41" t="s">
        <v>1167</v>
      </c>
      <c r="C807" s="107"/>
      <c r="D807" s="107"/>
      <c r="E807" s="107"/>
      <c r="F807" s="107"/>
      <c r="G807" s="17" t="s">
        <v>1166</v>
      </c>
      <c r="Z807" s="155"/>
      <c r="AA807" s="155"/>
      <c r="AB807" s="155"/>
      <c r="AC807" s="155"/>
      <c r="AD807" s="155"/>
      <c r="AE807" s="155"/>
      <c r="AF807" s="155"/>
      <c r="AG807" s="155"/>
      <c r="AH807" s="155"/>
      <c r="AI807" s="155"/>
      <c r="AJ807" s="155"/>
      <c r="AK807" s="155"/>
      <c r="AL807" s="155"/>
      <c r="AM807" s="155"/>
      <c r="AN807" s="155"/>
      <c r="AO807" s="155"/>
      <c r="AP807" s="155"/>
      <c r="AQ807" s="155"/>
      <c r="AR807" s="155"/>
      <c r="AS807" s="155"/>
    </row>
    <row r="808" spans="1:45" ht="12.6" customHeight="1" x14ac:dyDescent="0.3">
      <c r="A808" s="107"/>
      <c r="B808" s="107"/>
      <c r="C808" s="107"/>
      <c r="D808" s="107"/>
      <c r="E808" s="107"/>
      <c r="F808" s="107"/>
      <c r="G808" s="17" t="s">
        <v>848</v>
      </c>
      <c r="Z808" s="155"/>
      <c r="AA808" s="155"/>
      <c r="AB808" s="155"/>
      <c r="AC808" s="155"/>
      <c r="AD808" s="155"/>
      <c r="AE808" s="155"/>
      <c r="AF808" s="155"/>
      <c r="AG808" s="155"/>
      <c r="AH808" s="155"/>
      <c r="AI808" s="155"/>
      <c r="AJ808" s="155"/>
      <c r="AK808" s="155"/>
      <c r="AL808" s="155"/>
      <c r="AM808" s="155"/>
      <c r="AN808" s="155"/>
      <c r="AO808" s="155"/>
      <c r="AP808" s="155"/>
      <c r="AQ808" s="155"/>
      <c r="AR808" s="155"/>
      <c r="AS808" s="155"/>
    </row>
    <row r="809" spans="1:45" ht="12.6" customHeight="1" x14ac:dyDescent="0.3">
      <c r="A809" s="84"/>
      <c r="B809" s="41" t="str">
        <f>" q2 (버킷용량)  = "&amp;Z809&amp;" m3 "</f>
        <v xml:space="preserve"> q2 (버킷용량)  = 0.7 m3 </v>
      </c>
      <c r="C809" s="107"/>
      <c r="D809" s="107"/>
      <c r="E809" s="107"/>
      <c r="F809" s="107"/>
      <c r="G809" s="17" t="s">
        <v>1168</v>
      </c>
      <c r="Z809" s="156">
        <v>0.7</v>
      </c>
      <c r="AA809" s="34" t="s">
        <v>871</v>
      </c>
      <c r="AB809" s="158">
        <f>Z809</f>
        <v>0.7</v>
      </c>
      <c r="AC809" s="155"/>
      <c r="AD809" s="155"/>
      <c r="AE809" s="155"/>
      <c r="AF809" s="155"/>
      <c r="AG809" s="155"/>
      <c r="AH809" s="155"/>
      <c r="AI809" s="155"/>
      <c r="AJ809" s="155"/>
      <c r="AK809" s="155"/>
      <c r="AL809" s="155"/>
      <c r="AM809" s="155"/>
      <c r="AN809" s="155"/>
      <c r="AO809" s="155"/>
      <c r="AP809" s="155"/>
      <c r="AQ809" s="155"/>
      <c r="AR809" s="155"/>
      <c r="AS809" s="155"/>
    </row>
    <row r="810" spans="1:45" ht="12.6" customHeight="1" x14ac:dyDescent="0.3">
      <c r="A810" s="107"/>
      <c r="B810" s="107"/>
      <c r="C810" s="107"/>
      <c r="D810" s="107"/>
      <c r="E810" s="107"/>
      <c r="F810" s="107"/>
      <c r="G810" s="17" t="s">
        <v>848</v>
      </c>
      <c r="Z810" s="155"/>
      <c r="AA810" s="155"/>
      <c r="AB810" s="155"/>
      <c r="AC810" s="155"/>
      <c r="AD810" s="155"/>
      <c r="AE810" s="155"/>
      <c r="AF810" s="155"/>
      <c r="AG810" s="155"/>
      <c r="AH810" s="155"/>
      <c r="AI810" s="155"/>
      <c r="AJ810" s="155"/>
      <c r="AK810" s="155"/>
      <c r="AL810" s="155"/>
      <c r="AM810" s="155"/>
      <c r="AN810" s="155"/>
      <c r="AO810" s="155"/>
      <c r="AP810" s="155"/>
      <c r="AQ810" s="155"/>
      <c r="AR810" s="155"/>
      <c r="AS810" s="155"/>
    </row>
    <row r="811" spans="1:45" ht="12.6" customHeight="1" x14ac:dyDescent="0.3">
      <c r="A811" s="84"/>
      <c r="B811" s="41" t="str">
        <f>" f (체적환산계수) = "&amp;Z811&amp;"/"&amp;AB811&amp;"= "&amp;AD811&amp;" , E (작업효율) ="&amp;AF811&amp;" , k (버킷계수) ="&amp;AJ811&amp;""</f>
        <v xml:space="preserve"> f (체적환산계수) = 1/1.15= 0.87 , E (작업효율) =0.65 , k (버킷계수) =0.7</v>
      </c>
      <c r="C811" s="107"/>
      <c r="D811" s="107"/>
      <c r="E811" s="107"/>
      <c r="F811" s="107"/>
      <c r="G811" s="17" t="s">
        <v>1195</v>
      </c>
      <c r="Z811" s="157">
        <v>1</v>
      </c>
      <c r="AA811" s="34" t="s">
        <v>873</v>
      </c>
      <c r="AB811" s="156">
        <v>1.1499999999999999</v>
      </c>
      <c r="AC811" s="34" t="s">
        <v>871</v>
      </c>
      <c r="AD811" s="158" t="str">
        <f>TEXT(ROUND(Z811/AB811,2),"#,0.00")</f>
        <v>0.87</v>
      </c>
      <c r="AE811" s="159" t="s">
        <v>872</v>
      </c>
      <c r="AF811" s="156">
        <v>0.65</v>
      </c>
      <c r="AG811" s="34" t="s">
        <v>871</v>
      </c>
      <c r="AH811" s="158">
        <f>AF811</f>
        <v>0.65</v>
      </c>
      <c r="AI811" s="159" t="s">
        <v>872</v>
      </c>
      <c r="AJ811" s="156">
        <v>0.7</v>
      </c>
      <c r="AK811" s="34" t="s">
        <v>871</v>
      </c>
      <c r="AL811" s="158">
        <f>AJ811</f>
        <v>0.7</v>
      </c>
      <c r="AM811" s="155"/>
      <c r="AN811" s="155"/>
      <c r="AO811" s="155"/>
      <c r="AP811" s="155"/>
      <c r="AQ811" s="155"/>
      <c r="AR811" s="155"/>
      <c r="AS811" s="155"/>
    </row>
    <row r="812" spans="1:45" ht="12.6" customHeight="1" x14ac:dyDescent="0.3">
      <c r="A812" s="107"/>
      <c r="B812" s="107"/>
      <c r="C812" s="107"/>
      <c r="D812" s="107"/>
      <c r="E812" s="107"/>
      <c r="F812" s="107"/>
      <c r="G812" s="17" t="s">
        <v>848</v>
      </c>
      <c r="Z812" s="155"/>
      <c r="AA812" s="155"/>
      <c r="AB812" s="155"/>
      <c r="AC812" s="155"/>
      <c r="AD812" s="155"/>
      <c r="AE812" s="155"/>
      <c r="AF812" s="155"/>
      <c r="AG812" s="155"/>
      <c r="AH812" s="155"/>
      <c r="AI812" s="155"/>
      <c r="AJ812" s="155"/>
      <c r="AK812" s="155"/>
      <c r="AL812" s="155"/>
      <c r="AM812" s="155"/>
      <c r="AN812" s="155"/>
      <c r="AO812" s="155"/>
      <c r="AP812" s="155"/>
      <c r="AQ812" s="155"/>
      <c r="AR812" s="155"/>
      <c r="AS812" s="155"/>
    </row>
    <row r="813" spans="1:45" ht="12.6" customHeight="1" x14ac:dyDescent="0.3">
      <c r="A813" s="84"/>
      <c r="B813" s="41" t="str">
        <f>" Cm1 = "&amp;Z813&amp;"  sec(90˚) "</f>
        <v xml:space="preserve"> Cm1 = 18  sec(90˚) </v>
      </c>
      <c r="C813" s="107"/>
      <c r="D813" s="107"/>
      <c r="E813" s="107"/>
      <c r="F813" s="107"/>
      <c r="G813" s="17" t="s">
        <v>1170</v>
      </c>
      <c r="Z813" s="157">
        <v>18</v>
      </c>
      <c r="AA813" s="34" t="s">
        <v>871</v>
      </c>
      <c r="AB813" s="158">
        <f>Z813</f>
        <v>18</v>
      </c>
      <c r="AC813" s="155"/>
      <c r="AD813" s="155"/>
      <c r="AE813" s="155"/>
      <c r="AF813" s="155"/>
      <c r="AG813" s="155"/>
      <c r="AH813" s="155"/>
      <c r="AI813" s="155"/>
      <c r="AJ813" s="155"/>
      <c r="AK813" s="155"/>
      <c r="AL813" s="155"/>
      <c r="AM813" s="155"/>
      <c r="AN813" s="155"/>
      <c r="AO813" s="155"/>
      <c r="AP813" s="155"/>
      <c r="AQ813" s="155"/>
      <c r="AR813" s="155"/>
      <c r="AS813" s="155"/>
    </row>
    <row r="814" spans="1:45" ht="12.6" customHeight="1" x14ac:dyDescent="0.3">
      <c r="A814" s="107"/>
      <c r="B814" s="107"/>
      <c r="C814" s="107"/>
      <c r="D814" s="107"/>
      <c r="E814" s="107"/>
      <c r="F814" s="107"/>
      <c r="G814" s="17" t="s">
        <v>848</v>
      </c>
      <c r="Z814" s="155"/>
      <c r="AA814" s="155"/>
      <c r="AB814" s="155"/>
      <c r="AC814" s="155"/>
      <c r="AD814" s="155"/>
      <c r="AE814" s="155"/>
      <c r="AF814" s="155"/>
      <c r="AG814" s="155"/>
      <c r="AH814" s="155"/>
      <c r="AI814" s="155"/>
      <c r="AJ814" s="155"/>
      <c r="AK814" s="155"/>
      <c r="AL814" s="155"/>
      <c r="AM814" s="155"/>
      <c r="AN814" s="155"/>
      <c r="AO814" s="155"/>
      <c r="AP814" s="155"/>
      <c r="AQ814" s="155"/>
      <c r="AR814" s="155"/>
      <c r="AS814" s="155"/>
    </row>
    <row r="815" spans="1:45" ht="12.6" customHeight="1" x14ac:dyDescent="0.3">
      <c r="A815" s="84"/>
      <c r="B815" s="41" t="str">
        <f>" Q (시간당작업량) = "&amp;Z815&amp;" * q2 * k *f *E / Cm1 = "&amp;AL815&amp;" m3/hr "</f>
        <v xml:space="preserve"> Q (시간당작업량) = 3600 * q2 * k *f *E / Cm1 = 55.42 m3/hr </v>
      </c>
      <c r="C815" s="107"/>
      <c r="D815" s="107"/>
      <c r="E815" s="107"/>
      <c r="F815" s="107"/>
      <c r="G815" s="17" t="s">
        <v>1171</v>
      </c>
      <c r="Z815" s="157">
        <v>3600</v>
      </c>
      <c r="AA815" s="34" t="s">
        <v>876</v>
      </c>
      <c r="AB815" s="158">
        <f>AB809</f>
        <v>0.7</v>
      </c>
      <c r="AC815" s="34" t="s">
        <v>876</v>
      </c>
      <c r="AD815" s="158">
        <f>AL811</f>
        <v>0.7</v>
      </c>
      <c r="AE815" s="34" t="s">
        <v>876</v>
      </c>
      <c r="AF815" s="158" t="str">
        <f>AD811</f>
        <v>0.87</v>
      </c>
      <c r="AG815" s="34" t="s">
        <v>876</v>
      </c>
      <c r="AH815" s="158">
        <f>AH811</f>
        <v>0.65</v>
      </c>
      <c r="AI815" s="34" t="s">
        <v>873</v>
      </c>
      <c r="AJ815" s="158">
        <f>AB813</f>
        <v>18</v>
      </c>
      <c r="AK815" s="34" t="s">
        <v>871</v>
      </c>
      <c r="AL815" s="158" t="str">
        <f>TEXT(ROUND(Z815*AB809*AL811*AD811*AH811/AB813,2),"#,0.00")</f>
        <v>55.42</v>
      </c>
      <c r="AM815" s="155"/>
      <c r="AN815" s="155"/>
      <c r="AO815" s="155"/>
      <c r="AP815" s="155"/>
      <c r="AQ815" s="155"/>
      <c r="AR815" s="155"/>
      <c r="AS815" s="155"/>
    </row>
    <row r="816" spans="1:45" ht="12.6" customHeight="1" x14ac:dyDescent="0.3">
      <c r="A816" s="107"/>
      <c r="B816" s="107"/>
      <c r="C816" s="107"/>
      <c r="D816" s="107"/>
      <c r="E816" s="107"/>
      <c r="F816" s="107"/>
      <c r="G816" s="17" t="s">
        <v>848</v>
      </c>
      <c r="Z816" s="155"/>
      <c r="AA816" s="155"/>
      <c r="AB816" s="155"/>
      <c r="AC816" s="155"/>
      <c r="AD816" s="155"/>
      <c r="AE816" s="155"/>
      <c r="AF816" s="155"/>
      <c r="AG816" s="155"/>
      <c r="AH816" s="155"/>
      <c r="AI816" s="155"/>
      <c r="AJ816" s="155"/>
      <c r="AK816" s="155"/>
      <c r="AL816" s="155"/>
      <c r="AM816" s="155"/>
      <c r="AN816" s="155"/>
      <c r="AO816" s="155"/>
      <c r="AP816" s="155"/>
      <c r="AQ816" s="155"/>
      <c r="AR816" s="155"/>
      <c r="AS816" s="155"/>
    </row>
    <row r="817" spans="1:45" ht="12.6" customHeight="1" x14ac:dyDescent="0.3">
      <c r="A817" s="84" t="s">
        <v>1119</v>
      </c>
      <c r="B817" s="146" t="str">
        <f>"  노 무 비  :   "&amp;TEXT(I817,"#,##0"&amp;IF(I817&lt;&gt;INT(I817),".###",""))&amp;" / Q = "&amp;TEXT(C817,"#,##0.0")&amp;""</f>
        <v xml:space="preserve">  노 무 비  :   57,077 / Q = 1,029.8</v>
      </c>
      <c r="C817" s="148">
        <f>E817+D817+F817</f>
        <v>1029.8</v>
      </c>
      <c r="D817" s="148">
        <f>IF(H817=0,0,ROUNDDOWN(J817*H817,1))</f>
        <v>1029.8</v>
      </c>
      <c r="E817" s="148">
        <f>IF(H817=0,0,ROUNDDOWN(K817*H817,1))</f>
        <v>0</v>
      </c>
      <c r="F817" s="148">
        <f>IF(H817=0,0,ROUNDDOWN(L817*H817,1))</f>
        <v>0</v>
      </c>
      <c r="G817" s="17" t="s">
        <v>1172</v>
      </c>
      <c r="H817" s="152">
        <f>ROUNDUP(AC817,14-LEN(ABS(INT(AC817))))</f>
        <v>1.8044027426999999E-2</v>
      </c>
      <c r="I817" s="153">
        <f>K817+J817+L817</f>
        <v>57077</v>
      </c>
      <c r="J817" s="37">
        <f>중기목록표!F5</f>
        <v>57077</v>
      </c>
      <c r="M817" s="34" t="s">
        <v>1120</v>
      </c>
      <c r="N817" s="34" t="s">
        <v>886</v>
      </c>
      <c r="X817" s="154" t="str">
        <f>중기목록표!B5&amp;" / "&amp;중기목록표!C5</f>
        <v>굴착기(무한궤도) / 0.7㎥</v>
      </c>
      <c r="Y817" s="3" t="str">
        <f ca="1">HYPERLINK("#"&amp;중기목록표!J2&amp;"!A"&amp;ROW(중기목록표!A5),"X00005 →")</f>
        <v>X00005 →</v>
      </c>
      <c r="Z817" s="34" t="s">
        <v>879</v>
      </c>
      <c r="AA817" s="158" t="str">
        <f>AL815</f>
        <v>55.42</v>
      </c>
      <c r="AB817" s="34" t="s">
        <v>871</v>
      </c>
      <c r="AC817" s="158">
        <f>1/AL815</f>
        <v>1.804402742692169E-2</v>
      </c>
      <c r="AD817" s="155"/>
      <c r="AE817" s="155"/>
      <c r="AF817" s="155"/>
      <c r="AG817" s="155"/>
      <c r="AH817" s="155"/>
      <c r="AI817" s="155"/>
      <c r="AJ817" s="155"/>
      <c r="AK817" s="155"/>
      <c r="AL817" s="155"/>
      <c r="AM817" s="155"/>
      <c r="AN817" s="155"/>
      <c r="AO817" s="155"/>
      <c r="AP817" s="155"/>
      <c r="AQ817" s="155"/>
      <c r="AR817" s="155"/>
      <c r="AS817" s="155"/>
    </row>
    <row r="818" spans="1:45" ht="12.6" customHeight="1" x14ac:dyDescent="0.3">
      <c r="A818" s="107"/>
      <c r="B818" s="107"/>
      <c r="C818" s="107"/>
      <c r="D818" s="107"/>
      <c r="E818" s="107"/>
      <c r="F818" s="107"/>
      <c r="G818" s="17" t="s">
        <v>848</v>
      </c>
      <c r="Z818" s="155"/>
      <c r="AA818" s="155"/>
      <c r="AB818" s="155"/>
      <c r="AC818" s="155"/>
      <c r="AD818" s="155"/>
      <c r="AE818" s="155"/>
      <c r="AF818" s="155"/>
      <c r="AG818" s="155"/>
      <c r="AH818" s="155"/>
      <c r="AI818" s="155"/>
      <c r="AJ818" s="155"/>
      <c r="AK818" s="155"/>
      <c r="AL818" s="155"/>
      <c r="AM818" s="155"/>
      <c r="AN818" s="155"/>
      <c r="AO818" s="155"/>
      <c r="AP818" s="155"/>
      <c r="AQ818" s="155"/>
      <c r="AR818" s="155"/>
      <c r="AS818" s="155"/>
    </row>
    <row r="819" spans="1:45" ht="12.6" customHeight="1" x14ac:dyDescent="0.3">
      <c r="A819" s="84" t="s">
        <v>1122</v>
      </c>
      <c r="B819" s="146" t="str">
        <f>"  재 료 비  :   "&amp;TEXT(I819,"#,##0"&amp;IF(I819&lt;&gt;INT(I819),".###",""))&amp;" / Q = "&amp;TEXT(C819,"#,##0.0")&amp;""</f>
        <v xml:space="preserve">  재 료 비  :   17,845 / Q = 321.9</v>
      </c>
      <c r="C819" s="148">
        <f>E819+D819+F819</f>
        <v>321.89999999999998</v>
      </c>
      <c r="D819" s="148">
        <f>IF(H819=0,0,ROUNDDOWN(J819*H819,1))</f>
        <v>0</v>
      </c>
      <c r="E819" s="148">
        <f>IF(H819=0,0,ROUNDDOWN(K819*H819,1))</f>
        <v>321.89999999999998</v>
      </c>
      <c r="F819" s="148">
        <f>IF(H819=0,0,ROUNDDOWN(L819*H819,1))</f>
        <v>0</v>
      </c>
      <c r="G819" s="17" t="s">
        <v>1173</v>
      </c>
      <c r="H819" s="152">
        <f>ROUNDUP(AC819,14-LEN(ABS(INT(AC819))))</f>
        <v>1.8044027426999999E-2</v>
      </c>
      <c r="I819" s="153">
        <f>K819+J819+L819</f>
        <v>17845</v>
      </c>
      <c r="K819" s="37">
        <f>중기목록표!G5</f>
        <v>17845</v>
      </c>
      <c r="M819" s="34" t="s">
        <v>1120</v>
      </c>
      <c r="N819" s="34" t="s">
        <v>886</v>
      </c>
      <c r="X819" s="154" t="str">
        <f>중기목록표!B5&amp;" / "&amp;중기목록표!C5</f>
        <v>굴착기(무한궤도) / 0.7㎥</v>
      </c>
      <c r="Y819" s="3" t="str">
        <f ca="1">HYPERLINK("#"&amp;중기목록표!J2&amp;"!A"&amp;ROW(중기목록표!A5),"X00005 →")</f>
        <v>X00005 →</v>
      </c>
      <c r="Z819" s="34" t="s">
        <v>879</v>
      </c>
      <c r="AA819" s="158" t="str">
        <f>AL815</f>
        <v>55.42</v>
      </c>
      <c r="AB819" s="34" t="s">
        <v>871</v>
      </c>
      <c r="AC819" s="158">
        <f>1/AL815</f>
        <v>1.804402742692169E-2</v>
      </c>
      <c r="AD819" s="155"/>
      <c r="AE819" s="155"/>
      <c r="AF819" s="155"/>
      <c r="AG819" s="155"/>
      <c r="AH819" s="155"/>
      <c r="AI819" s="155"/>
      <c r="AJ819" s="155"/>
      <c r="AK819" s="155"/>
      <c r="AL819" s="155"/>
      <c r="AM819" s="155"/>
      <c r="AN819" s="155"/>
      <c r="AO819" s="155"/>
      <c r="AP819" s="155"/>
      <c r="AQ819" s="155"/>
      <c r="AR819" s="155"/>
      <c r="AS819" s="155"/>
    </row>
    <row r="820" spans="1:45" ht="12.6" customHeight="1" x14ac:dyDescent="0.3">
      <c r="A820" s="107"/>
      <c r="B820" s="107"/>
      <c r="C820" s="107"/>
      <c r="D820" s="107"/>
      <c r="E820" s="107"/>
      <c r="F820" s="107"/>
      <c r="G820" s="17" t="s">
        <v>848</v>
      </c>
      <c r="Z820" s="155"/>
      <c r="AA820" s="155"/>
      <c r="AB820" s="155"/>
      <c r="AC820" s="155"/>
      <c r="AD820" s="155"/>
      <c r="AE820" s="155"/>
      <c r="AF820" s="155"/>
      <c r="AG820" s="155"/>
      <c r="AH820" s="155"/>
      <c r="AI820" s="155"/>
      <c r="AJ820" s="155"/>
      <c r="AK820" s="155"/>
      <c r="AL820" s="155"/>
      <c r="AM820" s="155"/>
      <c r="AN820" s="155"/>
      <c r="AO820" s="155"/>
      <c r="AP820" s="155"/>
      <c r="AQ820" s="155"/>
      <c r="AR820" s="155"/>
      <c r="AS820" s="155"/>
    </row>
    <row r="821" spans="1:45" ht="12.6" customHeight="1" x14ac:dyDescent="0.3">
      <c r="A821" s="84" t="s">
        <v>1124</v>
      </c>
      <c r="B821" s="146" t="str">
        <f>"  경    비  :   "&amp;TEXT(I821,"#,##0"&amp;IF(I821&lt;&gt;INT(I821),".###",""))&amp;" / Q = "&amp;TEXT(C821,"#,##0.0")&amp;""</f>
        <v xml:space="preserve">  경    비  :   24,001 / Q = 433.0</v>
      </c>
      <c r="C821" s="148">
        <f>E821+D821+F821</f>
        <v>433</v>
      </c>
      <c r="D821" s="148">
        <f>IF(H821=0,0,ROUNDDOWN(J821*H821,1))</f>
        <v>0</v>
      </c>
      <c r="E821" s="148">
        <f>IF(H821=0,0,ROUNDDOWN(K821*H821,1))</f>
        <v>0</v>
      </c>
      <c r="F821" s="148">
        <f>IF(H821=0,0,ROUNDDOWN(L821*H821,1))</f>
        <v>433</v>
      </c>
      <c r="G821" s="17" t="s">
        <v>1174</v>
      </c>
      <c r="H821" s="152">
        <f>ROUNDUP(AC821,14-LEN(ABS(INT(AC821))))</f>
        <v>1.8044027426999999E-2</v>
      </c>
      <c r="I821" s="153">
        <f>K821+J821+L821</f>
        <v>24001</v>
      </c>
      <c r="L821" s="37">
        <f>중기목록표!H5</f>
        <v>24001</v>
      </c>
      <c r="M821" s="34" t="s">
        <v>1120</v>
      </c>
      <c r="N821" s="34" t="s">
        <v>886</v>
      </c>
      <c r="X821" s="154" t="str">
        <f>중기목록표!B5&amp;" / "&amp;중기목록표!C5</f>
        <v>굴착기(무한궤도) / 0.7㎥</v>
      </c>
      <c r="Y821" s="3" t="str">
        <f ca="1">HYPERLINK("#"&amp;중기목록표!J2&amp;"!A"&amp;ROW(중기목록표!A5),"X00005 →")</f>
        <v>X00005 →</v>
      </c>
      <c r="Z821" s="34" t="s">
        <v>879</v>
      </c>
      <c r="AA821" s="158" t="str">
        <f>AL815</f>
        <v>55.42</v>
      </c>
      <c r="AB821" s="34" t="s">
        <v>871</v>
      </c>
      <c r="AC821" s="158">
        <f>1/AL815</f>
        <v>1.804402742692169E-2</v>
      </c>
      <c r="AD821" s="155"/>
      <c r="AE821" s="155"/>
      <c r="AF821" s="155"/>
      <c r="AG821" s="155"/>
      <c r="AH821" s="155"/>
      <c r="AI821" s="155"/>
      <c r="AJ821" s="155"/>
      <c r="AK821" s="155"/>
      <c r="AL821" s="155"/>
      <c r="AM821" s="155"/>
      <c r="AN821" s="155"/>
      <c r="AO821" s="155"/>
      <c r="AP821" s="155"/>
      <c r="AQ821" s="155"/>
      <c r="AR821" s="155"/>
      <c r="AS821" s="155"/>
    </row>
    <row r="822" spans="1:45" ht="12.6" customHeight="1" x14ac:dyDescent="0.3">
      <c r="A822" s="107"/>
      <c r="B822" s="107"/>
      <c r="C822" s="107"/>
      <c r="D822" s="107"/>
      <c r="E822" s="107"/>
      <c r="F822" s="107"/>
      <c r="G822" s="17" t="s">
        <v>848</v>
      </c>
      <c r="Z822" s="155"/>
      <c r="AA822" s="155"/>
      <c r="AB822" s="155"/>
      <c r="AC822" s="155"/>
      <c r="AD822" s="155"/>
      <c r="AE822" s="155"/>
      <c r="AF822" s="155"/>
      <c r="AG822" s="155"/>
      <c r="AH822" s="155"/>
      <c r="AI822" s="155"/>
      <c r="AJ822" s="155"/>
      <c r="AK822" s="155"/>
      <c r="AL822" s="155"/>
      <c r="AM822" s="155"/>
      <c r="AN822" s="155"/>
      <c r="AO822" s="155"/>
      <c r="AP822" s="155"/>
      <c r="AQ822" s="155"/>
      <c r="AR822" s="155"/>
      <c r="AS822" s="155"/>
    </row>
    <row r="823" spans="1:45" ht="12.6" customHeight="1" x14ac:dyDescent="0.3">
      <c r="A823" s="84"/>
      <c r="B823" s="41" t="s">
        <v>885</v>
      </c>
      <c r="C823" s="149">
        <f>E823+D823+F823</f>
        <v>1784.6999999999998</v>
      </c>
      <c r="D823" s="149">
        <f>SUMIF(N803:N822,M823,D803:D822)</f>
        <v>1029.8</v>
      </c>
      <c r="E823" s="149">
        <f>SUMIF(N803:N822,M823,E803:E822)</f>
        <v>321.89999999999998</v>
      </c>
      <c r="F823" s="149">
        <f>SUMIF(N803:N822,M823,F803:F822)</f>
        <v>433</v>
      </c>
      <c r="G823" s="17" t="s">
        <v>884</v>
      </c>
      <c r="M823" s="34" t="s">
        <v>886</v>
      </c>
      <c r="N823" s="34" t="s">
        <v>891</v>
      </c>
      <c r="Z823" s="155"/>
      <c r="AA823" s="155"/>
      <c r="AB823" s="155"/>
      <c r="AC823" s="155"/>
      <c r="AD823" s="155"/>
      <c r="AE823" s="155"/>
      <c r="AF823" s="155"/>
      <c r="AG823" s="155"/>
      <c r="AH823" s="155"/>
      <c r="AI823" s="155"/>
      <c r="AJ823" s="155"/>
      <c r="AK823" s="155"/>
      <c r="AL823" s="155"/>
      <c r="AM823" s="155"/>
      <c r="AN823" s="155"/>
      <c r="AO823" s="155"/>
      <c r="AP823" s="155"/>
      <c r="AQ823" s="155"/>
      <c r="AR823" s="155"/>
      <c r="AS823" s="155"/>
    </row>
    <row r="824" spans="1:45" ht="12.6" customHeight="1" x14ac:dyDescent="0.3">
      <c r="A824" s="107"/>
      <c r="B824" s="107"/>
      <c r="C824" s="147"/>
      <c r="D824" s="147"/>
      <c r="E824" s="147"/>
      <c r="F824" s="147"/>
      <c r="G824" s="17" t="s">
        <v>848</v>
      </c>
      <c r="Z824" s="155"/>
      <c r="AA824" s="155"/>
      <c r="AB824" s="155"/>
      <c r="AC824" s="155"/>
      <c r="AD824" s="155"/>
      <c r="AE824" s="155"/>
      <c r="AF824" s="155"/>
      <c r="AG824" s="155"/>
      <c r="AH824" s="155"/>
      <c r="AI824" s="155"/>
      <c r="AJ824" s="155"/>
      <c r="AK824" s="155"/>
      <c r="AL824" s="155"/>
      <c r="AM824" s="155"/>
      <c r="AN824" s="155"/>
      <c r="AO824" s="155"/>
      <c r="AP824" s="155"/>
      <c r="AQ824" s="155"/>
      <c r="AR824" s="155"/>
      <c r="AS824" s="155"/>
    </row>
    <row r="825" spans="1:45" ht="12.6" customHeight="1" x14ac:dyDescent="0.3">
      <c r="A825" s="84"/>
      <c r="B825" s="41" t="s">
        <v>1176</v>
      </c>
      <c r="C825" s="107"/>
      <c r="D825" s="107"/>
      <c r="E825" s="107"/>
      <c r="F825" s="107"/>
      <c r="G825" s="17" t="s">
        <v>1175</v>
      </c>
      <c r="Z825" s="155"/>
      <c r="AA825" s="155"/>
      <c r="AB825" s="155"/>
      <c r="AC825" s="155"/>
      <c r="AD825" s="155"/>
      <c r="AE825" s="155"/>
      <c r="AF825" s="155"/>
      <c r="AG825" s="155"/>
      <c r="AH825" s="155"/>
      <c r="AI825" s="155"/>
      <c r="AJ825" s="155"/>
      <c r="AK825" s="155"/>
      <c r="AL825" s="155"/>
      <c r="AM825" s="155"/>
      <c r="AN825" s="155"/>
      <c r="AO825" s="155"/>
      <c r="AP825" s="155"/>
      <c r="AQ825" s="155"/>
      <c r="AR825" s="155"/>
      <c r="AS825" s="155"/>
    </row>
    <row r="826" spans="1:45" ht="12.6" customHeight="1" x14ac:dyDescent="0.3">
      <c r="A826" s="107"/>
      <c r="B826" s="107"/>
      <c r="C826" s="107"/>
      <c r="D826" s="107"/>
      <c r="E826" s="107"/>
      <c r="F826" s="107"/>
      <c r="G826" s="17" t="s">
        <v>848</v>
      </c>
      <c r="Z826" s="155"/>
      <c r="AA826" s="155"/>
      <c r="AB826" s="155"/>
      <c r="AC826" s="155"/>
      <c r="AD826" s="155"/>
      <c r="AE826" s="155"/>
      <c r="AF826" s="155"/>
      <c r="AG826" s="155"/>
      <c r="AH826" s="155"/>
      <c r="AI826" s="155"/>
      <c r="AJ826" s="155"/>
      <c r="AK826" s="155"/>
      <c r="AL826" s="155"/>
      <c r="AM826" s="155"/>
      <c r="AN826" s="155"/>
      <c r="AO826" s="155"/>
      <c r="AP826" s="155"/>
      <c r="AQ826" s="155"/>
      <c r="AR826" s="155"/>
      <c r="AS826" s="155"/>
    </row>
    <row r="827" spans="1:45" ht="12.6" customHeight="1" x14ac:dyDescent="0.3">
      <c r="A827" s="84"/>
      <c r="B827" s="41" t="str">
        <f>"L (운반거리)  = "&amp;Z827&amp;"  Km ,E (작업효율)  = "&amp;AD827&amp;" , f (환산계수)  = "&amp;AH827&amp;"/"&amp;AJ827&amp;" = "&amp;AL827&amp;""</f>
        <v>L (운반거리)  = 0.1  Km ,E (작업효율)  = 0.9 , f (환산계수)  = 1/1.15 = 0.87</v>
      </c>
      <c r="C827" s="107"/>
      <c r="D827" s="107"/>
      <c r="E827" s="107"/>
      <c r="F827" s="107"/>
      <c r="G827" s="17" t="s">
        <v>1177</v>
      </c>
      <c r="Z827" s="156">
        <v>0.1</v>
      </c>
      <c r="AA827" s="34" t="s">
        <v>871</v>
      </c>
      <c r="AB827" s="158">
        <f>Z827</f>
        <v>0.1</v>
      </c>
      <c r="AC827" s="159" t="s">
        <v>872</v>
      </c>
      <c r="AD827" s="156">
        <v>0.9</v>
      </c>
      <c r="AE827" s="34" t="s">
        <v>871</v>
      </c>
      <c r="AF827" s="158">
        <f>AD827</f>
        <v>0.9</v>
      </c>
      <c r="AG827" s="159" t="s">
        <v>872</v>
      </c>
      <c r="AH827" s="157">
        <v>1</v>
      </c>
      <c r="AI827" s="34" t="s">
        <v>873</v>
      </c>
      <c r="AJ827" s="156">
        <v>1.1499999999999999</v>
      </c>
      <c r="AK827" s="34" t="s">
        <v>871</v>
      </c>
      <c r="AL827" s="158" t="str">
        <f>TEXT(ROUND(AH827/AJ827,2),"#,0.00")</f>
        <v>0.87</v>
      </c>
      <c r="AM827" s="155"/>
      <c r="AN827" s="155"/>
      <c r="AO827" s="155"/>
      <c r="AP827" s="155"/>
      <c r="AQ827" s="155"/>
      <c r="AR827" s="155"/>
      <c r="AS827" s="155"/>
    </row>
    <row r="828" spans="1:45" ht="12.6" customHeight="1" x14ac:dyDescent="0.3">
      <c r="A828" s="107"/>
      <c r="B828" s="107"/>
      <c r="C828" s="107"/>
      <c r="D828" s="107"/>
      <c r="E828" s="107"/>
      <c r="F828" s="107"/>
      <c r="G828" s="17" t="s">
        <v>848</v>
      </c>
      <c r="Z828" s="155"/>
      <c r="AA828" s="155"/>
      <c r="AB828" s="155"/>
      <c r="AC828" s="155"/>
      <c r="AD828" s="155"/>
      <c r="AE828" s="155"/>
      <c r="AF828" s="155"/>
      <c r="AG828" s="155"/>
      <c r="AH828" s="155"/>
      <c r="AI828" s="155"/>
      <c r="AJ828" s="155"/>
      <c r="AK828" s="155"/>
      <c r="AL828" s="155"/>
      <c r="AM828" s="155"/>
      <c r="AN828" s="155"/>
      <c r="AO828" s="155"/>
      <c r="AP828" s="155"/>
      <c r="AQ828" s="155"/>
      <c r="AR828" s="155"/>
      <c r="AS828" s="155"/>
    </row>
    <row r="829" spans="1:45" ht="12.6" customHeight="1" x14ac:dyDescent="0.3">
      <c r="A829" s="84"/>
      <c r="B829" s="41" t="str">
        <f>"q1 (덤프트럭1회적재량)  = ("&amp;AA829&amp;"/"&amp;AC829&amp;") * "&amp;AE829&amp;" = "&amp;AG829&amp;""</f>
        <v>q1 (덤프트럭1회적재량)  = (4.5/1.7) * 1.15 = 3.04</v>
      </c>
      <c r="C829" s="107"/>
      <c r="D829" s="107"/>
      <c r="E829" s="107"/>
      <c r="F829" s="107"/>
      <c r="G829" s="17" t="s">
        <v>1196</v>
      </c>
      <c r="Z829" s="34" t="s">
        <v>998</v>
      </c>
      <c r="AA829" s="156">
        <v>4.5</v>
      </c>
      <c r="AB829" s="34" t="s">
        <v>873</v>
      </c>
      <c r="AC829" s="156">
        <v>1.7</v>
      </c>
      <c r="AD829" s="34" t="s">
        <v>1000</v>
      </c>
      <c r="AE829" s="156">
        <v>1.1499999999999999</v>
      </c>
      <c r="AF829" s="34" t="s">
        <v>871</v>
      </c>
      <c r="AG829" s="158" t="str">
        <f>TEXT(ROUND((AA829/AC829)*AE829,2),"#,0.00")</f>
        <v>3.04</v>
      </c>
      <c r="AH829" s="155"/>
      <c r="AI829" s="155"/>
      <c r="AJ829" s="155"/>
      <c r="AK829" s="155"/>
      <c r="AL829" s="155"/>
      <c r="AM829" s="155"/>
      <c r="AN829" s="155"/>
      <c r="AO829" s="155"/>
      <c r="AP829" s="155"/>
      <c r="AQ829" s="155"/>
      <c r="AR829" s="155"/>
      <c r="AS829" s="155"/>
    </row>
    <row r="830" spans="1:45" ht="12.6" customHeight="1" x14ac:dyDescent="0.3">
      <c r="A830" s="107"/>
      <c r="B830" s="107"/>
      <c r="C830" s="107"/>
      <c r="D830" s="107"/>
      <c r="E830" s="107"/>
      <c r="F830" s="107"/>
      <c r="G830" s="17" t="s">
        <v>848</v>
      </c>
      <c r="Z830" s="155"/>
      <c r="AA830" s="155"/>
      <c r="AB830" s="155"/>
      <c r="AC830" s="155"/>
      <c r="AD830" s="155"/>
      <c r="AE830" s="155"/>
      <c r="AF830" s="155"/>
      <c r="AG830" s="155"/>
      <c r="AH830" s="155"/>
      <c r="AI830" s="155"/>
      <c r="AJ830" s="155"/>
      <c r="AK830" s="155"/>
      <c r="AL830" s="155"/>
      <c r="AM830" s="155"/>
      <c r="AN830" s="155"/>
      <c r="AO830" s="155"/>
      <c r="AP830" s="155"/>
      <c r="AQ830" s="155"/>
      <c r="AR830" s="155"/>
      <c r="AS830" s="155"/>
    </row>
    <row r="831" spans="1:45" ht="12.6" customHeight="1" x14ac:dyDescent="0.3">
      <c r="A831" s="84"/>
      <c r="B831" s="41" t="str">
        <f>"n =q1 / ("&amp;AB831&amp;" * k) = "&amp;AG831&amp;"  회 "</f>
        <v xml:space="preserve">n =q1 / (1.34 * k) = 3.24  회 </v>
      </c>
      <c r="C831" s="107"/>
      <c r="D831" s="107"/>
      <c r="E831" s="107"/>
      <c r="F831" s="107"/>
      <c r="G831" s="17" t="s">
        <v>1197</v>
      </c>
      <c r="Z831" s="158" t="str">
        <f>AG829</f>
        <v>3.04</v>
      </c>
      <c r="AA831" s="34" t="s">
        <v>990</v>
      </c>
      <c r="AB831" s="156">
        <v>1.34</v>
      </c>
      <c r="AC831" s="34" t="s">
        <v>876</v>
      </c>
      <c r="AD831" s="158">
        <f>AL811</f>
        <v>0.7</v>
      </c>
      <c r="AE831" s="34" t="s">
        <v>991</v>
      </c>
      <c r="AF831" s="34" t="s">
        <v>871</v>
      </c>
      <c r="AG831" s="158" t="str">
        <f>TEXT(ROUND(AG829/(AB831*AL811),2),"#,0.00")</f>
        <v>3.24</v>
      </c>
      <c r="AH831" s="155"/>
      <c r="AI831" s="155"/>
      <c r="AJ831" s="155"/>
      <c r="AK831" s="155"/>
      <c r="AL831" s="155"/>
      <c r="AM831" s="155"/>
      <c r="AN831" s="155"/>
      <c r="AO831" s="155"/>
      <c r="AP831" s="155"/>
      <c r="AQ831" s="155"/>
      <c r="AR831" s="155"/>
      <c r="AS831" s="155"/>
    </row>
    <row r="832" spans="1:45" ht="12.6" customHeight="1" x14ac:dyDescent="0.3">
      <c r="A832" s="107"/>
      <c r="B832" s="107"/>
      <c r="C832" s="107"/>
      <c r="D832" s="107"/>
      <c r="E832" s="107"/>
      <c r="F832" s="107"/>
      <c r="G832" s="17" t="s">
        <v>848</v>
      </c>
      <c r="Z832" s="155"/>
      <c r="AA832" s="155"/>
      <c r="AB832" s="155"/>
      <c r="AC832" s="155"/>
      <c r="AD832" s="155"/>
      <c r="AE832" s="155"/>
      <c r="AF832" s="155"/>
      <c r="AG832" s="155"/>
      <c r="AH832" s="155"/>
      <c r="AI832" s="155"/>
      <c r="AJ832" s="155"/>
      <c r="AK832" s="155"/>
      <c r="AL832" s="155"/>
      <c r="AM832" s="155"/>
      <c r="AN832" s="155"/>
      <c r="AO832" s="155"/>
      <c r="AP832" s="155"/>
      <c r="AQ832" s="155"/>
      <c r="AR832" s="155"/>
      <c r="AS832" s="155"/>
    </row>
    <row r="833" spans="1:45" ht="12.6" customHeight="1" x14ac:dyDescent="0.3">
      <c r="A833" s="84"/>
      <c r="B833" s="41" t="str">
        <f>"t1 = Cm1 * n / ("&amp;AD833&amp;" * "&amp;AF833&amp;") = "&amp;AI833&amp;" 분 "</f>
        <v xml:space="preserve">t1 = Cm1 * n / (60 * 0.7) = 1.39 분 </v>
      </c>
      <c r="C833" s="107"/>
      <c r="D833" s="107"/>
      <c r="E833" s="107"/>
      <c r="F833" s="107"/>
      <c r="G833" s="17" t="s">
        <v>1180</v>
      </c>
      <c r="Z833" s="158">
        <f>AB813</f>
        <v>18</v>
      </c>
      <c r="AA833" s="34" t="s">
        <v>876</v>
      </c>
      <c r="AB833" s="158" t="str">
        <f>AG831</f>
        <v>3.24</v>
      </c>
      <c r="AC833" s="34" t="s">
        <v>990</v>
      </c>
      <c r="AD833" s="157">
        <v>60</v>
      </c>
      <c r="AE833" s="34" t="s">
        <v>876</v>
      </c>
      <c r="AF833" s="156">
        <v>0.7</v>
      </c>
      <c r="AG833" s="34" t="s">
        <v>991</v>
      </c>
      <c r="AH833" s="34" t="s">
        <v>871</v>
      </c>
      <c r="AI833" s="158" t="str">
        <f>TEXT(ROUND(AB813*AG831/(AD833*AF833),2),"#,0.00")</f>
        <v>1.39</v>
      </c>
      <c r="AJ833" s="155"/>
      <c r="AK833" s="155"/>
      <c r="AL833" s="155"/>
      <c r="AM833" s="155"/>
      <c r="AN833" s="155"/>
      <c r="AO833" s="155"/>
      <c r="AP833" s="155"/>
      <c r="AQ833" s="155"/>
      <c r="AR833" s="155"/>
      <c r="AS833" s="155"/>
    </row>
    <row r="834" spans="1:45" ht="12.6" customHeight="1" x14ac:dyDescent="0.3">
      <c r="A834" s="107"/>
      <c r="B834" s="107"/>
      <c r="C834" s="107"/>
      <c r="D834" s="107"/>
      <c r="E834" s="107"/>
      <c r="F834" s="107"/>
      <c r="G834" s="17" t="s">
        <v>848</v>
      </c>
      <c r="Z834" s="155"/>
      <c r="AA834" s="155"/>
      <c r="AB834" s="155"/>
      <c r="AC834" s="155"/>
      <c r="AD834" s="155"/>
      <c r="AE834" s="155"/>
      <c r="AF834" s="155"/>
      <c r="AG834" s="155"/>
      <c r="AH834" s="155"/>
      <c r="AI834" s="155"/>
      <c r="AJ834" s="155"/>
      <c r="AK834" s="155"/>
      <c r="AL834" s="155"/>
      <c r="AM834" s="155"/>
      <c r="AN834" s="155"/>
      <c r="AO834" s="155"/>
      <c r="AP834" s="155"/>
      <c r="AQ834" s="155"/>
      <c r="AR834" s="155"/>
      <c r="AS834" s="155"/>
    </row>
    <row r="835" spans="1:45" ht="12.6" customHeight="1" x14ac:dyDescent="0.3">
      <c r="A835" s="84"/>
      <c r="B835" s="41" t="str">
        <f>"t2 =(L/"&amp;AC835&amp;"+L/"&amp;AG835&amp;")* "&amp;AI835&amp;" = "&amp;AK835&amp;" 분 "</f>
        <v xml:space="preserve">t2 =(L/7+L/8)* 60 = 1.61 분 </v>
      </c>
      <c r="C835" s="107"/>
      <c r="D835" s="107"/>
      <c r="E835" s="107"/>
      <c r="F835" s="107"/>
      <c r="G835" s="17" t="s">
        <v>1181</v>
      </c>
      <c r="Z835" s="34" t="s">
        <v>998</v>
      </c>
      <c r="AA835" s="158">
        <f>AB827</f>
        <v>0.1</v>
      </c>
      <c r="AB835" s="34" t="s">
        <v>873</v>
      </c>
      <c r="AC835" s="157">
        <v>7</v>
      </c>
      <c r="AD835" s="34" t="s">
        <v>999</v>
      </c>
      <c r="AE835" s="158">
        <f>AB827</f>
        <v>0.1</v>
      </c>
      <c r="AF835" s="34" t="s">
        <v>873</v>
      </c>
      <c r="AG835" s="157">
        <v>8</v>
      </c>
      <c r="AH835" s="34" t="s">
        <v>1000</v>
      </c>
      <c r="AI835" s="157">
        <v>60</v>
      </c>
      <c r="AJ835" s="34" t="s">
        <v>871</v>
      </c>
      <c r="AK835" s="158" t="str">
        <f>TEXT(ROUND((AB827/AC835+AB827/AG835)*AI835,2),"#,0.00")</f>
        <v>1.61</v>
      </c>
      <c r="AL835" s="155"/>
      <c r="AM835" s="155"/>
      <c r="AN835" s="155"/>
      <c r="AO835" s="155"/>
      <c r="AP835" s="155"/>
      <c r="AQ835" s="155"/>
      <c r="AR835" s="155"/>
      <c r="AS835" s="155"/>
    </row>
    <row r="836" spans="1:45" ht="12.6" customHeight="1" x14ac:dyDescent="0.3">
      <c r="A836" s="107"/>
      <c r="B836" s="107"/>
      <c r="C836" s="107"/>
      <c r="D836" s="107"/>
      <c r="E836" s="107"/>
      <c r="F836" s="107"/>
      <c r="G836" s="17" t="s">
        <v>848</v>
      </c>
      <c r="Z836" s="155"/>
      <c r="AA836" s="155"/>
      <c r="AB836" s="155"/>
      <c r="AC836" s="155"/>
      <c r="AD836" s="155"/>
      <c r="AE836" s="155"/>
      <c r="AF836" s="155"/>
      <c r="AG836" s="155"/>
      <c r="AH836" s="155"/>
      <c r="AI836" s="155"/>
      <c r="AJ836" s="155"/>
      <c r="AK836" s="155"/>
      <c r="AL836" s="155"/>
      <c r="AM836" s="155"/>
      <c r="AN836" s="155"/>
      <c r="AO836" s="155"/>
      <c r="AP836" s="155"/>
      <c r="AQ836" s="155"/>
      <c r="AR836" s="155"/>
      <c r="AS836" s="155"/>
    </row>
    <row r="837" spans="1:45" ht="12.6" customHeight="1" x14ac:dyDescent="0.3">
      <c r="A837" s="84"/>
      <c r="B837" s="41" t="str">
        <f>"t3 = "&amp;Z837&amp;" 분 , t4 = "&amp;AD837&amp;" 분 "</f>
        <v xml:space="preserve">t3 = 1.1 분 , t4 = 0.7 분 </v>
      </c>
      <c r="C837" s="107"/>
      <c r="D837" s="107"/>
      <c r="E837" s="107"/>
      <c r="F837" s="107"/>
      <c r="G837" s="17" t="s">
        <v>1036</v>
      </c>
      <c r="Z837" s="156">
        <v>1.1000000000000001</v>
      </c>
      <c r="AA837" s="34" t="s">
        <v>871</v>
      </c>
      <c r="AB837" s="158">
        <f>Z837</f>
        <v>1.1000000000000001</v>
      </c>
      <c r="AC837" s="159" t="s">
        <v>872</v>
      </c>
      <c r="AD837" s="156">
        <v>0.7</v>
      </c>
      <c r="AE837" s="34" t="s">
        <v>871</v>
      </c>
      <c r="AF837" s="158">
        <f>AD837</f>
        <v>0.7</v>
      </c>
      <c r="AG837" s="155"/>
      <c r="AH837" s="155"/>
      <c r="AI837" s="155"/>
      <c r="AJ837" s="155"/>
      <c r="AK837" s="155"/>
      <c r="AL837" s="155"/>
      <c r="AM837" s="155"/>
      <c r="AN837" s="155"/>
      <c r="AO837" s="155"/>
      <c r="AP837" s="155"/>
      <c r="AQ837" s="155"/>
      <c r="AR837" s="155"/>
      <c r="AS837" s="155"/>
    </row>
    <row r="838" spans="1:45" ht="12.6" customHeight="1" x14ac:dyDescent="0.3">
      <c r="A838" s="107"/>
      <c r="B838" s="107"/>
      <c r="C838" s="107"/>
      <c r="D838" s="107"/>
      <c r="E838" s="107"/>
      <c r="F838" s="107"/>
      <c r="G838" s="17" t="s">
        <v>848</v>
      </c>
      <c r="Z838" s="155"/>
      <c r="AA838" s="155"/>
      <c r="AB838" s="155"/>
      <c r="AC838" s="155"/>
      <c r="AD838" s="155"/>
      <c r="AE838" s="155"/>
      <c r="AF838" s="155"/>
      <c r="AG838" s="155"/>
      <c r="AH838" s="155"/>
      <c r="AI838" s="155"/>
      <c r="AJ838" s="155"/>
      <c r="AK838" s="155"/>
      <c r="AL838" s="155"/>
      <c r="AM838" s="155"/>
      <c r="AN838" s="155"/>
      <c r="AO838" s="155"/>
      <c r="AP838" s="155"/>
      <c r="AQ838" s="155"/>
      <c r="AR838" s="155"/>
      <c r="AS838" s="155"/>
    </row>
    <row r="839" spans="1:45" ht="12.6" customHeight="1" x14ac:dyDescent="0.3">
      <c r="A839" s="84"/>
      <c r="B839" s="41" t="str">
        <f>"Cm = t1 + t2 + t3 + t4 = "&amp;AH839&amp;" 분 "</f>
        <v xml:space="preserve">Cm = t1 + t2 + t3 + t4 = 4.80 분 </v>
      </c>
      <c r="C839" s="107"/>
      <c r="D839" s="107"/>
      <c r="E839" s="107"/>
      <c r="F839" s="107"/>
      <c r="G839" s="17" t="s">
        <v>1037</v>
      </c>
      <c r="Z839" s="158" t="str">
        <f>AI833</f>
        <v>1.39</v>
      </c>
      <c r="AA839" s="34" t="s">
        <v>999</v>
      </c>
      <c r="AB839" s="158" t="str">
        <f>AK835</f>
        <v>1.61</v>
      </c>
      <c r="AC839" s="34" t="s">
        <v>999</v>
      </c>
      <c r="AD839" s="158">
        <f>AB837</f>
        <v>1.1000000000000001</v>
      </c>
      <c r="AE839" s="34" t="s">
        <v>999</v>
      </c>
      <c r="AF839" s="158">
        <f>AF837</f>
        <v>0.7</v>
      </c>
      <c r="AG839" s="34" t="s">
        <v>871</v>
      </c>
      <c r="AH839" s="158" t="str">
        <f>TEXT(ROUND(AI833+AK835+AB837+AF837,2),"#,0.00")</f>
        <v>4.80</v>
      </c>
      <c r="AI839" s="155"/>
      <c r="AJ839" s="155"/>
      <c r="AK839" s="155"/>
      <c r="AL839" s="155"/>
      <c r="AM839" s="155"/>
      <c r="AN839" s="155"/>
      <c r="AO839" s="155"/>
      <c r="AP839" s="155"/>
      <c r="AQ839" s="155"/>
      <c r="AR839" s="155"/>
      <c r="AS839" s="155"/>
    </row>
    <row r="840" spans="1:45" ht="12.6" customHeight="1" x14ac:dyDescent="0.3">
      <c r="A840" s="107"/>
      <c r="B840" s="107"/>
      <c r="C840" s="107"/>
      <c r="D840" s="107"/>
      <c r="E840" s="107"/>
      <c r="F840" s="107"/>
      <c r="G840" s="17" t="s">
        <v>848</v>
      </c>
      <c r="Z840" s="155"/>
      <c r="AA840" s="155"/>
      <c r="AB840" s="155"/>
      <c r="AC840" s="155"/>
      <c r="AD840" s="155"/>
      <c r="AE840" s="155"/>
      <c r="AF840" s="155"/>
      <c r="AG840" s="155"/>
      <c r="AH840" s="155"/>
      <c r="AI840" s="155"/>
      <c r="AJ840" s="155"/>
      <c r="AK840" s="155"/>
      <c r="AL840" s="155"/>
      <c r="AM840" s="155"/>
      <c r="AN840" s="155"/>
      <c r="AO840" s="155"/>
      <c r="AP840" s="155"/>
      <c r="AQ840" s="155"/>
      <c r="AR840" s="155"/>
      <c r="AS840" s="155"/>
    </row>
    <row r="841" spans="1:45" ht="12.6" customHeight="1" x14ac:dyDescent="0.3">
      <c r="A841" s="84"/>
      <c r="B841" s="41" t="str">
        <f>"Q1 = "&amp;Z841&amp;" * q1 * f * E / Cm = "&amp;AJ841&amp;" m3/hr "</f>
        <v xml:space="preserve">Q1 = 60 * q1 * f * E / Cm = 29.75 m3/hr </v>
      </c>
      <c r="C841" s="107"/>
      <c r="D841" s="107"/>
      <c r="E841" s="107"/>
      <c r="F841" s="107"/>
      <c r="G841" s="17" t="s">
        <v>1182</v>
      </c>
      <c r="Z841" s="157">
        <v>60</v>
      </c>
      <c r="AA841" s="34" t="s">
        <v>876</v>
      </c>
      <c r="AB841" s="158" t="str">
        <f>AG829</f>
        <v>3.04</v>
      </c>
      <c r="AC841" s="34" t="s">
        <v>876</v>
      </c>
      <c r="AD841" s="158" t="str">
        <f>AL827</f>
        <v>0.87</v>
      </c>
      <c r="AE841" s="34" t="s">
        <v>876</v>
      </c>
      <c r="AF841" s="158">
        <f>AF827</f>
        <v>0.9</v>
      </c>
      <c r="AG841" s="34" t="s">
        <v>873</v>
      </c>
      <c r="AH841" s="158" t="str">
        <f>AH839</f>
        <v>4.80</v>
      </c>
      <c r="AI841" s="34" t="s">
        <v>871</v>
      </c>
      <c r="AJ841" s="158" t="str">
        <f>TEXT(ROUND(Z841*AG829*AL827*AF827/AH839,2),"#,0.00")</f>
        <v>29.75</v>
      </c>
      <c r="AK841" s="155"/>
      <c r="AL841" s="155"/>
      <c r="AM841" s="155"/>
      <c r="AN841" s="155"/>
      <c r="AO841" s="155"/>
      <c r="AP841" s="155"/>
      <c r="AQ841" s="155"/>
      <c r="AR841" s="155"/>
      <c r="AS841" s="155"/>
    </row>
    <row r="842" spans="1:45" ht="12.6" customHeight="1" x14ac:dyDescent="0.3">
      <c r="A842" s="107"/>
      <c r="B842" s="107"/>
      <c r="C842" s="107"/>
      <c r="D842" s="107"/>
      <c r="E842" s="107"/>
      <c r="F842" s="107"/>
      <c r="G842" s="17" t="s">
        <v>848</v>
      </c>
      <c r="Z842" s="155"/>
      <c r="AA842" s="155"/>
      <c r="AB842" s="155"/>
      <c r="AC842" s="155"/>
      <c r="AD842" s="155"/>
      <c r="AE842" s="155"/>
      <c r="AF842" s="155"/>
      <c r="AG842" s="155"/>
      <c r="AH842" s="155"/>
      <c r="AI842" s="155"/>
      <c r="AJ842" s="155"/>
      <c r="AK842" s="155"/>
      <c r="AL842" s="155"/>
      <c r="AM842" s="155"/>
      <c r="AN842" s="155"/>
      <c r="AO842" s="155"/>
      <c r="AP842" s="155"/>
      <c r="AQ842" s="155"/>
      <c r="AR842" s="155"/>
      <c r="AS842" s="155"/>
    </row>
    <row r="843" spans="1:45" ht="12.6" customHeight="1" x14ac:dyDescent="0.3">
      <c r="A843" s="84" t="s">
        <v>1184</v>
      </c>
      <c r="B843" s="146" t="str">
        <f>" 노 무 비  :   "&amp;TEXT(I843,"#,##0"&amp;IF(I843&lt;&gt;INT(I843),".###",""))&amp;" / Q1 = "&amp;TEXT(C843,"#,##0.0")&amp;""</f>
        <v xml:space="preserve"> 노 무 비  :   49,479 / Q1 = 1,663.1</v>
      </c>
      <c r="C843" s="148">
        <f>E843+D843+F843</f>
        <v>1663.1</v>
      </c>
      <c r="D843" s="148">
        <f>IF(H843=0,0,ROUNDDOWN(J843*H843,1))</f>
        <v>1663.1</v>
      </c>
      <c r="E843" s="148">
        <f>IF(H843=0,0,ROUNDDOWN(K843*H843,1))</f>
        <v>0</v>
      </c>
      <c r="F843" s="148">
        <f>IF(H843=0,0,ROUNDDOWN(L843*H843,1))</f>
        <v>0</v>
      </c>
      <c r="G843" s="17" t="s">
        <v>1183</v>
      </c>
      <c r="H843" s="152">
        <f>ROUNDUP(AC843,14-LEN(ABS(INT(AC843))))</f>
        <v>3.3613445378200005E-2</v>
      </c>
      <c r="I843" s="153">
        <f>K843+J843+L843</f>
        <v>49479</v>
      </c>
      <c r="J843" s="37">
        <f>중기목록표!F8</f>
        <v>49479</v>
      </c>
      <c r="M843" s="34" t="s">
        <v>1185</v>
      </c>
      <c r="N843" s="34" t="s">
        <v>886</v>
      </c>
      <c r="X843" s="154" t="str">
        <f>중기목록표!B8&amp;" / "&amp;중기목록표!C8</f>
        <v>덤프트럭 / 4.5톤</v>
      </c>
      <c r="Y843" s="3" t="str">
        <f ca="1">HYPERLINK("#"&amp;중기목록표!J2&amp;"!A"&amp;ROW(중기목록표!A8),"X00024 →")</f>
        <v>X00024 →</v>
      </c>
      <c r="Z843" s="34" t="s">
        <v>879</v>
      </c>
      <c r="AA843" s="158" t="str">
        <f>AJ841</f>
        <v>29.75</v>
      </c>
      <c r="AB843" s="34" t="s">
        <v>871</v>
      </c>
      <c r="AC843" s="158">
        <f>1/AJ841</f>
        <v>3.3613445378151259E-2</v>
      </c>
      <c r="AD843" s="155"/>
      <c r="AE843" s="155"/>
      <c r="AF843" s="155"/>
      <c r="AG843" s="155"/>
      <c r="AH843" s="155"/>
      <c r="AI843" s="155"/>
      <c r="AJ843" s="155"/>
      <c r="AK843" s="155"/>
      <c r="AL843" s="155"/>
      <c r="AM843" s="155"/>
      <c r="AN843" s="155"/>
      <c r="AO843" s="155"/>
      <c r="AP843" s="155"/>
      <c r="AQ843" s="155"/>
      <c r="AR843" s="155"/>
      <c r="AS843" s="155"/>
    </row>
    <row r="844" spans="1:45" ht="12.6" customHeight="1" x14ac:dyDescent="0.3">
      <c r="A844" s="107"/>
      <c r="B844" s="107"/>
      <c r="C844" s="107"/>
      <c r="D844" s="107"/>
      <c r="E844" s="107"/>
      <c r="F844" s="107"/>
      <c r="G844" s="17" t="s">
        <v>848</v>
      </c>
      <c r="Z844" s="155"/>
      <c r="AA844" s="155"/>
      <c r="AB844" s="155"/>
      <c r="AC844" s="155"/>
      <c r="AD844" s="155"/>
      <c r="AE844" s="155"/>
      <c r="AF844" s="155"/>
      <c r="AG844" s="155"/>
      <c r="AH844" s="155"/>
      <c r="AI844" s="155"/>
      <c r="AJ844" s="155"/>
      <c r="AK844" s="155"/>
      <c r="AL844" s="155"/>
      <c r="AM844" s="155"/>
      <c r="AN844" s="155"/>
      <c r="AO844" s="155"/>
      <c r="AP844" s="155"/>
      <c r="AQ844" s="155"/>
      <c r="AR844" s="155"/>
      <c r="AS844" s="155"/>
    </row>
    <row r="845" spans="1:45" ht="12.6" customHeight="1" x14ac:dyDescent="0.3">
      <c r="A845" s="84" t="s">
        <v>1187</v>
      </c>
      <c r="B845" s="146" t="str">
        <f>" 재 료 비  :   "&amp;TEXT(I845,"#,##0"&amp;IF(I845&lt;&gt;INT(I845),".###",""))&amp;" / Q1 = "&amp;TEXT(C845,"#,##0.0")&amp;""</f>
        <v xml:space="preserve"> 재 료 비  :   8,700 / Q1 = 292.4</v>
      </c>
      <c r="C845" s="148">
        <f>E845+D845+F845</f>
        <v>292.39999999999998</v>
      </c>
      <c r="D845" s="148">
        <f>IF(H845=0,0,ROUNDDOWN(J845*H845,1))</f>
        <v>0</v>
      </c>
      <c r="E845" s="148">
        <f>IF(H845=0,0,ROUNDDOWN(K845*H845,1))</f>
        <v>292.39999999999998</v>
      </c>
      <c r="F845" s="148">
        <f>IF(H845=0,0,ROUNDDOWN(L845*H845,1))</f>
        <v>0</v>
      </c>
      <c r="G845" s="17" t="s">
        <v>1186</v>
      </c>
      <c r="H845" s="152">
        <f>ROUNDUP(AC845,14-LEN(ABS(INT(AC845))))</f>
        <v>3.3613445378200005E-2</v>
      </c>
      <c r="I845" s="153">
        <f>K845+J845+L845</f>
        <v>8700</v>
      </c>
      <c r="K845" s="37">
        <f>중기목록표!G8</f>
        <v>8700</v>
      </c>
      <c r="M845" s="34" t="s">
        <v>1185</v>
      </c>
      <c r="N845" s="34" t="s">
        <v>886</v>
      </c>
      <c r="X845" s="154" t="str">
        <f>중기목록표!B8&amp;" / "&amp;중기목록표!C8</f>
        <v>덤프트럭 / 4.5톤</v>
      </c>
      <c r="Y845" s="3" t="str">
        <f ca="1">HYPERLINK("#"&amp;중기목록표!J2&amp;"!A"&amp;ROW(중기목록표!A8),"X00024 →")</f>
        <v>X00024 →</v>
      </c>
      <c r="Z845" s="34" t="s">
        <v>879</v>
      </c>
      <c r="AA845" s="158" t="str">
        <f>AJ841</f>
        <v>29.75</v>
      </c>
      <c r="AB845" s="34" t="s">
        <v>871</v>
      </c>
      <c r="AC845" s="158">
        <f>1/AJ841</f>
        <v>3.3613445378151259E-2</v>
      </c>
      <c r="AD845" s="155"/>
      <c r="AE845" s="155"/>
      <c r="AF845" s="155"/>
      <c r="AG845" s="155"/>
      <c r="AH845" s="155"/>
      <c r="AI845" s="155"/>
      <c r="AJ845" s="155"/>
      <c r="AK845" s="155"/>
      <c r="AL845" s="155"/>
      <c r="AM845" s="155"/>
      <c r="AN845" s="155"/>
      <c r="AO845" s="155"/>
      <c r="AP845" s="155"/>
      <c r="AQ845" s="155"/>
      <c r="AR845" s="155"/>
      <c r="AS845" s="155"/>
    </row>
    <row r="846" spans="1:45" ht="12.6" customHeight="1" x14ac:dyDescent="0.3">
      <c r="A846" s="107"/>
      <c r="B846" s="107"/>
      <c r="C846" s="107"/>
      <c r="D846" s="107"/>
      <c r="E846" s="107"/>
      <c r="F846" s="107"/>
      <c r="G846" s="17" t="s">
        <v>848</v>
      </c>
      <c r="Z846" s="155"/>
      <c r="AA846" s="155"/>
      <c r="AB846" s="155"/>
      <c r="AC846" s="155"/>
      <c r="AD846" s="155"/>
      <c r="AE846" s="155"/>
      <c r="AF846" s="155"/>
      <c r="AG846" s="155"/>
      <c r="AH846" s="155"/>
      <c r="AI846" s="155"/>
      <c r="AJ846" s="155"/>
      <c r="AK846" s="155"/>
      <c r="AL846" s="155"/>
      <c r="AM846" s="155"/>
      <c r="AN846" s="155"/>
      <c r="AO846" s="155"/>
      <c r="AP846" s="155"/>
      <c r="AQ846" s="155"/>
      <c r="AR846" s="155"/>
      <c r="AS846" s="155"/>
    </row>
    <row r="847" spans="1:45" ht="12.6" customHeight="1" x14ac:dyDescent="0.3">
      <c r="A847" s="84" t="s">
        <v>1189</v>
      </c>
      <c r="B847" s="146" t="str">
        <f>" 경    비  :   "&amp;TEXT(I847,"#,##0"&amp;IF(I847&lt;&gt;INT(I847),".###",""))&amp;" / Q1 = "&amp;TEXT(C847,"#,##0.0")&amp;""</f>
        <v xml:space="preserve"> 경    비  :   7,472 / Q1 = 251.1</v>
      </c>
      <c r="C847" s="148">
        <f>E847+D847+F847</f>
        <v>251.1</v>
      </c>
      <c r="D847" s="148">
        <f>IF(H847=0,0,ROUNDDOWN(J847*H847,1))</f>
        <v>0</v>
      </c>
      <c r="E847" s="148">
        <f>IF(H847=0,0,ROUNDDOWN(K847*H847,1))</f>
        <v>0</v>
      </c>
      <c r="F847" s="148">
        <f>IF(H847=0,0,ROUNDDOWN(L847*H847,1))</f>
        <v>251.1</v>
      </c>
      <c r="G847" s="17" t="s">
        <v>1188</v>
      </c>
      <c r="H847" s="152">
        <f>ROUNDUP(AC847,14-LEN(ABS(INT(AC847))))</f>
        <v>3.3613445378200005E-2</v>
      </c>
      <c r="I847" s="153">
        <f>K847+J847+L847</f>
        <v>7472</v>
      </c>
      <c r="L847" s="37">
        <f>중기목록표!H8</f>
        <v>7472</v>
      </c>
      <c r="M847" s="34" t="s">
        <v>1185</v>
      </c>
      <c r="N847" s="34" t="s">
        <v>886</v>
      </c>
      <c r="X847" s="154" t="str">
        <f>중기목록표!B8&amp;" / "&amp;중기목록표!C8</f>
        <v>덤프트럭 / 4.5톤</v>
      </c>
      <c r="Y847" s="3" t="str">
        <f ca="1">HYPERLINK("#"&amp;중기목록표!J2&amp;"!A"&amp;ROW(중기목록표!A8),"X00024 →")</f>
        <v>X00024 →</v>
      </c>
      <c r="Z847" s="34" t="s">
        <v>879</v>
      </c>
      <c r="AA847" s="158" t="str">
        <f>AJ841</f>
        <v>29.75</v>
      </c>
      <c r="AB847" s="34" t="s">
        <v>871</v>
      </c>
      <c r="AC847" s="158">
        <f>1/AJ841</f>
        <v>3.3613445378151259E-2</v>
      </c>
      <c r="AD847" s="155"/>
      <c r="AE847" s="155"/>
      <c r="AF847" s="155"/>
      <c r="AG847" s="155"/>
      <c r="AH847" s="155"/>
      <c r="AI847" s="155"/>
      <c r="AJ847" s="155"/>
      <c r="AK847" s="155"/>
      <c r="AL847" s="155"/>
      <c r="AM847" s="155"/>
      <c r="AN847" s="155"/>
      <c r="AO847" s="155"/>
      <c r="AP847" s="155"/>
      <c r="AQ847" s="155"/>
      <c r="AR847" s="155"/>
      <c r="AS847" s="155"/>
    </row>
    <row r="848" spans="1:45" ht="12.6" customHeight="1" x14ac:dyDescent="0.3">
      <c r="A848" s="107"/>
      <c r="B848" s="107"/>
      <c r="C848" s="107"/>
      <c r="D848" s="107"/>
      <c r="E848" s="107"/>
      <c r="F848" s="107"/>
      <c r="G848" s="17" t="s">
        <v>848</v>
      </c>
      <c r="Z848" s="155"/>
      <c r="AA848" s="155"/>
      <c r="AB848" s="155"/>
      <c r="AC848" s="155"/>
      <c r="AD848" s="155"/>
      <c r="AE848" s="155"/>
      <c r="AF848" s="155"/>
      <c r="AG848" s="155"/>
      <c r="AH848" s="155"/>
      <c r="AI848" s="155"/>
      <c r="AJ848" s="155"/>
      <c r="AK848" s="155"/>
      <c r="AL848" s="155"/>
      <c r="AM848" s="155"/>
      <c r="AN848" s="155"/>
      <c r="AO848" s="155"/>
      <c r="AP848" s="155"/>
      <c r="AQ848" s="155"/>
      <c r="AR848" s="155"/>
      <c r="AS848" s="155"/>
    </row>
    <row r="849" spans="1:45" ht="12.6" customHeight="1" x14ac:dyDescent="0.3">
      <c r="A849" s="84"/>
      <c r="B849" s="41" t="s">
        <v>885</v>
      </c>
      <c r="C849" s="149">
        <f>E849+D849+F849</f>
        <v>2206.6</v>
      </c>
      <c r="D849" s="149">
        <f>SUMIF(N824:N848,M849,D824:D848)</f>
        <v>1663.1</v>
      </c>
      <c r="E849" s="149">
        <f>SUMIF(N824:N848,M849,E824:E848)</f>
        <v>292.39999999999998</v>
      </c>
      <c r="F849" s="149">
        <f>SUMIF(N824:N848,M849,F824:F848)</f>
        <v>251.1</v>
      </c>
      <c r="G849" s="17" t="s">
        <v>884</v>
      </c>
      <c r="M849" s="34" t="s">
        <v>886</v>
      </c>
      <c r="N849" s="34" t="s">
        <v>891</v>
      </c>
      <c r="Z849" s="155"/>
      <c r="AA849" s="155"/>
      <c r="AB849" s="155"/>
      <c r="AC849" s="155"/>
      <c r="AD849" s="155"/>
      <c r="AE849" s="155"/>
      <c r="AF849" s="155"/>
      <c r="AG849" s="155"/>
      <c r="AH849" s="155"/>
      <c r="AI849" s="155"/>
      <c r="AJ849" s="155"/>
      <c r="AK849" s="155"/>
      <c r="AL849" s="155"/>
      <c r="AM849" s="155"/>
      <c r="AN849" s="155"/>
      <c r="AO849" s="155"/>
      <c r="AP849" s="155"/>
      <c r="AQ849" s="155"/>
      <c r="AR849" s="155"/>
      <c r="AS849" s="155"/>
    </row>
    <row r="850" spans="1:45" ht="12.6" customHeight="1" x14ac:dyDescent="0.3">
      <c r="A850" s="107"/>
      <c r="B850" s="107"/>
      <c r="C850" s="147"/>
      <c r="D850" s="147"/>
      <c r="E850" s="147"/>
      <c r="F850" s="147"/>
      <c r="G850" s="17" t="s">
        <v>848</v>
      </c>
      <c r="Z850" s="155"/>
      <c r="AA850" s="155"/>
      <c r="AB850" s="155"/>
      <c r="AC850" s="155"/>
      <c r="AD850" s="155"/>
      <c r="AE850" s="155"/>
      <c r="AF850" s="155"/>
      <c r="AG850" s="155"/>
      <c r="AH850" s="155"/>
      <c r="AI850" s="155"/>
      <c r="AJ850" s="155"/>
      <c r="AK850" s="155"/>
      <c r="AL850" s="155"/>
      <c r="AM850" s="155"/>
      <c r="AN850" s="155"/>
      <c r="AO850" s="155"/>
      <c r="AP850" s="155"/>
      <c r="AQ850" s="155"/>
      <c r="AR850" s="155"/>
      <c r="AS850" s="155"/>
    </row>
    <row r="851" spans="1:45" ht="12.6" customHeight="1" x14ac:dyDescent="0.3">
      <c r="A851" s="84"/>
      <c r="B851" s="41" t="s">
        <v>769</v>
      </c>
      <c r="C851" s="149">
        <f>E851+D851+F851</f>
        <v>3991.2999999999997</v>
      </c>
      <c r="D851" s="149">
        <f>SUMIF(N803:N850,M851,D803:D850)</f>
        <v>2692.8999999999996</v>
      </c>
      <c r="E851" s="149">
        <f>SUMIF(N803:N850,M851,E803:E850)</f>
        <v>614.29999999999995</v>
      </c>
      <c r="F851" s="149">
        <f>SUMIF(N803:N850,M851,F803:F850)</f>
        <v>684.1</v>
      </c>
      <c r="G851" s="17" t="s">
        <v>890</v>
      </c>
      <c r="M851" s="34" t="s">
        <v>891</v>
      </c>
      <c r="N851" s="34" t="s">
        <v>768</v>
      </c>
      <c r="Z851" s="155"/>
      <c r="AA851" s="155"/>
      <c r="AB851" s="155"/>
      <c r="AC851" s="155"/>
      <c r="AD851" s="155"/>
      <c r="AE851" s="155"/>
      <c r="AF851" s="155"/>
      <c r="AG851" s="155"/>
      <c r="AH851" s="155"/>
      <c r="AI851" s="155"/>
      <c r="AJ851" s="155"/>
      <c r="AK851" s="155"/>
      <c r="AL851" s="155"/>
      <c r="AM851" s="155"/>
      <c r="AN851" s="155"/>
      <c r="AO851" s="155"/>
      <c r="AP851" s="155"/>
      <c r="AQ851" s="155"/>
      <c r="AR851" s="155"/>
      <c r="AS851" s="155"/>
    </row>
    <row r="852" spans="1:45" ht="12.6" customHeight="1" x14ac:dyDescent="0.3">
      <c r="A852" s="107"/>
      <c r="B852" s="107"/>
      <c r="C852" s="147"/>
      <c r="D852" s="147"/>
      <c r="E852" s="147"/>
      <c r="F852" s="147"/>
      <c r="Z852" s="155"/>
      <c r="AA852" s="155"/>
      <c r="AB852" s="155"/>
      <c r="AC852" s="155"/>
      <c r="AD852" s="155"/>
      <c r="AE852" s="155"/>
      <c r="AF852" s="155"/>
      <c r="AG852" s="155"/>
      <c r="AH852" s="155"/>
      <c r="AI852" s="155"/>
      <c r="AJ852" s="155"/>
      <c r="AK852" s="155"/>
      <c r="AL852" s="155"/>
      <c r="AM852" s="155"/>
      <c r="AN852" s="155"/>
      <c r="AO852" s="155"/>
      <c r="AP852" s="155"/>
      <c r="AQ852" s="155"/>
      <c r="AR852" s="155"/>
      <c r="AS852" s="155"/>
    </row>
    <row r="853" spans="1:45" ht="12.6" customHeight="1" x14ac:dyDescent="0.3">
      <c r="A853" s="107"/>
      <c r="B853" s="107"/>
      <c r="C853" s="107"/>
      <c r="D853" s="107"/>
      <c r="E853" s="107"/>
      <c r="F853" s="107"/>
      <c r="Z853" s="155"/>
      <c r="AA853" s="155"/>
      <c r="AB853" s="155"/>
      <c r="AC853" s="155"/>
      <c r="AD853" s="155"/>
      <c r="AE853" s="155"/>
      <c r="AF853" s="155"/>
      <c r="AG853" s="155"/>
      <c r="AH853" s="155"/>
      <c r="AI853" s="155"/>
      <c r="AJ853" s="155"/>
      <c r="AK853" s="155"/>
      <c r="AL853" s="155"/>
      <c r="AM853" s="155"/>
      <c r="AN853" s="155"/>
      <c r="AO853" s="155"/>
      <c r="AP853" s="155"/>
      <c r="AQ853" s="155"/>
      <c r="AR853" s="155"/>
      <c r="AS853" s="155"/>
    </row>
    <row r="854" spans="1:45" ht="12.6" customHeight="1" x14ac:dyDescent="0.3">
      <c r="A854" s="107"/>
      <c r="B854" s="107"/>
      <c r="C854" s="107"/>
      <c r="D854" s="107"/>
      <c r="E854" s="107"/>
      <c r="F854" s="107"/>
      <c r="Z854" s="155"/>
      <c r="AA854" s="155"/>
      <c r="AB854" s="155"/>
      <c r="AC854" s="155"/>
      <c r="AD854" s="155"/>
      <c r="AE854" s="155"/>
      <c r="AF854" s="155"/>
      <c r="AG854" s="155"/>
      <c r="AH854" s="155"/>
      <c r="AI854" s="155"/>
      <c r="AJ854" s="155"/>
      <c r="AK854" s="155"/>
      <c r="AL854" s="155"/>
      <c r="AM854" s="155"/>
      <c r="AN854" s="155"/>
      <c r="AO854" s="155"/>
      <c r="AP854" s="155"/>
      <c r="AQ854" s="155"/>
      <c r="AR854" s="155"/>
      <c r="AS854" s="155"/>
    </row>
    <row r="855" spans="1:45" ht="12.6" customHeight="1" x14ac:dyDescent="0.3">
      <c r="A855" s="107"/>
      <c r="B855" s="107"/>
      <c r="C855" s="107"/>
      <c r="D855" s="107"/>
      <c r="E855" s="107"/>
      <c r="F855" s="107"/>
      <c r="Z855" s="155"/>
      <c r="AA855" s="155"/>
      <c r="AB855" s="155"/>
      <c r="AC855" s="155"/>
      <c r="AD855" s="155"/>
      <c r="AE855" s="155"/>
      <c r="AF855" s="155"/>
      <c r="AG855" s="155"/>
      <c r="AH855" s="155"/>
      <c r="AI855" s="155"/>
      <c r="AJ855" s="155"/>
      <c r="AK855" s="155"/>
      <c r="AL855" s="155"/>
      <c r="AM855" s="155"/>
      <c r="AN855" s="155"/>
      <c r="AO855" s="155"/>
      <c r="AP855" s="155"/>
      <c r="AQ855" s="155"/>
      <c r="AR855" s="155"/>
      <c r="AS855" s="155"/>
    </row>
    <row r="856" spans="1:45" ht="12.6" customHeight="1" x14ac:dyDescent="0.3">
      <c r="A856" s="107"/>
      <c r="B856" s="107"/>
      <c r="C856" s="107"/>
      <c r="D856" s="107"/>
      <c r="E856" s="107"/>
      <c r="F856" s="107"/>
      <c r="Z856" s="155"/>
      <c r="AA856" s="155"/>
      <c r="AB856" s="155"/>
      <c r="AC856" s="155"/>
      <c r="AD856" s="155"/>
      <c r="AE856" s="155"/>
      <c r="AF856" s="155"/>
      <c r="AG856" s="155"/>
      <c r="AH856" s="155"/>
      <c r="AI856" s="155"/>
      <c r="AJ856" s="155"/>
      <c r="AK856" s="155"/>
      <c r="AL856" s="155"/>
      <c r="AM856" s="155"/>
      <c r="AN856" s="155"/>
      <c r="AO856" s="155"/>
      <c r="AP856" s="155"/>
      <c r="AQ856" s="155"/>
      <c r="AR856" s="155"/>
      <c r="AS856" s="155"/>
    </row>
    <row r="857" spans="1:45" ht="12.6" customHeight="1" x14ac:dyDescent="0.3">
      <c r="A857" s="107"/>
      <c r="B857" s="107"/>
      <c r="C857" s="107"/>
      <c r="D857" s="107"/>
      <c r="E857" s="107"/>
      <c r="F857" s="107"/>
      <c r="Z857" s="155"/>
      <c r="AA857" s="155"/>
      <c r="AB857" s="155"/>
      <c r="AC857" s="155"/>
      <c r="AD857" s="155"/>
      <c r="AE857" s="155"/>
      <c r="AF857" s="155"/>
      <c r="AG857" s="155"/>
      <c r="AH857" s="155"/>
      <c r="AI857" s="155"/>
      <c r="AJ857" s="155"/>
      <c r="AK857" s="155"/>
      <c r="AL857" s="155"/>
      <c r="AM857" s="155"/>
      <c r="AN857" s="155"/>
      <c r="AO857" s="155"/>
      <c r="AP857" s="155"/>
      <c r="AQ857" s="155"/>
      <c r="AR857" s="155"/>
      <c r="AS857" s="155"/>
    </row>
    <row r="858" spans="1:45" ht="12.6" customHeight="1" x14ac:dyDescent="0.3">
      <c r="A858" s="107"/>
      <c r="B858" s="107"/>
      <c r="C858" s="107"/>
      <c r="D858" s="107"/>
      <c r="E858" s="107"/>
      <c r="F858" s="107"/>
      <c r="Z858" s="155"/>
      <c r="AA858" s="155"/>
      <c r="AB858" s="155"/>
      <c r="AC858" s="155"/>
      <c r="AD858" s="155"/>
      <c r="AE858" s="155"/>
      <c r="AF858" s="155"/>
      <c r="AG858" s="155"/>
      <c r="AH858" s="155"/>
      <c r="AI858" s="155"/>
      <c r="AJ858" s="155"/>
      <c r="AK858" s="155"/>
      <c r="AL858" s="155"/>
      <c r="AM858" s="155"/>
      <c r="AN858" s="155"/>
      <c r="AO858" s="155"/>
      <c r="AP858" s="155"/>
      <c r="AQ858" s="155"/>
      <c r="AR858" s="155"/>
      <c r="AS858" s="155"/>
    </row>
    <row r="859" spans="1:45" ht="12.6" customHeight="1" x14ac:dyDescent="0.3">
      <c r="A859" s="107"/>
      <c r="B859" s="107"/>
      <c r="C859" s="107"/>
      <c r="D859" s="107"/>
      <c r="E859" s="107"/>
      <c r="F859" s="107"/>
      <c r="Z859" s="155"/>
      <c r="AA859" s="155"/>
      <c r="AB859" s="155"/>
      <c r="AC859" s="155"/>
      <c r="AD859" s="155"/>
      <c r="AE859" s="155"/>
      <c r="AF859" s="155"/>
      <c r="AG859" s="155"/>
      <c r="AH859" s="155"/>
      <c r="AI859" s="155"/>
      <c r="AJ859" s="155"/>
      <c r="AK859" s="155"/>
      <c r="AL859" s="155"/>
      <c r="AM859" s="155"/>
      <c r="AN859" s="155"/>
      <c r="AO859" s="155"/>
      <c r="AP859" s="155"/>
      <c r="AQ859" s="155"/>
      <c r="AR859" s="155"/>
      <c r="AS859" s="155"/>
    </row>
    <row r="860" spans="1:45" ht="12.6" customHeight="1" x14ac:dyDescent="0.3">
      <c r="A860" s="107"/>
      <c r="B860" s="107"/>
      <c r="C860" s="107"/>
      <c r="D860" s="107"/>
      <c r="E860" s="107"/>
      <c r="F860" s="107"/>
      <c r="Z860" s="155"/>
      <c r="AA860" s="155"/>
      <c r="AB860" s="155"/>
      <c r="AC860" s="155"/>
      <c r="AD860" s="155"/>
      <c r="AE860" s="155"/>
      <c r="AF860" s="155"/>
      <c r="AG860" s="155"/>
      <c r="AH860" s="155"/>
      <c r="AI860" s="155"/>
      <c r="AJ860" s="155"/>
      <c r="AK860" s="155"/>
      <c r="AL860" s="155"/>
      <c r="AM860" s="155"/>
      <c r="AN860" s="155"/>
      <c r="AO860" s="155"/>
      <c r="AP860" s="155"/>
      <c r="AQ860" s="155"/>
      <c r="AR860" s="155"/>
      <c r="AS860" s="155"/>
    </row>
    <row r="861" spans="1:45" ht="12.6" customHeight="1" x14ac:dyDescent="0.3">
      <c r="A861" s="107"/>
      <c r="B861" s="107"/>
      <c r="C861" s="107"/>
      <c r="D861" s="107"/>
      <c r="E861" s="107"/>
      <c r="F861" s="107"/>
      <c r="Z861" s="155"/>
      <c r="AA861" s="155"/>
      <c r="AB861" s="155"/>
      <c r="AC861" s="155"/>
      <c r="AD861" s="155"/>
      <c r="AE861" s="155"/>
      <c r="AF861" s="155"/>
      <c r="AG861" s="155"/>
      <c r="AH861" s="155"/>
      <c r="AI861" s="155"/>
      <c r="AJ861" s="155"/>
      <c r="AK861" s="155"/>
      <c r="AL861" s="155"/>
      <c r="AM861" s="155"/>
      <c r="AN861" s="155"/>
      <c r="AO861" s="155"/>
      <c r="AP861" s="155"/>
      <c r="AQ861" s="155"/>
      <c r="AR861" s="155"/>
      <c r="AS861" s="155"/>
    </row>
    <row r="862" spans="1:45" ht="12.6" customHeight="1" x14ac:dyDescent="0.3">
      <c r="A862" s="107"/>
      <c r="B862" s="107"/>
      <c r="C862" s="107"/>
      <c r="D862" s="107"/>
      <c r="E862" s="107"/>
      <c r="F862" s="107"/>
      <c r="Z862" s="155"/>
      <c r="AA862" s="155"/>
      <c r="AB862" s="155"/>
      <c r="AC862" s="155"/>
      <c r="AD862" s="155"/>
      <c r="AE862" s="155"/>
      <c r="AF862" s="155"/>
      <c r="AG862" s="155"/>
      <c r="AH862" s="155"/>
      <c r="AI862" s="155"/>
      <c r="AJ862" s="155"/>
      <c r="AK862" s="155"/>
      <c r="AL862" s="155"/>
      <c r="AM862" s="155"/>
      <c r="AN862" s="155"/>
      <c r="AO862" s="155"/>
      <c r="AP862" s="155"/>
      <c r="AQ862" s="155"/>
      <c r="AR862" s="155"/>
      <c r="AS862" s="155"/>
    </row>
    <row r="863" spans="1:45" ht="12.6" customHeight="1" x14ac:dyDescent="0.3">
      <c r="A863" s="107"/>
      <c r="B863" s="107"/>
      <c r="C863" s="107"/>
      <c r="D863" s="107"/>
      <c r="E863" s="107"/>
      <c r="F863" s="107"/>
      <c r="Z863" s="155"/>
      <c r="AA863" s="155"/>
      <c r="AB863" s="155"/>
      <c r="AC863" s="155"/>
      <c r="AD863" s="155"/>
      <c r="AE863" s="155"/>
      <c r="AF863" s="155"/>
      <c r="AG863" s="155"/>
      <c r="AH863" s="155"/>
      <c r="AI863" s="155"/>
      <c r="AJ863" s="155"/>
      <c r="AK863" s="155"/>
      <c r="AL863" s="155"/>
      <c r="AM863" s="155"/>
      <c r="AN863" s="155"/>
      <c r="AO863" s="155"/>
      <c r="AP863" s="155"/>
      <c r="AQ863" s="155"/>
      <c r="AR863" s="155"/>
      <c r="AS863" s="155"/>
    </row>
    <row r="864" spans="1:45" ht="12.6" customHeight="1" x14ac:dyDescent="0.3">
      <c r="A864" s="107"/>
      <c r="B864" s="107"/>
      <c r="C864" s="107"/>
      <c r="D864" s="107"/>
      <c r="E864" s="107"/>
      <c r="F864" s="107"/>
      <c r="Z864" s="155"/>
      <c r="AA864" s="155"/>
      <c r="AB864" s="155"/>
      <c r="AC864" s="155"/>
      <c r="AD864" s="155"/>
      <c r="AE864" s="155"/>
      <c r="AF864" s="155"/>
      <c r="AG864" s="155"/>
      <c r="AH864" s="155"/>
      <c r="AI864" s="155"/>
      <c r="AJ864" s="155"/>
      <c r="AK864" s="155"/>
      <c r="AL864" s="155"/>
      <c r="AM864" s="155"/>
      <c r="AN864" s="155"/>
      <c r="AO864" s="155"/>
      <c r="AP864" s="155"/>
      <c r="AQ864" s="155"/>
      <c r="AR864" s="155"/>
      <c r="AS864" s="155"/>
    </row>
    <row r="865" spans="1:45" ht="12.6" customHeight="1" x14ac:dyDescent="0.3">
      <c r="A865" s="107"/>
      <c r="B865" s="107"/>
      <c r="C865" s="107"/>
      <c r="D865" s="107"/>
      <c r="E865" s="107"/>
      <c r="F865" s="107"/>
      <c r="Z865" s="155"/>
      <c r="AA865" s="155"/>
      <c r="AB865" s="155"/>
      <c r="AC865" s="155"/>
      <c r="AD865" s="155"/>
      <c r="AE865" s="155"/>
      <c r="AF865" s="155"/>
      <c r="AG865" s="155"/>
      <c r="AH865" s="155"/>
      <c r="AI865" s="155"/>
      <c r="AJ865" s="155"/>
      <c r="AK865" s="155"/>
      <c r="AL865" s="155"/>
      <c r="AM865" s="155"/>
      <c r="AN865" s="155"/>
      <c r="AO865" s="155"/>
      <c r="AP865" s="155"/>
      <c r="AQ865" s="155"/>
      <c r="AR865" s="155"/>
      <c r="AS865" s="155"/>
    </row>
    <row r="866" spans="1:45" ht="12.6" customHeight="1" x14ac:dyDescent="0.3">
      <c r="A866" s="107"/>
      <c r="B866" s="107"/>
      <c r="C866" s="107"/>
      <c r="D866" s="107"/>
      <c r="E866" s="107"/>
      <c r="F866" s="107"/>
      <c r="Z866" s="155"/>
      <c r="AA866" s="155"/>
      <c r="AB866" s="155"/>
      <c r="AC866" s="155"/>
      <c r="AD866" s="155"/>
      <c r="AE866" s="155"/>
      <c r="AF866" s="155"/>
      <c r="AG866" s="155"/>
      <c r="AH866" s="155"/>
      <c r="AI866" s="155"/>
      <c r="AJ866" s="155"/>
      <c r="AK866" s="155"/>
      <c r="AL866" s="155"/>
      <c r="AM866" s="155"/>
      <c r="AN866" s="155"/>
      <c r="AO866" s="155"/>
      <c r="AP866" s="155"/>
      <c r="AQ866" s="155"/>
      <c r="AR866" s="155"/>
      <c r="AS866" s="155"/>
    </row>
    <row r="867" spans="1:45" ht="12.6" customHeight="1" x14ac:dyDescent="0.3">
      <c r="A867" s="123"/>
      <c r="B867" s="123"/>
      <c r="C867" s="123"/>
      <c r="D867" s="123"/>
      <c r="E867" s="123"/>
      <c r="F867" s="123"/>
      <c r="Z867" s="155"/>
      <c r="AA867" s="155"/>
      <c r="AB867" s="155"/>
      <c r="AC867" s="155"/>
      <c r="AD867" s="155"/>
      <c r="AE867" s="155"/>
      <c r="AF867" s="155"/>
      <c r="AG867" s="155"/>
      <c r="AH867" s="155"/>
      <c r="AI867" s="155"/>
      <c r="AJ867" s="155"/>
      <c r="AK867" s="155"/>
      <c r="AL867" s="155"/>
      <c r="AM867" s="155"/>
      <c r="AN867" s="155"/>
      <c r="AO867" s="155"/>
      <c r="AP867" s="155"/>
      <c r="AQ867" s="155"/>
      <c r="AR867" s="155"/>
      <c r="AS867" s="155"/>
    </row>
    <row r="868" spans="1:45" ht="12.6" customHeight="1" x14ac:dyDescent="0.3">
      <c r="A868" s="193" t="s">
        <v>1107</v>
      </c>
      <c r="B868" s="194"/>
      <c r="C868" s="99">
        <f>E868+D868+F868</f>
        <v>3990</v>
      </c>
      <c r="D868" s="12">
        <v>0</v>
      </c>
      <c r="E868" s="13">
        <v>0</v>
      </c>
      <c r="F868" s="99">
        <f>ROUNDDOWN(SUMIF(N803:N851,M868,E803:E851),0)+ROUNDDOWN(SUMIF(N803:N851,M868,D803:D851),0)+ROUNDDOWN(SUMIF(N803:N851,M868,F803:F851),0)</f>
        <v>3990</v>
      </c>
      <c r="M868" s="34" t="s">
        <v>768</v>
      </c>
      <c r="N868" s="34" t="s">
        <v>770</v>
      </c>
      <c r="Z868" s="155"/>
      <c r="AA868" s="155"/>
      <c r="AB868" s="155"/>
      <c r="AC868" s="155"/>
      <c r="AD868" s="155"/>
      <c r="AE868" s="155"/>
      <c r="AF868" s="155"/>
      <c r="AG868" s="155"/>
      <c r="AH868" s="155"/>
      <c r="AI868" s="155"/>
      <c r="AJ868" s="155"/>
      <c r="AK868" s="155"/>
      <c r="AL868" s="155"/>
      <c r="AM868" s="155"/>
      <c r="AN868" s="155"/>
      <c r="AO868" s="155"/>
      <c r="AP868" s="155"/>
      <c r="AQ868" s="155"/>
      <c r="AR868" s="155"/>
      <c r="AS868" s="155"/>
    </row>
    <row r="869" spans="1:45" ht="12.6" customHeight="1" x14ac:dyDescent="0.3">
      <c r="A869" s="193" t="s">
        <v>1046</v>
      </c>
      <c r="B869" s="194"/>
      <c r="C869" s="99">
        <f>E869+D869+F869</f>
        <v>3511</v>
      </c>
      <c r="D869" s="121">
        <f>ROUNDDOWN(D868*H869/100,0)</f>
        <v>0</v>
      </c>
      <c r="E869" s="120">
        <f>ROUNDDOWN(E868*H869/100,0)</f>
        <v>0</v>
      </c>
      <c r="F869" s="99">
        <f>ROUNDDOWN(F868*H869/100,0)</f>
        <v>3511</v>
      </c>
      <c r="H869" s="35">
        <v>88</v>
      </c>
      <c r="M869" s="34" t="s">
        <v>770</v>
      </c>
      <c r="Z869" s="155"/>
      <c r="AA869" s="155"/>
      <c r="AB869" s="155"/>
      <c r="AC869" s="155"/>
      <c r="AD869" s="155"/>
      <c r="AE869" s="155"/>
      <c r="AF869" s="155"/>
      <c r="AG869" s="155"/>
      <c r="AH869" s="155"/>
      <c r="AI869" s="155"/>
      <c r="AJ869" s="155"/>
      <c r="AK869" s="155"/>
      <c r="AL869" s="155"/>
      <c r="AM869" s="155"/>
      <c r="AN869" s="155"/>
      <c r="AO869" s="155"/>
      <c r="AP869" s="155"/>
      <c r="AQ869" s="155"/>
      <c r="AR869" s="155"/>
      <c r="AS869" s="155"/>
    </row>
    <row r="870" spans="1:45" ht="12.6" customHeight="1" x14ac:dyDescent="0.3">
      <c r="A870" s="144" t="s">
        <v>87</v>
      </c>
      <c r="B870" s="145" t="s">
        <v>87</v>
      </c>
      <c r="C870" s="232">
        <f>C938</f>
        <v>4381</v>
      </c>
      <c r="D870" s="232">
        <f>D938</f>
        <v>0</v>
      </c>
      <c r="E870" s="232">
        <f>E938</f>
        <v>0</v>
      </c>
      <c r="F870" s="232">
        <f>F938</f>
        <v>4381</v>
      </c>
      <c r="G870" s="141" t="str">
        <f>HYPERLINK("#G"&amp;ROW(G920),"_x0005_`BDCOD|D01447_x0007_`POSS|"&amp;ROW(G872)&amp;"_x0007_`POSE|"&amp;ROW(G920)&amp;"_x0007_`")</f>
        <v>_x0005_`BDCOD|D01447_x0007_`POSS|872_x0007_`POSE|920_x0007_`</v>
      </c>
      <c r="Z870" s="155"/>
      <c r="AA870" s="155"/>
      <c r="AB870" s="155"/>
      <c r="AC870" s="155"/>
      <c r="AD870" s="155"/>
      <c r="AE870" s="155"/>
      <c r="AF870" s="155"/>
      <c r="AG870" s="155"/>
      <c r="AH870" s="155"/>
      <c r="AI870" s="155"/>
      <c r="AJ870" s="155"/>
      <c r="AK870" s="155"/>
      <c r="AL870" s="155"/>
      <c r="AM870" s="155"/>
      <c r="AN870" s="155"/>
      <c r="AO870" s="155"/>
      <c r="AP870" s="155"/>
      <c r="AQ870" s="155"/>
      <c r="AR870" s="155"/>
      <c r="AS870" s="155"/>
    </row>
    <row r="871" spans="1:45" ht="12.6" customHeight="1" x14ac:dyDescent="0.3">
      <c r="A871" s="124"/>
      <c r="B871" s="145" t="s">
        <v>86</v>
      </c>
      <c r="C871" s="189"/>
      <c r="D871" s="189"/>
      <c r="E871" s="189"/>
      <c r="F871" s="189"/>
      <c r="M871" s="34" t="s">
        <v>1198</v>
      </c>
      <c r="Z871" s="155"/>
      <c r="AA871" s="155"/>
      <c r="AB871" s="155"/>
      <c r="AC871" s="155"/>
      <c r="AD871" s="155"/>
      <c r="AE871" s="155"/>
      <c r="AF871" s="155"/>
      <c r="AG871" s="155"/>
      <c r="AH871" s="155"/>
      <c r="AI871" s="155"/>
      <c r="AJ871" s="155"/>
      <c r="AK871" s="155"/>
      <c r="AL871" s="155"/>
      <c r="AM871" s="155"/>
      <c r="AN871" s="155"/>
      <c r="AO871" s="155"/>
      <c r="AP871" s="155"/>
      <c r="AQ871" s="155"/>
      <c r="AR871" s="155"/>
      <c r="AS871" s="155"/>
    </row>
    <row r="872" spans="1:45" ht="12.6" customHeight="1" x14ac:dyDescent="0.3">
      <c r="A872" s="84"/>
      <c r="B872" s="41" t="s">
        <v>1192</v>
      </c>
      <c r="C872" s="147"/>
      <c r="D872" s="147"/>
      <c r="E872" s="147"/>
      <c r="F872" s="147"/>
      <c r="G872" s="17" t="s">
        <v>1191</v>
      </c>
      <c r="Z872" s="155"/>
      <c r="AA872" s="155"/>
      <c r="AB872" s="155"/>
      <c r="AC872" s="155"/>
      <c r="AD872" s="155"/>
      <c r="AE872" s="155"/>
      <c r="AF872" s="155"/>
      <c r="AG872" s="155"/>
      <c r="AH872" s="155"/>
      <c r="AI872" s="155"/>
      <c r="AJ872" s="155"/>
      <c r="AK872" s="155"/>
      <c r="AL872" s="155"/>
      <c r="AM872" s="155"/>
      <c r="AN872" s="155"/>
      <c r="AO872" s="155"/>
      <c r="AP872" s="155"/>
      <c r="AQ872" s="155"/>
      <c r="AR872" s="155"/>
      <c r="AS872" s="155"/>
    </row>
    <row r="873" spans="1:45" ht="12.6" customHeight="1" x14ac:dyDescent="0.3">
      <c r="A873" s="107"/>
      <c r="B873" s="107"/>
      <c r="C873" s="107"/>
      <c r="D873" s="107"/>
      <c r="E873" s="107"/>
      <c r="F873" s="107"/>
      <c r="G873" s="17" t="s">
        <v>848</v>
      </c>
      <c r="Z873" s="155"/>
      <c r="AA873" s="155"/>
      <c r="AB873" s="155"/>
      <c r="AC873" s="155"/>
      <c r="AD873" s="155"/>
      <c r="AE873" s="155"/>
      <c r="AF873" s="155"/>
      <c r="AG873" s="155"/>
      <c r="AH873" s="155"/>
      <c r="AI873" s="155"/>
      <c r="AJ873" s="155"/>
      <c r="AK873" s="155"/>
      <c r="AL873" s="155"/>
      <c r="AM873" s="155"/>
      <c r="AN873" s="155"/>
      <c r="AO873" s="155"/>
      <c r="AP873" s="155"/>
      <c r="AQ873" s="155"/>
      <c r="AR873" s="155"/>
      <c r="AS873" s="155"/>
    </row>
    <row r="874" spans="1:45" ht="12.6" customHeight="1" x14ac:dyDescent="0.3">
      <c r="A874" s="84"/>
      <c r="B874" s="41" t="s">
        <v>1200</v>
      </c>
      <c r="C874" s="107"/>
      <c r="D874" s="107"/>
      <c r="E874" s="107"/>
      <c r="F874" s="107"/>
      <c r="G874" s="17" t="s">
        <v>1199</v>
      </c>
      <c r="Z874" s="155"/>
      <c r="AA874" s="155"/>
      <c r="AB874" s="155"/>
      <c r="AC874" s="155"/>
      <c r="AD874" s="155"/>
      <c r="AE874" s="155"/>
      <c r="AF874" s="155"/>
      <c r="AG874" s="155"/>
      <c r="AH874" s="155"/>
      <c r="AI874" s="155"/>
      <c r="AJ874" s="155"/>
      <c r="AK874" s="155"/>
      <c r="AL874" s="155"/>
      <c r="AM874" s="155"/>
      <c r="AN874" s="155"/>
      <c r="AO874" s="155"/>
      <c r="AP874" s="155"/>
      <c r="AQ874" s="155"/>
      <c r="AR874" s="155"/>
      <c r="AS874" s="155"/>
    </row>
    <row r="875" spans="1:45" ht="12.6" customHeight="1" x14ac:dyDescent="0.3">
      <c r="A875" s="107"/>
      <c r="B875" s="107"/>
      <c r="C875" s="107"/>
      <c r="D875" s="107"/>
      <c r="E875" s="107"/>
      <c r="F875" s="107"/>
      <c r="G875" s="17" t="s">
        <v>848</v>
      </c>
      <c r="Z875" s="155"/>
      <c r="AA875" s="155"/>
      <c r="AB875" s="155"/>
      <c r="AC875" s="155"/>
      <c r="AD875" s="155"/>
      <c r="AE875" s="155"/>
      <c r="AF875" s="155"/>
      <c r="AG875" s="155"/>
      <c r="AH875" s="155"/>
      <c r="AI875" s="155"/>
      <c r="AJ875" s="155"/>
      <c r="AK875" s="155"/>
      <c r="AL875" s="155"/>
      <c r="AM875" s="155"/>
      <c r="AN875" s="155"/>
      <c r="AO875" s="155"/>
      <c r="AP875" s="155"/>
      <c r="AQ875" s="155"/>
      <c r="AR875" s="155"/>
      <c r="AS875" s="155"/>
    </row>
    <row r="876" spans="1:45" ht="12.6" customHeight="1" x14ac:dyDescent="0.3">
      <c r="A876" s="84"/>
      <c r="B876" s="41" t="s">
        <v>1167</v>
      </c>
      <c r="C876" s="107"/>
      <c r="D876" s="107"/>
      <c r="E876" s="107"/>
      <c r="F876" s="107"/>
      <c r="G876" s="17" t="s">
        <v>1166</v>
      </c>
      <c r="Z876" s="155"/>
      <c r="AA876" s="155"/>
      <c r="AB876" s="155"/>
      <c r="AC876" s="155"/>
      <c r="AD876" s="155"/>
      <c r="AE876" s="155"/>
      <c r="AF876" s="155"/>
      <c r="AG876" s="155"/>
      <c r="AH876" s="155"/>
      <c r="AI876" s="155"/>
      <c r="AJ876" s="155"/>
      <c r="AK876" s="155"/>
      <c r="AL876" s="155"/>
      <c r="AM876" s="155"/>
      <c r="AN876" s="155"/>
      <c r="AO876" s="155"/>
      <c r="AP876" s="155"/>
      <c r="AQ876" s="155"/>
      <c r="AR876" s="155"/>
      <c r="AS876" s="155"/>
    </row>
    <row r="877" spans="1:45" ht="12.6" customHeight="1" x14ac:dyDescent="0.3">
      <c r="A877" s="107"/>
      <c r="B877" s="107"/>
      <c r="C877" s="107"/>
      <c r="D877" s="107"/>
      <c r="E877" s="107"/>
      <c r="F877" s="107"/>
      <c r="G877" s="17" t="s">
        <v>848</v>
      </c>
      <c r="Z877" s="155"/>
      <c r="AA877" s="155"/>
      <c r="AB877" s="155"/>
      <c r="AC877" s="155"/>
      <c r="AD877" s="155"/>
      <c r="AE877" s="155"/>
      <c r="AF877" s="155"/>
      <c r="AG877" s="155"/>
      <c r="AH877" s="155"/>
      <c r="AI877" s="155"/>
      <c r="AJ877" s="155"/>
      <c r="AK877" s="155"/>
      <c r="AL877" s="155"/>
      <c r="AM877" s="155"/>
      <c r="AN877" s="155"/>
      <c r="AO877" s="155"/>
      <c r="AP877" s="155"/>
      <c r="AQ877" s="155"/>
      <c r="AR877" s="155"/>
      <c r="AS877" s="155"/>
    </row>
    <row r="878" spans="1:45" ht="12.6" customHeight="1" x14ac:dyDescent="0.3">
      <c r="A878" s="84"/>
      <c r="B878" s="41" t="str">
        <f>" q2 (버킷용량)  = "&amp;Z878&amp;" m3 "</f>
        <v xml:space="preserve"> q2 (버킷용량)  = 0.7 m3 </v>
      </c>
      <c r="C878" s="107"/>
      <c r="D878" s="107"/>
      <c r="E878" s="107"/>
      <c r="F878" s="107"/>
      <c r="G878" s="17" t="s">
        <v>1168</v>
      </c>
      <c r="Z878" s="156">
        <v>0.7</v>
      </c>
      <c r="AA878" s="34" t="s">
        <v>871</v>
      </c>
      <c r="AB878" s="158">
        <f>Z878</f>
        <v>0.7</v>
      </c>
      <c r="AC878" s="155"/>
      <c r="AD878" s="155"/>
      <c r="AE878" s="155"/>
      <c r="AF878" s="155"/>
      <c r="AG878" s="155"/>
      <c r="AH878" s="155"/>
      <c r="AI878" s="155"/>
      <c r="AJ878" s="155"/>
      <c r="AK878" s="155"/>
      <c r="AL878" s="155"/>
      <c r="AM878" s="155"/>
      <c r="AN878" s="155"/>
      <c r="AO878" s="155"/>
      <c r="AP878" s="155"/>
      <c r="AQ878" s="155"/>
      <c r="AR878" s="155"/>
      <c r="AS878" s="155"/>
    </row>
    <row r="879" spans="1:45" ht="12.6" customHeight="1" x14ac:dyDescent="0.3">
      <c r="A879" s="107"/>
      <c r="B879" s="107"/>
      <c r="C879" s="107"/>
      <c r="D879" s="107"/>
      <c r="E879" s="107"/>
      <c r="F879" s="107"/>
      <c r="G879" s="17" t="s">
        <v>848</v>
      </c>
      <c r="Z879" s="155"/>
      <c r="AA879" s="155"/>
      <c r="AB879" s="155"/>
      <c r="AC879" s="155"/>
      <c r="AD879" s="155"/>
      <c r="AE879" s="155"/>
      <c r="AF879" s="155"/>
      <c r="AG879" s="155"/>
      <c r="AH879" s="155"/>
      <c r="AI879" s="155"/>
      <c r="AJ879" s="155"/>
      <c r="AK879" s="155"/>
      <c r="AL879" s="155"/>
      <c r="AM879" s="155"/>
      <c r="AN879" s="155"/>
      <c r="AO879" s="155"/>
      <c r="AP879" s="155"/>
      <c r="AQ879" s="155"/>
      <c r="AR879" s="155"/>
      <c r="AS879" s="155"/>
    </row>
    <row r="880" spans="1:45" ht="12.6" customHeight="1" x14ac:dyDescent="0.3">
      <c r="A880" s="84"/>
      <c r="B880" s="41" t="str">
        <f>" f (체적환산계수) = "&amp;Z880&amp;"/"&amp;AB880&amp;"= "&amp;AD880&amp;" , E (작업효율) ="&amp;AF880&amp;" , k (버킷계수) ="&amp;AJ880&amp;""</f>
        <v xml:space="preserve"> f (체적환산계수) = 1/1.125= 0.89 , E (작업효율) =0.65 , k (버킷계수) =0.7</v>
      </c>
      <c r="C880" s="107"/>
      <c r="D880" s="107"/>
      <c r="E880" s="107"/>
      <c r="F880" s="107"/>
      <c r="G880" s="17" t="s">
        <v>1201</v>
      </c>
      <c r="Z880" s="157">
        <v>1</v>
      </c>
      <c r="AA880" s="34" t="s">
        <v>873</v>
      </c>
      <c r="AB880" s="156">
        <v>1.125</v>
      </c>
      <c r="AC880" s="34" t="s">
        <v>871</v>
      </c>
      <c r="AD880" s="158" t="str">
        <f>TEXT(ROUND(Z880/AB880,2),"#,0.00")</f>
        <v>0.89</v>
      </c>
      <c r="AE880" s="159" t="s">
        <v>872</v>
      </c>
      <c r="AF880" s="156">
        <v>0.65</v>
      </c>
      <c r="AG880" s="34" t="s">
        <v>871</v>
      </c>
      <c r="AH880" s="158">
        <f>AF880</f>
        <v>0.65</v>
      </c>
      <c r="AI880" s="159" t="s">
        <v>872</v>
      </c>
      <c r="AJ880" s="156">
        <v>0.7</v>
      </c>
      <c r="AK880" s="34" t="s">
        <v>871</v>
      </c>
      <c r="AL880" s="158">
        <f>AJ880</f>
        <v>0.7</v>
      </c>
      <c r="AM880" s="155"/>
      <c r="AN880" s="155"/>
      <c r="AO880" s="155"/>
      <c r="AP880" s="155"/>
      <c r="AQ880" s="155"/>
      <c r="AR880" s="155"/>
      <c r="AS880" s="155"/>
    </row>
    <row r="881" spans="1:45" ht="12.6" customHeight="1" x14ac:dyDescent="0.3">
      <c r="A881" s="107"/>
      <c r="B881" s="107"/>
      <c r="C881" s="107"/>
      <c r="D881" s="107"/>
      <c r="E881" s="107"/>
      <c r="F881" s="107"/>
      <c r="G881" s="17" t="s">
        <v>848</v>
      </c>
      <c r="Z881" s="155"/>
      <c r="AA881" s="155"/>
      <c r="AB881" s="155"/>
      <c r="AC881" s="155"/>
      <c r="AD881" s="155"/>
      <c r="AE881" s="155"/>
      <c r="AF881" s="155"/>
      <c r="AG881" s="155"/>
      <c r="AH881" s="155"/>
      <c r="AI881" s="155"/>
      <c r="AJ881" s="155"/>
      <c r="AK881" s="155"/>
      <c r="AL881" s="155"/>
      <c r="AM881" s="155"/>
      <c r="AN881" s="155"/>
      <c r="AO881" s="155"/>
      <c r="AP881" s="155"/>
      <c r="AQ881" s="155"/>
      <c r="AR881" s="155"/>
      <c r="AS881" s="155"/>
    </row>
    <row r="882" spans="1:45" ht="12.6" customHeight="1" x14ac:dyDescent="0.3">
      <c r="A882" s="84"/>
      <c r="B882" s="41" t="str">
        <f>" Cm1 = "&amp;Z882&amp;"  sec(90˚) "</f>
        <v xml:space="preserve"> Cm1 = 18  sec(90˚) </v>
      </c>
      <c r="C882" s="107"/>
      <c r="D882" s="107"/>
      <c r="E882" s="107"/>
      <c r="F882" s="107"/>
      <c r="G882" s="17" t="s">
        <v>1170</v>
      </c>
      <c r="Z882" s="157">
        <v>18</v>
      </c>
      <c r="AA882" s="34" t="s">
        <v>871</v>
      </c>
      <c r="AB882" s="158">
        <f>Z882</f>
        <v>18</v>
      </c>
      <c r="AC882" s="155"/>
      <c r="AD882" s="155"/>
      <c r="AE882" s="155"/>
      <c r="AF882" s="155"/>
      <c r="AG882" s="155"/>
      <c r="AH882" s="155"/>
      <c r="AI882" s="155"/>
      <c r="AJ882" s="155"/>
      <c r="AK882" s="155"/>
      <c r="AL882" s="155"/>
      <c r="AM882" s="155"/>
      <c r="AN882" s="155"/>
      <c r="AO882" s="155"/>
      <c r="AP882" s="155"/>
      <c r="AQ882" s="155"/>
      <c r="AR882" s="155"/>
      <c r="AS882" s="155"/>
    </row>
    <row r="883" spans="1:45" ht="12.6" customHeight="1" x14ac:dyDescent="0.3">
      <c r="A883" s="107"/>
      <c r="B883" s="107"/>
      <c r="C883" s="107"/>
      <c r="D883" s="107"/>
      <c r="E883" s="107"/>
      <c r="F883" s="107"/>
      <c r="G883" s="17" t="s">
        <v>848</v>
      </c>
      <c r="Z883" s="155"/>
      <c r="AA883" s="155"/>
      <c r="AB883" s="155"/>
      <c r="AC883" s="155"/>
      <c r="AD883" s="155"/>
      <c r="AE883" s="155"/>
      <c r="AF883" s="155"/>
      <c r="AG883" s="155"/>
      <c r="AH883" s="155"/>
      <c r="AI883" s="155"/>
      <c r="AJ883" s="155"/>
      <c r="AK883" s="155"/>
      <c r="AL883" s="155"/>
      <c r="AM883" s="155"/>
      <c r="AN883" s="155"/>
      <c r="AO883" s="155"/>
      <c r="AP883" s="155"/>
      <c r="AQ883" s="155"/>
      <c r="AR883" s="155"/>
      <c r="AS883" s="155"/>
    </row>
    <row r="884" spans="1:45" ht="12.6" customHeight="1" x14ac:dyDescent="0.3">
      <c r="A884" s="84"/>
      <c r="B884" s="41" t="str">
        <f>" Q (시간당작업량) = "&amp;Z884&amp;" * q2 * k *f *E / Cm1 = "&amp;AL884&amp;" m3/hr "</f>
        <v xml:space="preserve"> Q (시간당작업량) = 3600 * q2 * k *f *E / Cm1 = 56.69 m3/hr </v>
      </c>
      <c r="C884" s="107"/>
      <c r="D884" s="107"/>
      <c r="E884" s="107"/>
      <c r="F884" s="107"/>
      <c r="G884" s="17" t="s">
        <v>1171</v>
      </c>
      <c r="Z884" s="157">
        <v>3600</v>
      </c>
      <c r="AA884" s="34" t="s">
        <v>876</v>
      </c>
      <c r="AB884" s="158">
        <f>AB878</f>
        <v>0.7</v>
      </c>
      <c r="AC884" s="34" t="s">
        <v>876</v>
      </c>
      <c r="AD884" s="158">
        <f>AL880</f>
        <v>0.7</v>
      </c>
      <c r="AE884" s="34" t="s">
        <v>876</v>
      </c>
      <c r="AF884" s="158" t="str">
        <f>AD880</f>
        <v>0.89</v>
      </c>
      <c r="AG884" s="34" t="s">
        <v>876</v>
      </c>
      <c r="AH884" s="158">
        <f>AH880</f>
        <v>0.65</v>
      </c>
      <c r="AI884" s="34" t="s">
        <v>873</v>
      </c>
      <c r="AJ884" s="158">
        <f>AB882</f>
        <v>18</v>
      </c>
      <c r="AK884" s="34" t="s">
        <v>871</v>
      </c>
      <c r="AL884" s="158" t="str">
        <f>TEXT(ROUND(Z884*AB878*AL880*AD880*AH880/AB882,2),"#,0.00")</f>
        <v>56.69</v>
      </c>
      <c r="AM884" s="155"/>
      <c r="AN884" s="155"/>
      <c r="AO884" s="155"/>
      <c r="AP884" s="155"/>
      <c r="AQ884" s="155"/>
      <c r="AR884" s="155"/>
      <c r="AS884" s="155"/>
    </row>
    <row r="885" spans="1:45" ht="12.6" customHeight="1" x14ac:dyDescent="0.3">
      <c r="A885" s="107"/>
      <c r="B885" s="107"/>
      <c r="C885" s="107"/>
      <c r="D885" s="107"/>
      <c r="E885" s="107"/>
      <c r="F885" s="107"/>
      <c r="G885" s="17" t="s">
        <v>848</v>
      </c>
      <c r="Z885" s="155"/>
      <c r="AA885" s="155"/>
      <c r="AB885" s="155"/>
      <c r="AC885" s="155"/>
      <c r="AD885" s="155"/>
      <c r="AE885" s="155"/>
      <c r="AF885" s="155"/>
      <c r="AG885" s="155"/>
      <c r="AH885" s="155"/>
      <c r="AI885" s="155"/>
      <c r="AJ885" s="155"/>
      <c r="AK885" s="155"/>
      <c r="AL885" s="155"/>
      <c r="AM885" s="155"/>
      <c r="AN885" s="155"/>
      <c r="AO885" s="155"/>
      <c r="AP885" s="155"/>
      <c r="AQ885" s="155"/>
      <c r="AR885" s="155"/>
      <c r="AS885" s="155"/>
    </row>
    <row r="886" spans="1:45" ht="12.6" customHeight="1" x14ac:dyDescent="0.3">
      <c r="A886" s="84" t="s">
        <v>1119</v>
      </c>
      <c r="B886" s="146" t="str">
        <f>"  노 무 비  :   "&amp;TEXT(I886,"#,##0"&amp;IF(I886&lt;&gt;INT(I886),".###",""))&amp;" / Q = "&amp;TEXT(C886,"#,##0.0")&amp;""</f>
        <v xml:space="preserve">  노 무 비  :   57,077 / Q = 1,006.8</v>
      </c>
      <c r="C886" s="148">
        <f>E886+D886+F886</f>
        <v>1006.8</v>
      </c>
      <c r="D886" s="148">
        <f>IF(H886=0,0,ROUNDDOWN(J886*H886,1))</f>
        <v>1006.8</v>
      </c>
      <c r="E886" s="148">
        <f>IF(H886=0,0,ROUNDDOWN(K886*H886,1))</f>
        <v>0</v>
      </c>
      <c r="F886" s="148">
        <f>IF(H886=0,0,ROUNDDOWN(L886*H886,1))</f>
        <v>0</v>
      </c>
      <c r="G886" s="17" t="s">
        <v>1172</v>
      </c>
      <c r="H886" s="152">
        <f>ROUNDUP(AC886,14-LEN(ABS(INT(AC886))))</f>
        <v>1.7639795378399999E-2</v>
      </c>
      <c r="I886" s="153">
        <f>K886+J886+L886</f>
        <v>57077</v>
      </c>
      <c r="J886" s="37">
        <f>중기목록표!F5</f>
        <v>57077</v>
      </c>
      <c r="M886" s="34" t="s">
        <v>1120</v>
      </c>
      <c r="N886" s="34" t="s">
        <v>886</v>
      </c>
      <c r="X886" s="154" t="str">
        <f>중기목록표!B5&amp;" / "&amp;중기목록표!C5</f>
        <v>굴착기(무한궤도) / 0.7㎥</v>
      </c>
      <c r="Y886" s="3" t="str">
        <f ca="1">HYPERLINK("#"&amp;중기목록표!J2&amp;"!A"&amp;ROW(중기목록표!A5),"X00005 →")</f>
        <v>X00005 →</v>
      </c>
      <c r="Z886" s="34" t="s">
        <v>879</v>
      </c>
      <c r="AA886" s="158" t="str">
        <f>AL884</f>
        <v>56.69</v>
      </c>
      <c r="AB886" s="34" t="s">
        <v>871</v>
      </c>
      <c r="AC886" s="158">
        <f>1/AL884</f>
        <v>1.763979537837361E-2</v>
      </c>
      <c r="AD886" s="155"/>
      <c r="AE886" s="155"/>
      <c r="AF886" s="155"/>
      <c r="AG886" s="155"/>
      <c r="AH886" s="155"/>
      <c r="AI886" s="155"/>
      <c r="AJ886" s="155"/>
      <c r="AK886" s="155"/>
      <c r="AL886" s="155"/>
      <c r="AM886" s="155"/>
      <c r="AN886" s="155"/>
      <c r="AO886" s="155"/>
      <c r="AP886" s="155"/>
      <c r="AQ886" s="155"/>
      <c r="AR886" s="155"/>
      <c r="AS886" s="155"/>
    </row>
    <row r="887" spans="1:45" ht="12.6" customHeight="1" x14ac:dyDescent="0.3">
      <c r="A887" s="107"/>
      <c r="B887" s="107"/>
      <c r="C887" s="107"/>
      <c r="D887" s="107"/>
      <c r="E887" s="107"/>
      <c r="F887" s="107"/>
      <c r="G887" s="17" t="s">
        <v>848</v>
      </c>
      <c r="Z887" s="155"/>
      <c r="AA887" s="155"/>
      <c r="AB887" s="155"/>
      <c r="AC887" s="155"/>
      <c r="AD887" s="155"/>
      <c r="AE887" s="155"/>
      <c r="AF887" s="155"/>
      <c r="AG887" s="155"/>
      <c r="AH887" s="155"/>
      <c r="AI887" s="155"/>
      <c r="AJ887" s="155"/>
      <c r="AK887" s="155"/>
      <c r="AL887" s="155"/>
      <c r="AM887" s="155"/>
      <c r="AN887" s="155"/>
      <c r="AO887" s="155"/>
      <c r="AP887" s="155"/>
      <c r="AQ887" s="155"/>
      <c r="AR887" s="155"/>
      <c r="AS887" s="155"/>
    </row>
    <row r="888" spans="1:45" ht="12.6" customHeight="1" x14ac:dyDescent="0.3">
      <c r="A888" s="84" t="s">
        <v>1122</v>
      </c>
      <c r="B888" s="146" t="str">
        <f>"  재 료 비  :   "&amp;TEXT(I888,"#,##0"&amp;IF(I888&lt;&gt;INT(I888),".###",""))&amp;" / Q = "&amp;TEXT(C888,"#,##0.0")&amp;""</f>
        <v xml:space="preserve">  재 료 비  :   17,845 / Q = 314.7</v>
      </c>
      <c r="C888" s="148">
        <f>E888+D888+F888</f>
        <v>314.7</v>
      </c>
      <c r="D888" s="148">
        <f>IF(H888=0,0,ROUNDDOWN(J888*H888,1))</f>
        <v>0</v>
      </c>
      <c r="E888" s="148">
        <f>IF(H888=0,0,ROUNDDOWN(K888*H888,1))</f>
        <v>314.7</v>
      </c>
      <c r="F888" s="148">
        <f>IF(H888=0,0,ROUNDDOWN(L888*H888,1))</f>
        <v>0</v>
      </c>
      <c r="G888" s="17" t="s">
        <v>1173</v>
      </c>
      <c r="H888" s="152">
        <f>ROUNDUP(AC888,14-LEN(ABS(INT(AC888))))</f>
        <v>1.7639795378399999E-2</v>
      </c>
      <c r="I888" s="153">
        <f>K888+J888+L888</f>
        <v>17845</v>
      </c>
      <c r="K888" s="37">
        <f>중기목록표!G5</f>
        <v>17845</v>
      </c>
      <c r="M888" s="34" t="s">
        <v>1120</v>
      </c>
      <c r="N888" s="34" t="s">
        <v>886</v>
      </c>
      <c r="X888" s="154" t="str">
        <f>중기목록표!B5&amp;" / "&amp;중기목록표!C5</f>
        <v>굴착기(무한궤도) / 0.7㎥</v>
      </c>
      <c r="Y888" s="3" t="str">
        <f ca="1">HYPERLINK("#"&amp;중기목록표!J2&amp;"!A"&amp;ROW(중기목록표!A5),"X00005 →")</f>
        <v>X00005 →</v>
      </c>
      <c r="Z888" s="34" t="s">
        <v>879</v>
      </c>
      <c r="AA888" s="158" t="str">
        <f>AL884</f>
        <v>56.69</v>
      </c>
      <c r="AB888" s="34" t="s">
        <v>871</v>
      </c>
      <c r="AC888" s="158">
        <f>1/AL884</f>
        <v>1.763979537837361E-2</v>
      </c>
      <c r="AD888" s="155"/>
      <c r="AE888" s="155"/>
      <c r="AF888" s="155"/>
      <c r="AG888" s="155"/>
      <c r="AH888" s="155"/>
      <c r="AI888" s="155"/>
      <c r="AJ888" s="155"/>
      <c r="AK888" s="155"/>
      <c r="AL888" s="155"/>
      <c r="AM888" s="155"/>
      <c r="AN888" s="155"/>
      <c r="AO888" s="155"/>
      <c r="AP888" s="155"/>
      <c r="AQ888" s="155"/>
      <c r="AR888" s="155"/>
      <c r="AS888" s="155"/>
    </row>
    <row r="889" spans="1:45" ht="12.6" customHeight="1" x14ac:dyDescent="0.3">
      <c r="A889" s="107"/>
      <c r="B889" s="107"/>
      <c r="C889" s="107"/>
      <c r="D889" s="107"/>
      <c r="E889" s="107"/>
      <c r="F889" s="107"/>
      <c r="G889" s="17" t="s">
        <v>848</v>
      </c>
      <c r="Z889" s="155"/>
      <c r="AA889" s="155"/>
      <c r="AB889" s="155"/>
      <c r="AC889" s="155"/>
      <c r="AD889" s="155"/>
      <c r="AE889" s="155"/>
      <c r="AF889" s="155"/>
      <c r="AG889" s="155"/>
      <c r="AH889" s="155"/>
      <c r="AI889" s="155"/>
      <c r="AJ889" s="155"/>
      <c r="AK889" s="155"/>
      <c r="AL889" s="155"/>
      <c r="AM889" s="155"/>
      <c r="AN889" s="155"/>
      <c r="AO889" s="155"/>
      <c r="AP889" s="155"/>
      <c r="AQ889" s="155"/>
      <c r="AR889" s="155"/>
      <c r="AS889" s="155"/>
    </row>
    <row r="890" spans="1:45" ht="12.6" customHeight="1" x14ac:dyDescent="0.3">
      <c r="A890" s="84" t="s">
        <v>1124</v>
      </c>
      <c r="B890" s="146" t="str">
        <f>"  경    비  :   "&amp;TEXT(I890,"#,##0"&amp;IF(I890&lt;&gt;INT(I890),".###",""))&amp;" / Q = "&amp;TEXT(C890,"#,##0.0")&amp;""</f>
        <v xml:space="preserve">  경    비  :   24,001 / Q = 423.3</v>
      </c>
      <c r="C890" s="148">
        <f>E890+D890+F890</f>
        <v>423.3</v>
      </c>
      <c r="D890" s="148">
        <f>IF(H890=0,0,ROUNDDOWN(J890*H890,1))</f>
        <v>0</v>
      </c>
      <c r="E890" s="148">
        <f>IF(H890=0,0,ROUNDDOWN(K890*H890,1))</f>
        <v>0</v>
      </c>
      <c r="F890" s="148">
        <f>IF(H890=0,0,ROUNDDOWN(L890*H890,1))</f>
        <v>423.3</v>
      </c>
      <c r="G890" s="17" t="s">
        <v>1174</v>
      </c>
      <c r="H890" s="152">
        <f>ROUNDUP(AC890,14-LEN(ABS(INT(AC890))))</f>
        <v>1.7639795378399999E-2</v>
      </c>
      <c r="I890" s="153">
        <f>K890+J890+L890</f>
        <v>24001</v>
      </c>
      <c r="L890" s="37">
        <f>중기목록표!H5</f>
        <v>24001</v>
      </c>
      <c r="M890" s="34" t="s">
        <v>1120</v>
      </c>
      <c r="N890" s="34" t="s">
        <v>886</v>
      </c>
      <c r="X890" s="154" t="str">
        <f>중기목록표!B5&amp;" / "&amp;중기목록표!C5</f>
        <v>굴착기(무한궤도) / 0.7㎥</v>
      </c>
      <c r="Y890" s="3" t="str">
        <f ca="1">HYPERLINK("#"&amp;중기목록표!J2&amp;"!A"&amp;ROW(중기목록표!A5),"X00005 →")</f>
        <v>X00005 →</v>
      </c>
      <c r="Z890" s="34" t="s">
        <v>879</v>
      </c>
      <c r="AA890" s="158" t="str">
        <f>AL884</f>
        <v>56.69</v>
      </c>
      <c r="AB890" s="34" t="s">
        <v>871</v>
      </c>
      <c r="AC890" s="158">
        <f>1/AL884</f>
        <v>1.763979537837361E-2</v>
      </c>
      <c r="AD890" s="155"/>
      <c r="AE890" s="155"/>
      <c r="AF890" s="155"/>
      <c r="AG890" s="155"/>
      <c r="AH890" s="155"/>
      <c r="AI890" s="155"/>
      <c r="AJ890" s="155"/>
      <c r="AK890" s="155"/>
      <c r="AL890" s="155"/>
      <c r="AM890" s="155"/>
      <c r="AN890" s="155"/>
      <c r="AO890" s="155"/>
      <c r="AP890" s="155"/>
      <c r="AQ890" s="155"/>
      <c r="AR890" s="155"/>
      <c r="AS890" s="155"/>
    </row>
    <row r="891" spans="1:45" ht="12.6" customHeight="1" x14ac:dyDescent="0.3">
      <c r="A891" s="107"/>
      <c r="B891" s="107"/>
      <c r="C891" s="107"/>
      <c r="D891" s="107"/>
      <c r="E891" s="107"/>
      <c r="F891" s="107"/>
      <c r="G891" s="17" t="s">
        <v>848</v>
      </c>
      <c r="Z891" s="155"/>
      <c r="AA891" s="155"/>
      <c r="AB891" s="155"/>
      <c r="AC891" s="155"/>
      <c r="AD891" s="155"/>
      <c r="AE891" s="155"/>
      <c r="AF891" s="155"/>
      <c r="AG891" s="155"/>
      <c r="AH891" s="155"/>
      <c r="AI891" s="155"/>
      <c r="AJ891" s="155"/>
      <c r="AK891" s="155"/>
      <c r="AL891" s="155"/>
      <c r="AM891" s="155"/>
      <c r="AN891" s="155"/>
      <c r="AO891" s="155"/>
      <c r="AP891" s="155"/>
      <c r="AQ891" s="155"/>
      <c r="AR891" s="155"/>
      <c r="AS891" s="155"/>
    </row>
    <row r="892" spans="1:45" ht="12.6" customHeight="1" x14ac:dyDescent="0.3">
      <c r="A892" s="84"/>
      <c r="B892" s="41" t="s">
        <v>885</v>
      </c>
      <c r="C892" s="149">
        <f>E892+D892+F892</f>
        <v>1744.8</v>
      </c>
      <c r="D892" s="149">
        <f>SUMIF(N872:N891,M892,D872:D891)</f>
        <v>1006.8</v>
      </c>
      <c r="E892" s="149">
        <f>SUMIF(N872:N891,M892,E872:E891)</f>
        <v>314.7</v>
      </c>
      <c r="F892" s="149">
        <f>SUMIF(N872:N891,M892,F872:F891)</f>
        <v>423.3</v>
      </c>
      <c r="G892" s="17" t="s">
        <v>884</v>
      </c>
      <c r="M892" s="34" t="s">
        <v>886</v>
      </c>
      <c r="N892" s="34" t="s">
        <v>891</v>
      </c>
      <c r="Z892" s="155"/>
      <c r="AA892" s="155"/>
      <c r="AB892" s="155"/>
      <c r="AC892" s="155"/>
      <c r="AD892" s="155"/>
      <c r="AE892" s="155"/>
      <c r="AF892" s="155"/>
      <c r="AG892" s="155"/>
      <c r="AH892" s="155"/>
      <c r="AI892" s="155"/>
      <c r="AJ892" s="155"/>
      <c r="AK892" s="155"/>
      <c r="AL892" s="155"/>
      <c r="AM892" s="155"/>
      <c r="AN892" s="155"/>
      <c r="AO892" s="155"/>
      <c r="AP892" s="155"/>
      <c r="AQ892" s="155"/>
      <c r="AR892" s="155"/>
      <c r="AS892" s="155"/>
    </row>
    <row r="893" spans="1:45" ht="12.6" customHeight="1" x14ac:dyDescent="0.3">
      <c r="A893" s="107"/>
      <c r="B893" s="107"/>
      <c r="C893" s="147"/>
      <c r="D893" s="147"/>
      <c r="E893" s="147"/>
      <c r="F893" s="147"/>
      <c r="G893" s="17" t="s">
        <v>848</v>
      </c>
      <c r="Z893" s="155"/>
      <c r="AA893" s="155"/>
      <c r="AB893" s="155"/>
      <c r="AC893" s="155"/>
      <c r="AD893" s="155"/>
      <c r="AE893" s="155"/>
      <c r="AF893" s="155"/>
      <c r="AG893" s="155"/>
      <c r="AH893" s="155"/>
      <c r="AI893" s="155"/>
      <c r="AJ893" s="155"/>
      <c r="AK893" s="155"/>
      <c r="AL893" s="155"/>
      <c r="AM893" s="155"/>
      <c r="AN893" s="155"/>
      <c r="AO893" s="155"/>
      <c r="AP893" s="155"/>
      <c r="AQ893" s="155"/>
      <c r="AR893" s="155"/>
      <c r="AS893" s="155"/>
    </row>
    <row r="894" spans="1:45" ht="12.6" customHeight="1" x14ac:dyDescent="0.3">
      <c r="A894" s="84"/>
      <c r="B894" s="41" t="s">
        <v>1176</v>
      </c>
      <c r="C894" s="107"/>
      <c r="D894" s="107"/>
      <c r="E894" s="107"/>
      <c r="F894" s="107"/>
      <c r="G894" s="17" t="s">
        <v>1175</v>
      </c>
      <c r="Z894" s="155"/>
      <c r="AA894" s="155"/>
      <c r="AB894" s="155"/>
      <c r="AC894" s="155"/>
      <c r="AD894" s="155"/>
      <c r="AE894" s="155"/>
      <c r="AF894" s="155"/>
      <c r="AG894" s="155"/>
      <c r="AH894" s="155"/>
      <c r="AI894" s="155"/>
      <c r="AJ894" s="155"/>
      <c r="AK894" s="155"/>
      <c r="AL894" s="155"/>
      <c r="AM894" s="155"/>
      <c r="AN894" s="155"/>
      <c r="AO894" s="155"/>
      <c r="AP894" s="155"/>
      <c r="AQ894" s="155"/>
      <c r="AR894" s="155"/>
      <c r="AS894" s="155"/>
    </row>
    <row r="895" spans="1:45" ht="12.6" customHeight="1" x14ac:dyDescent="0.3">
      <c r="A895" s="107"/>
      <c r="B895" s="107"/>
      <c r="C895" s="107"/>
      <c r="D895" s="107"/>
      <c r="E895" s="107"/>
      <c r="F895" s="107"/>
      <c r="G895" s="17" t="s">
        <v>848</v>
      </c>
      <c r="Z895" s="155"/>
      <c r="AA895" s="155"/>
      <c r="AB895" s="155"/>
      <c r="AC895" s="155"/>
      <c r="AD895" s="155"/>
      <c r="AE895" s="155"/>
      <c r="AF895" s="155"/>
      <c r="AG895" s="155"/>
      <c r="AH895" s="155"/>
      <c r="AI895" s="155"/>
      <c r="AJ895" s="155"/>
      <c r="AK895" s="155"/>
      <c r="AL895" s="155"/>
      <c r="AM895" s="155"/>
      <c r="AN895" s="155"/>
      <c r="AO895" s="155"/>
      <c r="AP895" s="155"/>
      <c r="AQ895" s="155"/>
      <c r="AR895" s="155"/>
      <c r="AS895" s="155"/>
    </row>
    <row r="896" spans="1:45" ht="12.6" customHeight="1" x14ac:dyDescent="0.3">
      <c r="A896" s="84"/>
      <c r="B896" s="41" t="str">
        <f>"L (운반거리)  = "&amp;Z896&amp;"  Km ,E (작업효율)  = "&amp;AD896&amp;" , f (환산계수)  = "&amp;AH896&amp;"/"&amp;AJ896&amp;" = "&amp;AL896&amp;""</f>
        <v>L (운반거리)  = 0.1  Km ,E (작업효율)  = 0.9 , f (환산계수)  = 1/1.125 = 0.89</v>
      </c>
      <c r="C896" s="107"/>
      <c r="D896" s="107"/>
      <c r="E896" s="107"/>
      <c r="F896" s="107"/>
      <c r="G896" s="17" t="s">
        <v>1202</v>
      </c>
      <c r="Z896" s="156">
        <v>0.1</v>
      </c>
      <c r="AA896" s="34" t="s">
        <v>871</v>
      </c>
      <c r="AB896" s="158">
        <f>Z896</f>
        <v>0.1</v>
      </c>
      <c r="AC896" s="159" t="s">
        <v>872</v>
      </c>
      <c r="AD896" s="156">
        <v>0.9</v>
      </c>
      <c r="AE896" s="34" t="s">
        <v>871</v>
      </c>
      <c r="AF896" s="158">
        <f>AD896</f>
        <v>0.9</v>
      </c>
      <c r="AG896" s="159" t="s">
        <v>872</v>
      </c>
      <c r="AH896" s="157">
        <v>1</v>
      </c>
      <c r="AI896" s="34" t="s">
        <v>873</v>
      </c>
      <c r="AJ896" s="156">
        <v>1.125</v>
      </c>
      <c r="AK896" s="34" t="s">
        <v>871</v>
      </c>
      <c r="AL896" s="158" t="str">
        <f>TEXT(ROUND(AH896/AJ896,2),"#,0.00")</f>
        <v>0.89</v>
      </c>
      <c r="AM896" s="155"/>
      <c r="AN896" s="155"/>
      <c r="AO896" s="155"/>
      <c r="AP896" s="155"/>
      <c r="AQ896" s="155"/>
      <c r="AR896" s="155"/>
      <c r="AS896" s="155"/>
    </row>
    <row r="897" spans="1:45" ht="12.6" customHeight="1" x14ac:dyDescent="0.3">
      <c r="A897" s="107"/>
      <c r="B897" s="107"/>
      <c r="C897" s="107"/>
      <c r="D897" s="107"/>
      <c r="E897" s="107"/>
      <c r="F897" s="107"/>
      <c r="G897" s="17" t="s">
        <v>848</v>
      </c>
      <c r="Z897" s="155"/>
      <c r="AA897" s="155"/>
      <c r="AB897" s="155"/>
      <c r="AC897" s="155"/>
      <c r="AD897" s="155"/>
      <c r="AE897" s="155"/>
      <c r="AF897" s="155"/>
      <c r="AG897" s="155"/>
      <c r="AH897" s="155"/>
      <c r="AI897" s="155"/>
      <c r="AJ897" s="155"/>
      <c r="AK897" s="155"/>
      <c r="AL897" s="155"/>
      <c r="AM897" s="155"/>
      <c r="AN897" s="155"/>
      <c r="AO897" s="155"/>
      <c r="AP897" s="155"/>
      <c r="AQ897" s="155"/>
      <c r="AR897" s="155"/>
      <c r="AS897" s="155"/>
    </row>
    <row r="898" spans="1:45" ht="12.6" customHeight="1" x14ac:dyDescent="0.3">
      <c r="A898" s="84"/>
      <c r="B898" s="41" t="str">
        <f>"q1 (덤프트럭1회적재량)  = ("&amp;AA898&amp;"/"&amp;AC898&amp;") * "&amp;AE898&amp;" = "&amp;AG898&amp;""</f>
        <v>q1 (덤프트럭1회적재량)  = (4.5/1.7) * 1.125 = 2.98</v>
      </c>
      <c r="C898" s="107"/>
      <c r="D898" s="107"/>
      <c r="E898" s="107"/>
      <c r="F898" s="107"/>
      <c r="G898" s="17" t="s">
        <v>1203</v>
      </c>
      <c r="Z898" s="34" t="s">
        <v>998</v>
      </c>
      <c r="AA898" s="156">
        <v>4.5</v>
      </c>
      <c r="AB898" s="34" t="s">
        <v>873</v>
      </c>
      <c r="AC898" s="156">
        <v>1.7</v>
      </c>
      <c r="AD898" s="34" t="s">
        <v>1000</v>
      </c>
      <c r="AE898" s="156">
        <v>1.125</v>
      </c>
      <c r="AF898" s="34" t="s">
        <v>871</v>
      </c>
      <c r="AG898" s="158" t="str">
        <f>TEXT(ROUND((AA898/AC898)*AE898,2),"#,0.00")</f>
        <v>2.98</v>
      </c>
      <c r="AH898" s="155"/>
      <c r="AI898" s="155"/>
      <c r="AJ898" s="155"/>
      <c r="AK898" s="155"/>
      <c r="AL898" s="155"/>
      <c r="AM898" s="155"/>
      <c r="AN898" s="155"/>
      <c r="AO898" s="155"/>
      <c r="AP898" s="155"/>
      <c r="AQ898" s="155"/>
      <c r="AR898" s="155"/>
      <c r="AS898" s="155"/>
    </row>
    <row r="899" spans="1:45" ht="12.6" customHeight="1" x14ac:dyDescent="0.3">
      <c r="A899" s="107"/>
      <c r="B899" s="107"/>
      <c r="C899" s="107"/>
      <c r="D899" s="107"/>
      <c r="E899" s="107"/>
      <c r="F899" s="107"/>
      <c r="G899" s="17" t="s">
        <v>848</v>
      </c>
      <c r="Z899" s="155"/>
      <c r="AA899" s="155"/>
      <c r="AB899" s="155"/>
      <c r="AC899" s="155"/>
      <c r="AD899" s="155"/>
      <c r="AE899" s="155"/>
      <c r="AF899" s="155"/>
      <c r="AG899" s="155"/>
      <c r="AH899" s="155"/>
      <c r="AI899" s="155"/>
      <c r="AJ899" s="155"/>
      <c r="AK899" s="155"/>
      <c r="AL899" s="155"/>
      <c r="AM899" s="155"/>
      <c r="AN899" s="155"/>
      <c r="AO899" s="155"/>
      <c r="AP899" s="155"/>
      <c r="AQ899" s="155"/>
      <c r="AR899" s="155"/>
      <c r="AS899" s="155"/>
    </row>
    <row r="900" spans="1:45" ht="12.6" customHeight="1" x14ac:dyDescent="0.3">
      <c r="A900" s="84"/>
      <c r="B900" s="41" t="str">
        <f>"n =q1 / ("&amp;AB900&amp;" * k) = "&amp;AG900&amp;"  회 "</f>
        <v xml:space="preserve">n =q1 / (0.7 * k) = 6.08  회 </v>
      </c>
      <c r="C900" s="107"/>
      <c r="D900" s="107"/>
      <c r="E900" s="107"/>
      <c r="F900" s="107"/>
      <c r="G900" s="17" t="s">
        <v>1204</v>
      </c>
      <c r="Z900" s="158" t="str">
        <f>AG898</f>
        <v>2.98</v>
      </c>
      <c r="AA900" s="34" t="s">
        <v>990</v>
      </c>
      <c r="AB900" s="156">
        <v>0.7</v>
      </c>
      <c r="AC900" s="34" t="s">
        <v>876</v>
      </c>
      <c r="AD900" s="158">
        <f>AL880</f>
        <v>0.7</v>
      </c>
      <c r="AE900" s="34" t="s">
        <v>991</v>
      </c>
      <c r="AF900" s="34" t="s">
        <v>871</v>
      </c>
      <c r="AG900" s="158" t="str">
        <f>TEXT(ROUND(AG898/(AB900*AL880),2),"#,0.00")</f>
        <v>6.08</v>
      </c>
      <c r="AH900" s="155"/>
      <c r="AI900" s="155"/>
      <c r="AJ900" s="155"/>
      <c r="AK900" s="155"/>
      <c r="AL900" s="155"/>
      <c r="AM900" s="155"/>
      <c r="AN900" s="155"/>
      <c r="AO900" s="155"/>
      <c r="AP900" s="155"/>
      <c r="AQ900" s="155"/>
      <c r="AR900" s="155"/>
      <c r="AS900" s="155"/>
    </row>
    <row r="901" spans="1:45" ht="12.6" customHeight="1" x14ac:dyDescent="0.3">
      <c r="A901" s="107"/>
      <c r="B901" s="107"/>
      <c r="C901" s="107"/>
      <c r="D901" s="107"/>
      <c r="E901" s="107"/>
      <c r="F901" s="107"/>
      <c r="G901" s="17" t="s">
        <v>848</v>
      </c>
      <c r="Z901" s="155"/>
      <c r="AA901" s="155"/>
      <c r="AB901" s="155"/>
      <c r="AC901" s="155"/>
      <c r="AD901" s="155"/>
      <c r="AE901" s="155"/>
      <c r="AF901" s="155"/>
      <c r="AG901" s="155"/>
      <c r="AH901" s="155"/>
      <c r="AI901" s="155"/>
      <c r="AJ901" s="155"/>
      <c r="AK901" s="155"/>
      <c r="AL901" s="155"/>
      <c r="AM901" s="155"/>
      <c r="AN901" s="155"/>
      <c r="AO901" s="155"/>
      <c r="AP901" s="155"/>
      <c r="AQ901" s="155"/>
      <c r="AR901" s="155"/>
      <c r="AS901" s="155"/>
    </row>
    <row r="902" spans="1:45" ht="12.6" customHeight="1" x14ac:dyDescent="0.3">
      <c r="A902" s="84"/>
      <c r="B902" s="41" t="str">
        <f>"t1 = Cm1 * n / ("&amp;AD902&amp;" * "&amp;AF902&amp;") = "&amp;AI902&amp;" 분 "</f>
        <v xml:space="preserve">t1 = Cm1 * n / (60 * 0.5) = 3.65 분 </v>
      </c>
      <c r="C902" s="107"/>
      <c r="D902" s="107"/>
      <c r="E902" s="107"/>
      <c r="F902" s="107"/>
      <c r="G902" s="17" t="s">
        <v>1205</v>
      </c>
      <c r="Z902" s="158">
        <f>AB882</f>
        <v>18</v>
      </c>
      <c r="AA902" s="34" t="s">
        <v>876</v>
      </c>
      <c r="AB902" s="158" t="str">
        <f>AG900</f>
        <v>6.08</v>
      </c>
      <c r="AC902" s="34" t="s">
        <v>990</v>
      </c>
      <c r="AD902" s="157">
        <v>60</v>
      </c>
      <c r="AE902" s="34" t="s">
        <v>876</v>
      </c>
      <c r="AF902" s="156">
        <v>0.5</v>
      </c>
      <c r="AG902" s="34" t="s">
        <v>991</v>
      </c>
      <c r="AH902" s="34" t="s">
        <v>871</v>
      </c>
      <c r="AI902" s="158" t="str">
        <f>TEXT(ROUND(AB882*AG900/(AD902*AF902),2),"#,0.00")</f>
        <v>3.65</v>
      </c>
      <c r="AJ902" s="155"/>
      <c r="AK902" s="155"/>
      <c r="AL902" s="155"/>
      <c r="AM902" s="155"/>
      <c r="AN902" s="155"/>
      <c r="AO902" s="155"/>
      <c r="AP902" s="155"/>
      <c r="AQ902" s="155"/>
      <c r="AR902" s="155"/>
      <c r="AS902" s="155"/>
    </row>
    <row r="903" spans="1:45" ht="12.6" customHeight="1" x14ac:dyDescent="0.3">
      <c r="A903" s="107"/>
      <c r="B903" s="107"/>
      <c r="C903" s="107"/>
      <c r="D903" s="107"/>
      <c r="E903" s="107"/>
      <c r="F903" s="107"/>
      <c r="G903" s="17" t="s">
        <v>848</v>
      </c>
      <c r="Z903" s="155"/>
      <c r="AA903" s="155"/>
      <c r="AB903" s="155"/>
      <c r="AC903" s="155"/>
      <c r="AD903" s="155"/>
      <c r="AE903" s="155"/>
      <c r="AF903" s="155"/>
      <c r="AG903" s="155"/>
      <c r="AH903" s="155"/>
      <c r="AI903" s="155"/>
      <c r="AJ903" s="155"/>
      <c r="AK903" s="155"/>
      <c r="AL903" s="155"/>
      <c r="AM903" s="155"/>
      <c r="AN903" s="155"/>
      <c r="AO903" s="155"/>
      <c r="AP903" s="155"/>
      <c r="AQ903" s="155"/>
      <c r="AR903" s="155"/>
      <c r="AS903" s="155"/>
    </row>
    <row r="904" spans="1:45" ht="12.6" customHeight="1" x14ac:dyDescent="0.3">
      <c r="A904" s="84"/>
      <c r="B904" s="41" t="str">
        <f>"t2 =(L/"&amp;AC904&amp;"+L/"&amp;AG904&amp;")* "&amp;AI904&amp;" = "&amp;AK904&amp;" 분 "</f>
        <v xml:space="preserve">t2 =(L/7+L/8)* 60 = 1.61 분 </v>
      </c>
      <c r="C904" s="107"/>
      <c r="D904" s="107"/>
      <c r="E904" s="107"/>
      <c r="F904" s="107"/>
      <c r="G904" s="17" t="s">
        <v>1181</v>
      </c>
      <c r="Z904" s="34" t="s">
        <v>998</v>
      </c>
      <c r="AA904" s="158">
        <f>AB896</f>
        <v>0.1</v>
      </c>
      <c r="AB904" s="34" t="s">
        <v>873</v>
      </c>
      <c r="AC904" s="157">
        <v>7</v>
      </c>
      <c r="AD904" s="34" t="s">
        <v>999</v>
      </c>
      <c r="AE904" s="158">
        <f>AB896</f>
        <v>0.1</v>
      </c>
      <c r="AF904" s="34" t="s">
        <v>873</v>
      </c>
      <c r="AG904" s="157">
        <v>8</v>
      </c>
      <c r="AH904" s="34" t="s">
        <v>1000</v>
      </c>
      <c r="AI904" s="157">
        <v>60</v>
      </c>
      <c r="AJ904" s="34" t="s">
        <v>871</v>
      </c>
      <c r="AK904" s="158" t="str">
        <f>TEXT(ROUND((AB896/AC904+AB896/AG904)*AI904,2),"#,0.00")</f>
        <v>1.61</v>
      </c>
      <c r="AL904" s="155"/>
      <c r="AM904" s="155"/>
      <c r="AN904" s="155"/>
      <c r="AO904" s="155"/>
      <c r="AP904" s="155"/>
      <c r="AQ904" s="155"/>
      <c r="AR904" s="155"/>
      <c r="AS904" s="155"/>
    </row>
    <row r="905" spans="1:45" ht="12.6" customHeight="1" x14ac:dyDescent="0.3">
      <c r="A905" s="107"/>
      <c r="B905" s="107"/>
      <c r="C905" s="107"/>
      <c r="D905" s="107"/>
      <c r="E905" s="107"/>
      <c r="F905" s="107"/>
      <c r="G905" s="17" t="s">
        <v>848</v>
      </c>
      <c r="Z905" s="155"/>
      <c r="AA905" s="155"/>
      <c r="AB905" s="155"/>
      <c r="AC905" s="155"/>
      <c r="AD905" s="155"/>
      <c r="AE905" s="155"/>
      <c r="AF905" s="155"/>
      <c r="AG905" s="155"/>
      <c r="AH905" s="155"/>
      <c r="AI905" s="155"/>
      <c r="AJ905" s="155"/>
      <c r="AK905" s="155"/>
      <c r="AL905" s="155"/>
      <c r="AM905" s="155"/>
      <c r="AN905" s="155"/>
      <c r="AO905" s="155"/>
      <c r="AP905" s="155"/>
      <c r="AQ905" s="155"/>
      <c r="AR905" s="155"/>
      <c r="AS905" s="155"/>
    </row>
    <row r="906" spans="1:45" ht="12.6" customHeight="1" x14ac:dyDescent="0.3">
      <c r="A906" s="84"/>
      <c r="B906" s="41" t="str">
        <f>"t3 = "&amp;Z906&amp;" 분 , t4 = "&amp;AD906&amp;" 분 "</f>
        <v xml:space="preserve">t3 = 1.1 분 , t4 = 0.7 분 </v>
      </c>
      <c r="C906" s="107"/>
      <c r="D906" s="107"/>
      <c r="E906" s="107"/>
      <c r="F906" s="107"/>
      <c r="G906" s="17" t="s">
        <v>1036</v>
      </c>
      <c r="Z906" s="156">
        <v>1.1000000000000001</v>
      </c>
      <c r="AA906" s="34" t="s">
        <v>871</v>
      </c>
      <c r="AB906" s="158">
        <f>Z906</f>
        <v>1.1000000000000001</v>
      </c>
      <c r="AC906" s="159" t="s">
        <v>872</v>
      </c>
      <c r="AD906" s="156">
        <v>0.7</v>
      </c>
      <c r="AE906" s="34" t="s">
        <v>871</v>
      </c>
      <c r="AF906" s="158">
        <f>AD906</f>
        <v>0.7</v>
      </c>
      <c r="AG906" s="155"/>
      <c r="AH906" s="155"/>
      <c r="AI906" s="155"/>
      <c r="AJ906" s="155"/>
      <c r="AK906" s="155"/>
      <c r="AL906" s="155"/>
      <c r="AM906" s="155"/>
      <c r="AN906" s="155"/>
      <c r="AO906" s="155"/>
      <c r="AP906" s="155"/>
      <c r="AQ906" s="155"/>
      <c r="AR906" s="155"/>
      <c r="AS906" s="155"/>
    </row>
    <row r="907" spans="1:45" ht="12.6" customHeight="1" x14ac:dyDescent="0.3">
      <c r="A907" s="107"/>
      <c r="B907" s="107"/>
      <c r="C907" s="107"/>
      <c r="D907" s="107"/>
      <c r="E907" s="107"/>
      <c r="F907" s="107"/>
      <c r="G907" s="17" t="s">
        <v>848</v>
      </c>
      <c r="Z907" s="155"/>
      <c r="AA907" s="155"/>
      <c r="AB907" s="155"/>
      <c r="AC907" s="155"/>
      <c r="AD907" s="155"/>
      <c r="AE907" s="155"/>
      <c r="AF907" s="155"/>
      <c r="AG907" s="155"/>
      <c r="AH907" s="155"/>
      <c r="AI907" s="155"/>
      <c r="AJ907" s="155"/>
      <c r="AK907" s="155"/>
      <c r="AL907" s="155"/>
      <c r="AM907" s="155"/>
      <c r="AN907" s="155"/>
      <c r="AO907" s="155"/>
      <c r="AP907" s="155"/>
      <c r="AQ907" s="155"/>
      <c r="AR907" s="155"/>
      <c r="AS907" s="155"/>
    </row>
    <row r="908" spans="1:45" ht="12.6" customHeight="1" x14ac:dyDescent="0.3">
      <c r="A908" s="84"/>
      <c r="B908" s="41" t="str">
        <f>"Cm = t1 + t2 + t3 + t4 = "&amp;AH908&amp;" 분 "</f>
        <v xml:space="preserve">Cm = t1 + t2 + t3 + t4 = 7.06 분 </v>
      </c>
      <c r="C908" s="107"/>
      <c r="D908" s="107"/>
      <c r="E908" s="107"/>
      <c r="F908" s="107"/>
      <c r="G908" s="17" t="s">
        <v>1037</v>
      </c>
      <c r="Z908" s="158" t="str">
        <f>AI902</f>
        <v>3.65</v>
      </c>
      <c r="AA908" s="34" t="s">
        <v>999</v>
      </c>
      <c r="AB908" s="158" t="str">
        <f>AK904</f>
        <v>1.61</v>
      </c>
      <c r="AC908" s="34" t="s">
        <v>999</v>
      </c>
      <c r="AD908" s="158">
        <f>AB906</f>
        <v>1.1000000000000001</v>
      </c>
      <c r="AE908" s="34" t="s">
        <v>999</v>
      </c>
      <c r="AF908" s="158">
        <f>AF906</f>
        <v>0.7</v>
      </c>
      <c r="AG908" s="34" t="s">
        <v>871</v>
      </c>
      <c r="AH908" s="158" t="str">
        <f>TEXT(ROUND(AI902+AK904+AB906+AF906,2),"#,0.00")</f>
        <v>7.06</v>
      </c>
      <c r="AI908" s="155"/>
      <c r="AJ908" s="155"/>
      <c r="AK908" s="155"/>
      <c r="AL908" s="155"/>
      <c r="AM908" s="155"/>
      <c r="AN908" s="155"/>
      <c r="AO908" s="155"/>
      <c r="AP908" s="155"/>
      <c r="AQ908" s="155"/>
      <c r="AR908" s="155"/>
      <c r="AS908" s="155"/>
    </row>
    <row r="909" spans="1:45" ht="12.6" customHeight="1" x14ac:dyDescent="0.3">
      <c r="A909" s="107"/>
      <c r="B909" s="107"/>
      <c r="C909" s="107"/>
      <c r="D909" s="107"/>
      <c r="E909" s="107"/>
      <c r="F909" s="107"/>
      <c r="G909" s="17" t="s">
        <v>848</v>
      </c>
      <c r="Z909" s="155"/>
      <c r="AA909" s="155"/>
      <c r="AB909" s="155"/>
      <c r="AC909" s="155"/>
      <c r="AD909" s="155"/>
      <c r="AE909" s="155"/>
      <c r="AF909" s="155"/>
      <c r="AG909" s="155"/>
      <c r="AH909" s="155"/>
      <c r="AI909" s="155"/>
      <c r="AJ909" s="155"/>
      <c r="AK909" s="155"/>
      <c r="AL909" s="155"/>
      <c r="AM909" s="155"/>
      <c r="AN909" s="155"/>
      <c r="AO909" s="155"/>
      <c r="AP909" s="155"/>
      <c r="AQ909" s="155"/>
      <c r="AR909" s="155"/>
      <c r="AS909" s="155"/>
    </row>
    <row r="910" spans="1:45" ht="12.6" customHeight="1" x14ac:dyDescent="0.3">
      <c r="A910" s="84"/>
      <c r="B910" s="41" t="str">
        <f>"Q1 = "&amp;Z910&amp;" * q1 * f * E / Cm = "&amp;AJ910&amp;" m3/hr "</f>
        <v xml:space="preserve">Q1 = 60 * q1 * f * E / Cm = 20.29 m3/hr </v>
      </c>
      <c r="C910" s="107"/>
      <c r="D910" s="107"/>
      <c r="E910" s="107"/>
      <c r="F910" s="107"/>
      <c r="G910" s="17" t="s">
        <v>1182</v>
      </c>
      <c r="Z910" s="157">
        <v>60</v>
      </c>
      <c r="AA910" s="34" t="s">
        <v>876</v>
      </c>
      <c r="AB910" s="158" t="str">
        <f>AG898</f>
        <v>2.98</v>
      </c>
      <c r="AC910" s="34" t="s">
        <v>876</v>
      </c>
      <c r="AD910" s="158" t="str">
        <f>AL896</f>
        <v>0.89</v>
      </c>
      <c r="AE910" s="34" t="s">
        <v>876</v>
      </c>
      <c r="AF910" s="158">
        <f>AF896</f>
        <v>0.9</v>
      </c>
      <c r="AG910" s="34" t="s">
        <v>873</v>
      </c>
      <c r="AH910" s="158" t="str">
        <f>AH908</f>
        <v>7.06</v>
      </c>
      <c r="AI910" s="34" t="s">
        <v>871</v>
      </c>
      <c r="AJ910" s="158" t="str">
        <f>TEXT(ROUND(Z910*AG898*AL896*AF896/AH908,2),"#,0.00")</f>
        <v>20.29</v>
      </c>
      <c r="AK910" s="155"/>
      <c r="AL910" s="155"/>
      <c r="AM910" s="155"/>
      <c r="AN910" s="155"/>
      <c r="AO910" s="155"/>
      <c r="AP910" s="155"/>
      <c r="AQ910" s="155"/>
      <c r="AR910" s="155"/>
      <c r="AS910" s="155"/>
    </row>
    <row r="911" spans="1:45" ht="12.6" customHeight="1" x14ac:dyDescent="0.3">
      <c r="A911" s="107"/>
      <c r="B911" s="107"/>
      <c r="C911" s="107"/>
      <c r="D911" s="107"/>
      <c r="E911" s="107"/>
      <c r="F911" s="107"/>
      <c r="G911" s="17" t="s">
        <v>848</v>
      </c>
      <c r="Z911" s="155"/>
      <c r="AA911" s="155"/>
      <c r="AB911" s="155"/>
      <c r="AC911" s="155"/>
      <c r="AD911" s="155"/>
      <c r="AE911" s="155"/>
      <c r="AF911" s="155"/>
      <c r="AG911" s="155"/>
      <c r="AH911" s="155"/>
      <c r="AI911" s="155"/>
      <c r="AJ911" s="155"/>
      <c r="AK911" s="155"/>
      <c r="AL911" s="155"/>
      <c r="AM911" s="155"/>
      <c r="AN911" s="155"/>
      <c r="AO911" s="155"/>
      <c r="AP911" s="155"/>
      <c r="AQ911" s="155"/>
      <c r="AR911" s="155"/>
      <c r="AS911" s="155"/>
    </row>
    <row r="912" spans="1:45" ht="12.6" customHeight="1" x14ac:dyDescent="0.3">
      <c r="A912" s="84" t="s">
        <v>1184</v>
      </c>
      <c r="B912" s="146" t="str">
        <f>" 노 무 비  :   "&amp;TEXT(I912,"#,##0"&amp;IF(I912&lt;&gt;INT(I912),".###",""))&amp;" / Q1 = "&amp;TEXT(C912,"#,##0.0")&amp;""</f>
        <v xml:space="preserve"> 노 무 비  :   49,479 / Q1 = 2,438.5</v>
      </c>
      <c r="C912" s="148">
        <f>E912+D912+F912</f>
        <v>2438.5</v>
      </c>
      <c r="D912" s="148">
        <f>IF(H912=0,0,ROUNDDOWN(J912*H912,1))</f>
        <v>2438.5</v>
      </c>
      <c r="E912" s="148">
        <f>IF(H912=0,0,ROUNDDOWN(K912*H912,1))</f>
        <v>0</v>
      </c>
      <c r="F912" s="148">
        <f>IF(H912=0,0,ROUNDDOWN(L912*H912,1))</f>
        <v>0</v>
      </c>
      <c r="G912" s="17" t="s">
        <v>1183</v>
      </c>
      <c r="H912" s="152">
        <f>ROUNDUP(AC912,14-LEN(ABS(INT(AC912))))</f>
        <v>4.9285362247500006E-2</v>
      </c>
      <c r="I912" s="153">
        <f>K912+J912+L912</f>
        <v>49479</v>
      </c>
      <c r="J912" s="37">
        <f>중기목록표!F8</f>
        <v>49479</v>
      </c>
      <c r="M912" s="34" t="s">
        <v>1185</v>
      </c>
      <c r="N912" s="34" t="s">
        <v>886</v>
      </c>
      <c r="X912" s="154" t="str">
        <f>중기목록표!B8&amp;" / "&amp;중기목록표!C8</f>
        <v>덤프트럭 / 4.5톤</v>
      </c>
      <c r="Y912" s="3" t="str">
        <f ca="1">HYPERLINK("#"&amp;중기목록표!J2&amp;"!A"&amp;ROW(중기목록표!A8),"X00024 →")</f>
        <v>X00024 →</v>
      </c>
      <c r="Z912" s="34" t="s">
        <v>879</v>
      </c>
      <c r="AA912" s="158" t="str">
        <f>AJ910</f>
        <v>20.29</v>
      </c>
      <c r="AB912" s="34" t="s">
        <v>871</v>
      </c>
      <c r="AC912" s="158">
        <f>1/AJ910</f>
        <v>4.928536224741252E-2</v>
      </c>
      <c r="AD912" s="155"/>
      <c r="AE912" s="155"/>
      <c r="AF912" s="155"/>
      <c r="AG912" s="155"/>
      <c r="AH912" s="155"/>
      <c r="AI912" s="155"/>
      <c r="AJ912" s="155"/>
      <c r="AK912" s="155"/>
      <c r="AL912" s="155"/>
      <c r="AM912" s="155"/>
      <c r="AN912" s="155"/>
      <c r="AO912" s="155"/>
      <c r="AP912" s="155"/>
      <c r="AQ912" s="155"/>
      <c r="AR912" s="155"/>
      <c r="AS912" s="155"/>
    </row>
    <row r="913" spans="1:45" ht="12.6" customHeight="1" x14ac:dyDescent="0.3">
      <c r="A913" s="107"/>
      <c r="B913" s="107"/>
      <c r="C913" s="107"/>
      <c r="D913" s="107"/>
      <c r="E913" s="107"/>
      <c r="F913" s="107"/>
      <c r="G913" s="17" t="s">
        <v>848</v>
      </c>
      <c r="Z913" s="155"/>
      <c r="AA913" s="155"/>
      <c r="AB913" s="155"/>
      <c r="AC913" s="155"/>
      <c r="AD913" s="155"/>
      <c r="AE913" s="155"/>
      <c r="AF913" s="155"/>
      <c r="AG913" s="155"/>
      <c r="AH913" s="155"/>
      <c r="AI913" s="155"/>
      <c r="AJ913" s="155"/>
      <c r="AK913" s="155"/>
      <c r="AL913" s="155"/>
      <c r="AM913" s="155"/>
      <c r="AN913" s="155"/>
      <c r="AO913" s="155"/>
      <c r="AP913" s="155"/>
      <c r="AQ913" s="155"/>
      <c r="AR913" s="155"/>
      <c r="AS913" s="155"/>
    </row>
    <row r="914" spans="1:45" ht="12.6" customHeight="1" x14ac:dyDescent="0.3">
      <c r="A914" s="84" t="s">
        <v>1187</v>
      </c>
      <c r="B914" s="146" t="str">
        <f>" 재 료 비  :   "&amp;TEXT(I914,"#,##0"&amp;IF(I914&lt;&gt;INT(I914),".###",""))&amp;" / Q1 = "&amp;TEXT(C914,"#,##0.0")&amp;""</f>
        <v xml:space="preserve"> 재 료 비  :   8,700 / Q1 = 428.7</v>
      </c>
      <c r="C914" s="148">
        <f>E914+D914+F914</f>
        <v>428.7</v>
      </c>
      <c r="D914" s="148">
        <f>IF(H914=0,0,ROUNDDOWN(J914*H914,1))</f>
        <v>0</v>
      </c>
      <c r="E914" s="148">
        <f>IF(H914=0,0,ROUNDDOWN(K914*H914,1))</f>
        <v>428.7</v>
      </c>
      <c r="F914" s="148">
        <f>IF(H914=0,0,ROUNDDOWN(L914*H914,1))</f>
        <v>0</v>
      </c>
      <c r="G914" s="17" t="s">
        <v>1186</v>
      </c>
      <c r="H914" s="152">
        <f>ROUNDUP(AC914,14-LEN(ABS(INT(AC914))))</f>
        <v>4.9285362247500006E-2</v>
      </c>
      <c r="I914" s="153">
        <f>K914+J914+L914</f>
        <v>8700</v>
      </c>
      <c r="K914" s="37">
        <f>중기목록표!G8</f>
        <v>8700</v>
      </c>
      <c r="M914" s="34" t="s">
        <v>1185</v>
      </c>
      <c r="N914" s="34" t="s">
        <v>886</v>
      </c>
      <c r="X914" s="154" t="str">
        <f>중기목록표!B8&amp;" / "&amp;중기목록표!C8</f>
        <v>덤프트럭 / 4.5톤</v>
      </c>
      <c r="Y914" s="3" t="str">
        <f ca="1">HYPERLINK("#"&amp;중기목록표!J2&amp;"!A"&amp;ROW(중기목록표!A8),"X00024 →")</f>
        <v>X00024 →</v>
      </c>
      <c r="Z914" s="34" t="s">
        <v>879</v>
      </c>
      <c r="AA914" s="158" t="str">
        <f>AJ910</f>
        <v>20.29</v>
      </c>
      <c r="AB914" s="34" t="s">
        <v>871</v>
      </c>
      <c r="AC914" s="158">
        <f>1/AJ910</f>
        <v>4.928536224741252E-2</v>
      </c>
      <c r="AD914" s="155"/>
      <c r="AE914" s="155"/>
      <c r="AF914" s="155"/>
      <c r="AG914" s="155"/>
      <c r="AH914" s="155"/>
      <c r="AI914" s="155"/>
      <c r="AJ914" s="155"/>
      <c r="AK914" s="155"/>
      <c r="AL914" s="155"/>
      <c r="AM914" s="155"/>
      <c r="AN914" s="155"/>
      <c r="AO914" s="155"/>
      <c r="AP914" s="155"/>
      <c r="AQ914" s="155"/>
      <c r="AR914" s="155"/>
      <c r="AS914" s="155"/>
    </row>
    <row r="915" spans="1:45" ht="12.6" customHeight="1" x14ac:dyDescent="0.3">
      <c r="A915" s="107"/>
      <c r="B915" s="107"/>
      <c r="C915" s="107"/>
      <c r="D915" s="107"/>
      <c r="E915" s="107"/>
      <c r="F915" s="107"/>
      <c r="G915" s="17" t="s">
        <v>848</v>
      </c>
      <c r="Z915" s="155"/>
      <c r="AA915" s="155"/>
      <c r="AB915" s="155"/>
      <c r="AC915" s="155"/>
      <c r="AD915" s="155"/>
      <c r="AE915" s="155"/>
      <c r="AF915" s="155"/>
      <c r="AG915" s="155"/>
      <c r="AH915" s="155"/>
      <c r="AI915" s="155"/>
      <c r="AJ915" s="155"/>
      <c r="AK915" s="155"/>
      <c r="AL915" s="155"/>
      <c r="AM915" s="155"/>
      <c r="AN915" s="155"/>
      <c r="AO915" s="155"/>
      <c r="AP915" s="155"/>
      <c r="AQ915" s="155"/>
      <c r="AR915" s="155"/>
      <c r="AS915" s="155"/>
    </row>
    <row r="916" spans="1:45" ht="12.6" customHeight="1" x14ac:dyDescent="0.3">
      <c r="A916" s="84" t="s">
        <v>1189</v>
      </c>
      <c r="B916" s="146" t="str">
        <f>" 경    비  :   "&amp;TEXT(I916,"#,##0"&amp;IF(I916&lt;&gt;INT(I916),".###",""))&amp;" / Q1 = "&amp;TEXT(C916,"#,##0.0")&amp;""</f>
        <v xml:space="preserve"> 경    비  :   7,472 / Q1 = 368.2</v>
      </c>
      <c r="C916" s="148">
        <f>E916+D916+F916</f>
        <v>368.2</v>
      </c>
      <c r="D916" s="148">
        <f>IF(H916=0,0,ROUNDDOWN(J916*H916,1))</f>
        <v>0</v>
      </c>
      <c r="E916" s="148">
        <f>IF(H916=0,0,ROUNDDOWN(K916*H916,1))</f>
        <v>0</v>
      </c>
      <c r="F916" s="148">
        <f>IF(H916=0,0,ROUNDDOWN(L916*H916,1))</f>
        <v>368.2</v>
      </c>
      <c r="G916" s="17" t="s">
        <v>1188</v>
      </c>
      <c r="H916" s="152">
        <f>ROUNDUP(AC916,14-LEN(ABS(INT(AC916))))</f>
        <v>4.9285362247500006E-2</v>
      </c>
      <c r="I916" s="153">
        <f>K916+J916+L916</f>
        <v>7472</v>
      </c>
      <c r="L916" s="37">
        <f>중기목록표!H8</f>
        <v>7472</v>
      </c>
      <c r="M916" s="34" t="s">
        <v>1185</v>
      </c>
      <c r="N916" s="34" t="s">
        <v>886</v>
      </c>
      <c r="X916" s="154" t="str">
        <f>중기목록표!B8&amp;" / "&amp;중기목록표!C8</f>
        <v>덤프트럭 / 4.5톤</v>
      </c>
      <c r="Y916" s="3" t="str">
        <f ca="1">HYPERLINK("#"&amp;중기목록표!J2&amp;"!A"&amp;ROW(중기목록표!A8),"X00024 →")</f>
        <v>X00024 →</v>
      </c>
      <c r="Z916" s="34" t="s">
        <v>879</v>
      </c>
      <c r="AA916" s="158" t="str">
        <f>AJ910</f>
        <v>20.29</v>
      </c>
      <c r="AB916" s="34" t="s">
        <v>871</v>
      </c>
      <c r="AC916" s="158">
        <f>1/AJ910</f>
        <v>4.928536224741252E-2</v>
      </c>
      <c r="AD916" s="155"/>
      <c r="AE916" s="155"/>
      <c r="AF916" s="155"/>
      <c r="AG916" s="155"/>
      <c r="AH916" s="155"/>
      <c r="AI916" s="155"/>
      <c r="AJ916" s="155"/>
      <c r="AK916" s="155"/>
      <c r="AL916" s="155"/>
      <c r="AM916" s="155"/>
      <c r="AN916" s="155"/>
      <c r="AO916" s="155"/>
      <c r="AP916" s="155"/>
      <c r="AQ916" s="155"/>
      <c r="AR916" s="155"/>
      <c r="AS916" s="155"/>
    </row>
    <row r="917" spans="1:45" ht="12.6" customHeight="1" x14ac:dyDescent="0.3">
      <c r="A917" s="107"/>
      <c r="B917" s="107"/>
      <c r="C917" s="107"/>
      <c r="D917" s="107"/>
      <c r="E917" s="107"/>
      <c r="F917" s="107"/>
      <c r="G917" s="17" t="s">
        <v>848</v>
      </c>
      <c r="Z917" s="155"/>
      <c r="AA917" s="155"/>
      <c r="AB917" s="155"/>
      <c r="AC917" s="155"/>
      <c r="AD917" s="155"/>
      <c r="AE917" s="155"/>
      <c r="AF917" s="155"/>
      <c r="AG917" s="155"/>
      <c r="AH917" s="155"/>
      <c r="AI917" s="155"/>
      <c r="AJ917" s="155"/>
      <c r="AK917" s="155"/>
      <c r="AL917" s="155"/>
      <c r="AM917" s="155"/>
      <c r="AN917" s="155"/>
      <c r="AO917" s="155"/>
      <c r="AP917" s="155"/>
      <c r="AQ917" s="155"/>
      <c r="AR917" s="155"/>
      <c r="AS917" s="155"/>
    </row>
    <row r="918" spans="1:45" ht="12.6" customHeight="1" x14ac:dyDescent="0.3">
      <c r="A918" s="84"/>
      <c r="B918" s="41" t="s">
        <v>885</v>
      </c>
      <c r="C918" s="149">
        <f>E918+D918+F918</f>
        <v>3235.3999999999996</v>
      </c>
      <c r="D918" s="149">
        <f>SUMIF(N893:N917,M918,D893:D917)</f>
        <v>2438.5</v>
      </c>
      <c r="E918" s="149">
        <f>SUMIF(N893:N917,M918,E893:E917)</f>
        <v>428.7</v>
      </c>
      <c r="F918" s="149">
        <f>SUMIF(N893:N917,M918,F893:F917)</f>
        <v>368.2</v>
      </c>
      <c r="G918" s="17" t="s">
        <v>884</v>
      </c>
      <c r="M918" s="34" t="s">
        <v>886</v>
      </c>
      <c r="N918" s="34" t="s">
        <v>891</v>
      </c>
      <c r="Z918" s="155"/>
      <c r="AA918" s="155"/>
      <c r="AB918" s="155"/>
      <c r="AC918" s="155"/>
      <c r="AD918" s="155"/>
      <c r="AE918" s="155"/>
      <c r="AF918" s="155"/>
      <c r="AG918" s="155"/>
      <c r="AH918" s="155"/>
      <c r="AI918" s="155"/>
      <c r="AJ918" s="155"/>
      <c r="AK918" s="155"/>
      <c r="AL918" s="155"/>
      <c r="AM918" s="155"/>
      <c r="AN918" s="155"/>
      <c r="AO918" s="155"/>
      <c r="AP918" s="155"/>
      <c r="AQ918" s="155"/>
      <c r="AR918" s="155"/>
      <c r="AS918" s="155"/>
    </row>
    <row r="919" spans="1:45" ht="12.6" customHeight="1" x14ac:dyDescent="0.3">
      <c r="A919" s="107"/>
      <c r="B919" s="107"/>
      <c r="C919" s="147"/>
      <c r="D919" s="147"/>
      <c r="E919" s="147"/>
      <c r="F919" s="147"/>
      <c r="G919" s="17" t="s">
        <v>848</v>
      </c>
      <c r="Z919" s="155"/>
      <c r="AA919" s="155"/>
      <c r="AB919" s="155"/>
      <c r="AC919" s="155"/>
      <c r="AD919" s="155"/>
      <c r="AE919" s="155"/>
      <c r="AF919" s="155"/>
      <c r="AG919" s="155"/>
      <c r="AH919" s="155"/>
      <c r="AI919" s="155"/>
      <c r="AJ919" s="155"/>
      <c r="AK919" s="155"/>
      <c r="AL919" s="155"/>
      <c r="AM919" s="155"/>
      <c r="AN919" s="155"/>
      <c r="AO919" s="155"/>
      <c r="AP919" s="155"/>
      <c r="AQ919" s="155"/>
      <c r="AR919" s="155"/>
      <c r="AS919" s="155"/>
    </row>
    <row r="920" spans="1:45" ht="12.6" customHeight="1" x14ac:dyDescent="0.3">
      <c r="A920" s="84"/>
      <c r="B920" s="41" t="s">
        <v>769</v>
      </c>
      <c r="C920" s="149">
        <f>E920+D920+F920</f>
        <v>4980.2</v>
      </c>
      <c r="D920" s="149">
        <f>SUMIF(N872:N919,M920,D872:D919)</f>
        <v>3445.3</v>
      </c>
      <c r="E920" s="149">
        <f>SUMIF(N872:N919,M920,E872:E919)</f>
        <v>743.4</v>
      </c>
      <c r="F920" s="149">
        <f>SUMIF(N872:N919,M920,F872:F919)</f>
        <v>791.5</v>
      </c>
      <c r="G920" s="17" t="s">
        <v>890</v>
      </c>
      <c r="M920" s="34" t="s">
        <v>891</v>
      </c>
      <c r="N920" s="34" t="s">
        <v>768</v>
      </c>
      <c r="Z920" s="155"/>
      <c r="AA920" s="155"/>
      <c r="AB920" s="155"/>
      <c r="AC920" s="155"/>
      <c r="AD920" s="155"/>
      <c r="AE920" s="155"/>
      <c r="AF920" s="155"/>
      <c r="AG920" s="155"/>
      <c r="AH920" s="155"/>
      <c r="AI920" s="155"/>
      <c r="AJ920" s="155"/>
      <c r="AK920" s="155"/>
      <c r="AL920" s="155"/>
      <c r="AM920" s="155"/>
      <c r="AN920" s="155"/>
      <c r="AO920" s="155"/>
      <c r="AP920" s="155"/>
      <c r="AQ920" s="155"/>
      <c r="AR920" s="155"/>
      <c r="AS920" s="155"/>
    </row>
    <row r="921" spans="1:45" ht="12.6" customHeight="1" x14ac:dyDescent="0.3">
      <c r="A921" s="107"/>
      <c r="B921" s="107"/>
      <c r="C921" s="147"/>
      <c r="D921" s="147"/>
      <c r="E921" s="147"/>
      <c r="F921" s="147"/>
      <c r="Z921" s="155"/>
      <c r="AA921" s="155"/>
      <c r="AB921" s="155"/>
      <c r="AC921" s="155"/>
      <c r="AD921" s="155"/>
      <c r="AE921" s="155"/>
      <c r="AF921" s="155"/>
      <c r="AG921" s="155"/>
      <c r="AH921" s="155"/>
      <c r="AI921" s="155"/>
      <c r="AJ921" s="155"/>
      <c r="AK921" s="155"/>
      <c r="AL921" s="155"/>
      <c r="AM921" s="155"/>
      <c r="AN921" s="155"/>
      <c r="AO921" s="155"/>
      <c r="AP921" s="155"/>
      <c r="AQ921" s="155"/>
      <c r="AR921" s="155"/>
      <c r="AS921" s="155"/>
    </row>
    <row r="922" spans="1:45" ht="12.6" customHeight="1" x14ac:dyDescent="0.3">
      <c r="A922" s="107"/>
      <c r="B922" s="107"/>
      <c r="C922" s="107"/>
      <c r="D922" s="107"/>
      <c r="E922" s="107"/>
      <c r="F922" s="107"/>
      <c r="Z922" s="155"/>
      <c r="AA922" s="155"/>
      <c r="AB922" s="155"/>
      <c r="AC922" s="155"/>
      <c r="AD922" s="155"/>
      <c r="AE922" s="155"/>
      <c r="AF922" s="155"/>
      <c r="AG922" s="155"/>
      <c r="AH922" s="155"/>
      <c r="AI922" s="155"/>
      <c r="AJ922" s="155"/>
      <c r="AK922" s="155"/>
      <c r="AL922" s="155"/>
      <c r="AM922" s="155"/>
      <c r="AN922" s="155"/>
      <c r="AO922" s="155"/>
      <c r="AP922" s="155"/>
      <c r="AQ922" s="155"/>
      <c r="AR922" s="155"/>
      <c r="AS922" s="155"/>
    </row>
    <row r="923" spans="1:45" ht="12.6" customHeight="1" x14ac:dyDescent="0.3">
      <c r="A923" s="107"/>
      <c r="B923" s="107"/>
      <c r="C923" s="107"/>
      <c r="D923" s="107"/>
      <c r="E923" s="107"/>
      <c r="F923" s="107"/>
      <c r="Z923" s="155"/>
      <c r="AA923" s="155"/>
      <c r="AB923" s="155"/>
      <c r="AC923" s="155"/>
      <c r="AD923" s="155"/>
      <c r="AE923" s="155"/>
      <c r="AF923" s="155"/>
      <c r="AG923" s="155"/>
      <c r="AH923" s="155"/>
      <c r="AI923" s="155"/>
      <c r="AJ923" s="155"/>
      <c r="AK923" s="155"/>
      <c r="AL923" s="155"/>
      <c r="AM923" s="155"/>
      <c r="AN923" s="155"/>
      <c r="AO923" s="155"/>
      <c r="AP923" s="155"/>
      <c r="AQ923" s="155"/>
      <c r="AR923" s="155"/>
      <c r="AS923" s="155"/>
    </row>
    <row r="924" spans="1:45" ht="12.6" customHeight="1" x14ac:dyDescent="0.3">
      <c r="A924" s="107"/>
      <c r="B924" s="107"/>
      <c r="C924" s="107"/>
      <c r="D924" s="107"/>
      <c r="E924" s="107"/>
      <c r="F924" s="107"/>
      <c r="Z924" s="155"/>
      <c r="AA924" s="155"/>
      <c r="AB924" s="155"/>
      <c r="AC924" s="155"/>
      <c r="AD924" s="155"/>
      <c r="AE924" s="155"/>
      <c r="AF924" s="155"/>
      <c r="AG924" s="155"/>
      <c r="AH924" s="155"/>
      <c r="AI924" s="155"/>
      <c r="AJ924" s="155"/>
      <c r="AK924" s="155"/>
      <c r="AL924" s="155"/>
      <c r="AM924" s="155"/>
      <c r="AN924" s="155"/>
      <c r="AO924" s="155"/>
      <c r="AP924" s="155"/>
      <c r="AQ924" s="155"/>
      <c r="AR924" s="155"/>
      <c r="AS924" s="155"/>
    </row>
    <row r="925" spans="1:45" ht="12.6" customHeight="1" x14ac:dyDescent="0.3">
      <c r="A925" s="107"/>
      <c r="B925" s="107"/>
      <c r="C925" s="107"/>
      <c r="D925" s="107"/>
      <c r="E925" s="107"/>
      <c r="F925" s="107"/>
      <c r="Z925" s="155"/>
      <c r="AA925" s="155"/>
      <c r="AB925" s="155"/>
      <c r="AC925" s="155"/>
      <c r="AD925" s="155"/>
      <c r="AE925" s="155"/>
      <c r="AF925" s="155"/>
      <c r="AG925" s="155"/>
      <c r="AH925" s="155"/>
      <c r="AI925" s="155"/>
      <c r="AJ925" s="155"/>
      <c r="AK925" s="155"/>
      <c r="AL925" s="155"/>
      <c r="AM925" s="155"/>
      <c r="AN925" s="155"/>
      <c r="AO925" s="155"/>
      <c r="AP925" s="155"/>
      <c r="AQ925" s="155"/>
      <c r="AR925" s="155"/>
      <c r="AS925" s="155"/>
    </row>
    <row r="926" spans="1:45" ht="12.6" customHeight="1" x14ac:dyDescent="0.3">
      <c r="A926" s="107"/>
      <c r="B926" s="107"/>
      <c r="C926" s="107"/>
      <c r="D926" s="107"/>
      <c r="E926" s="107"/>
      <c r="F926" s="107"/>
      <c r="Z926" s="155"/>
      <c r="AA926" s="155"/>
      <c r="AB926" s="155"/>
      <c r="AC926" s="155"/>
      <c r="AD926" s="155"/>
      <c r="AE926" s="155"/>
      <c r="AF926" s="155"/>
      <c r="AG926" s="155"/>
      <c r="AH926" s="155"/>
      <c r="AI926" s="155"/>
      <c r="AJ926" s="155"/>
      <c r="AK926" s="155"/>
      <c r="AL926" s="155"/>
      <c r="AM926" s="155"/>
      <c r="AN926" s="155"/>
      <c r="AO926" s="155"/>
      <c r="AP926" s="155"/>
      <c r="AQ926" s="155"/>
      <c r="AR926" s="155"/>
      <c r="AS926" s="155"/>
    </row>
    <row r="927" spans="1:45" ht="12.6" customHeight="1" x14ac:dyDescent="0.3">
      <c r="A927" s="107"/>
      <c r="B927" s="107"/>
      <c r="C927" s="107"/>
      <c r="D927" s="107"/>
      <c r="E927" s="107"/>
      <c r="F927" s="107"/>
      <c r="Z927" s="155"/>
      <c r="AA927" s="155"/>
      <c r="AB927" s="155"/>
      <c r="AC927" s="155"/>
      <c r="AD927" s="155"/>
      <c r="AE927" s="155"/>
      <c r="AF927" s="155"/>
      <c r="AG927" s="155"/>
      <c r="AH927" s="155"/>
      <c r="AI927" s="155"/>
      <c r="AJ927" s="155"/>
      <c r="AK927" s="155"/>
      <c r="AL927" s="155"/>
      <c r="AM927" s="155"/>
      <c r="AN927" s="155"/>
      <c r="AO927" s="155"/>
      <c r="AP927" s="155"/>
      <c r="AQ927" s="155"/>
      <c r="AR927" s="155"/>
      <c r="AS927" s="155"/>
    </row>
    <row r="928" spans="1:45" ht="12.6" customHeight="1" x14ac:dyDescent="0.3">
      <c r="A928" s="107"/>
      <c r="B928" s="107"/>
      <c r="C928" s="107"/>
      <c r="D928" s="107"/>
      <c r="E928" s="107"/>
      <c r="F928" s="107"/>
      <c r="Z928" s="155"/>
      <c r="AA928" s="155"/>
      <c r="AB928" s="155"/>
      <c r="AC928" s="155"/>
      <c r="AD928" s="155"/>
      <c r="AE928" s="155"/>
      <c r="AF928" s="155"/>
      <c r="AG928" s="155"/>
      <c r="AH928" s="155"/>
      <c r="AI928" s="155"/>
      <c r="AJ928" s="155"/>
      <c r="AK928" s="155"/>
      <c r="AL928" s="155"/>
      <c r="AM928" s="155"/>
      <c r="AN928" s="155"/>
      <c r="AO928" s="155"/>
      <c r="AP928" s="155"/>
      <c r="AQ928" s="155"/>
      <c r="AR928" s="155"/>
      <c r="AS928" s="155"/>
    </row>
    <row r="929" spans="1:45" ht="12.6" customHeight="1" x14ac:dyDescent="0.3">
      <c r="A929" s="107"/>
      <c r="B929" s="107"/>
      <c r="C929" s="107"/>
      <c r="D929" s="107"/>
      <c r="E929" s="107"/>
      <c r="F929" s="107"/>
      <c r="Z929" s="155"/>
      <c r="AA929" s="155"/>
      <c r="AB929" s="155"/>
      <c r="AC929" s="155"/>
      <c r="AD929" s="155"/>
      <c r="AE929" s="155"/>
      <c r="AF929" s="155"/>
      <c r="AG929" s="155"/>
      <c r="AH929" s="155"/>
      <c r="AI929" s="155"/>
      <c r="AJ929" s="155"/>
      <c r="AK929" s="155"/>
      <c r="AL929" s="155"/>
      <c r="AM929" s="155"/>
      <c r="AN929" s="155"/>
      <c r="AO929" s="155"/>
      <c r="AP929" s="155"/>
      <c r="AQ929" s="155"/>
      <c r="AR929" s="155"/>
      <c r="AS929" s="155"/>
    </row>
    <row r="930" spans="1:45" ht="12.6" customHeight="1" x14ac:dyDescent="0.3">
      <c r="A930" s="107"/>
      <c r="B930" s="107"/>
      <c r="C930" s="107"/>
      <c r="D930" s="107"/>
      <c r="E930" s="107"/>
      <c r="F930" s="107"/>
      <c r="Z930" s="155"/>
      <c r="AA930" s="155"/>
      <c r="AB930" s="155"/>
      <c r="AC930" s="155"/>
      <c r="AD930" s="155"/>
      <c r="AE930" s="155"/>
      <c r="AF930" s="155"/>
      <c r="AG930" s="155"/>
      <c r="AH930" s="155"/>
      <c r="AI930" s="155"/>
      <c r="AJ930" s="155"/>
      <c r="AK930" s="155"/>
      <c r="AL930" s="155"/>
      <c r="AM930" s="155"/>
      <c r="AN930" s="155"/>
      <c r="AO930" s="155"/>
      <c r="AP930" s="155"/>
      <c r="AQ930" s="155"/>
      <c r="AR930" s="155"/>
      <c r="AS930" s="155"/>
    </row>
    <row r="931" spans="1:45" ht="12.6" customHeight="1" x14ac:dyDescent="0.3">
      <c r="A931" s="107"/>
      <c r="B931" s="107"/>
      <c r="C931" s="107"/>
      <c r="D931" s="107"/>
      <c r="E931" s="107"/>
      <c r="F931" s="107"/>
      <c r="Z931" s="155"/>
      <c r="AA931" s="155"/>
      <c r="AB931" s="155"/>
      <c r="AC931" s="155"/>
      <c r="AD931" s="155"/>
      <c r="AE931" s="155"/>
      <c r="AF931" s="155"/>
      <c r="AG931" s="155"/>
      <c r="AH931" s="155"/>
      <c r="AI931" s="155"/>
      <c r="AJ931" s="155"/>
      <c r="AK931" s="155"/>
      <c r="AL931" s="155"/>
      <c r="AM931" s="155"/>
      <c r="AN931" s="155"/>
      <c r="AO931" s="155"/>
      <c r="AP931" s="155"/>
      <c r="AQ931" s="155"/>
      <c r="AR931" s="155"/>
      <c r="AS931" s="155"/>
    </row>
    <row r="932" spans="1:45" ht="12.6" customHeight="1" x14ac:dyDescent="0.3">
      <c r="A932" s="107"/>
      <c r="B932" s="107"/>
      <c r="C932" s="107"/>
      <c r="D932" s="107"/>
      <c r="E932" s="107"/>
      <c r="F932" s="107"/>
      <c r="Z932" s="155"/>
      <c r="AA932" s="155"/>
      <c r="AB932" s="155"/>
      <c r="AC932" s="155"/>
      <c r="AD932" s="155"/>
      <c r="AE932" s="155"/>
      <c r="AF932" s="155"/>
      <c r="AG932" s="155"/>
      <c r="AH932" s="155"/>
      <c r="AI932" s="155"/>
      <c r="AJ932" s="155"/>
      <c r="AK932" s="155"/>
      <c r="AL932" s="155"/>
      <c r="AM932" s="155"/>
      <c r="AN932" s="155"/>
      <c r="AO932" s="155"/>
      <c r="AP932" s="155"/>
      <c r="AQ932" s="155"/>
      <c r="AR932" s="155"/>
      <c r="AS932" s="155"/>
    </row>
    <row r="933" spans="1:45" ht="12.6" customHeight="1" x14ac:dyDescent="0.3">
      <c r="A933" s="107"/>
      <c r="B933" s="107"/>
      <c r="C933" s="107"/>
      <c r="D933" s="107"/>
      <c r="E933" s="107"/>
      <c r="F933" s="107"/>
      <c r="Z933" s="155"/>
      <c r="AA933" s="155"/>
      <c r="AB933" s="155"/>
      <c r="AC933" s="155"/>
      <c r="AD933" s="155"/>
      <c r="AE933" s="155"/>
      <c r="AF933" s="155"/>
      <c r="AG933" s="155"/>
      <c r="AH933" s="155"/>
      <c r="AI933" s="155"/>
      <c r="AJ933" s="155"/>
      <c r="AK933" s="155"/>
      <c r="AL933" s="155"/>
      <c r="AM933" s="155"/>
      <c r="AN933" s="155"/>
      <c r="AO933" s="155"/>
      <c r="AP933" s="155"/>
      <c r="AQ933" s="155"/>
      <c r="AR933" s="155"/>
      <c r="AS933" s="155"/>
    </row>
    <row r="934" spans="1:45" ht="12.6" customHeight="1" x14ac:dyDescent="0.3">
      <c r="A934" s="107"/>
      <c r="B934" s="107"/>
      <c r="C934" s="107"/>
      <c r="D934" s="107"/>
      <c r="E934" s="107"/>
      <c r="F934" s="107"/>
      <c r="Z934" s="155"/>
      <c r="AA934" s="155"/>
      <c r="AB934" s="155"/>
      <c r="AC934" s="155"/>
      <c r="AD934" s="155"/>
      <c r="AE934" s="155"/>
      <c r="AF934" s="155"/>
      <c r="AG934" s="155"/>
      <c r="AH934" s="155"/>
      <c r="AI934" s="155"/>
      <c r="AJ934" s="155"/>
      <c r="AK934" s="155"/>
      <c r="AL934" s="155"/>
      <c r="AM934" s="155"/>
      <c r="AN934" s="155"/>
      <c r="AO934" s="155"/>
      <c r="AP934" s="155"/>
      <c r="AQ934" s="155"/>
      <c r="AR934" s="155"/>
      <c r="AS934" s="155"/>
    </row>
    <row r="935" spans="1:45" ht="12.6" customHeight="1" x14ac:dyDescent="0.3">
      <c r="A935" s="107"/>
      <c r="B935" s="107"/>
      <c r="C935" s="107"/>
      <c r="D935" s="107"/>
      <c r="E935" s="107"/>
      <c r="F935" s="107"/>
      <c r="Z935" s="155"/>
      <c r="AA935" s="155"/>
      <c r="AB935" s="155"/>
      <c r="AC935" s="155"/>
      <c r="AD935" s="155"/>
      <c r="AE935" s="155"/>
      <c r="AF935" s="155"/>
      <c r="AG935" s="155"/>
      <c r="AH935" s="155"/>
      <c r="AI935" s="155"/>
      <c r="AJ935" s="155"/>
      <c r="AK935" s="155"/>
      <c r="AL935" s="155"/>
      <c r="AM935" s="155"/>
      <c r="AN935" s="155"/>
      <c r="AO935" s="155"/>
      <c r="AP935" s="155"/>
      <c r="AQ935" s="155"/>
      <c r="AR935" s="155"/>
      <c r="AS935" s="155"/>
    </row>
    <row r="936" spans="1:45" ht="12.6" customHeight="1" x14ac:dyDescent="0.3">
      <c r="A936" s="123"/>
      <c r="B936" s="123"/>
      <c r="C936" s="123"/>
      <c r="D936" s="123"/>
      <c r="E936" s="123"/>
      <c r="F936" s="123"/>
      <c r="Z936" s="155"/>
      <c r="AA936" s="155"/>
      <c r="AB936" s="155"/>
      <c r="AC936" s="155"/>
      <c r="AD936" s="155"/>
      <c r="AE936" s="155"/>
      <c r="AF936" s="155"/>
      <c r="AG936" s="155"/>
      <c r="AH936" s="155"/>
      <c r="AI936" s="155"/>
      <c r="AJ936" s="155"/>
      <c r="AK936" s="155"/>
      <c r="AL936" s="155"/>
      <c r="AM936" s="155"/>
      <c r="AN936" s="155"/>
      <c r="AO936" s="155"/>
      <c r="AP936" s="155"/>
      <c r="AQ936" s="155"/>
      <c r="AR936" s="155"/>
      <c r="AS936" s="155"/>
    </row>
    <row r="937" spans="1:45" ht="12.6" customHeight="1" x14ac:dyDescent="0.3">
      <c r="A937" s="193" t="s">
        <v>1107</v>
      </c>
      <c r="B937" s="194"/>
      <c r="C937" s="99">
        <f>E937+D937+F937</f>
        <v>4979</v>
      </c>
      <c r="D937" s="12">
        <v>0</v>
      </c>
      <c r="E937" s="13">
        <v>0</v>
      </c>
      <c r="F937" s="99">
        <f>ROUNDDOWN(SUMIF(N872:N920,M937,E872:E920),0)+ROUNDDOWN(SUMIF(N872:N920,M937,D872:D920),0)+ROUNDDOWN(SUMIF(N872:N920,M937,F872:F920),0)</f>
        <v>4979</v>
      </c>
      <c r="M937" s="34" t="s">
        <v>768</v>
      </c>
      <c r="N937" s="34" t="s">
        <v>770</v>
      </c>
      <c r="Z937" s="155"/>
      <c r="AA937" s="155"/>
      <c r="AB937" s="155"/>
      <c r="AC937" s="155"/>
      <c r="AD937" s="155"/>
      <c r="AE937" s="155"/>
      <c r="AF937" s="155"/>
      <c r="AG937" s="155"/>
      <c r="AH937" s="155"/>
      <c r="AI937" s="155"/>
      <c r="AJ937" s="155"/>
      <c r="AK937" s="155"/>
      <c r="AL937" s="155"/>
      <c r="AM937" s="155"/>
      <c r="AN937" s="155"/>
      <c r="AO937" s="155"/>
      <c r="AP937" s="155"/>
      <c r="AQ937" s="155"/>
      <c r="AR937" s="155"/>
      <c r="AS937" s="155"/>
    </row>
    <row r="938" spans="1:45" ht="12.6" customHeight="1" x14ac:dyDescent="0.3">
      <c r="A938" s="193" t="s">
        <v>1046</v>
      </c>
      <c r="B938" s="194"/>
      <c r="C938" s="99">
        <f>E938+D938+F938</f>
        <v>4381</v>
      </c>
      <c r="D938" s="121">
        <f>ROUNDDOWN(D937*H938/100,0)</f>
        <v>0</v>
      </c>
      <c r="E938" s="120">
        <f>ROUNDDOWN(E937*H938/100,0)</f>
        <v>0</v>
      </c>
      <c r="F938" s="99">
        <f>ROUNDDOWN(F937*H938/100,0)</f>
        <v>4381</v>
      </c>
      <c r="H938" s="35">
        <v>88</v>
      </c>
      <c r="M938" s="34" t="s">
        <v>770</v>
      </c>
      <c r="Z938" s="155"/>
      <c r="AA938" s="155"/>
      <c r="AB938" s="155"/>
      <c r="AC938" s="155"/>
      <c r="AD938" s="155"/>
      <c r="AE938" s="155"/>
      <c r="AF938" s="155"/>
      <c r="AG938" s="155"/>
      <c r="AH938" s="155"/>
      <c r="AI938" s="155"/>
      <c r="AJ938" s="155"/>
      <c r="AK938" s="155"/>
      <c r="AL938" s="155"/>
      <c r="AM938" s="155"/>
      <c r="AN938" s="155"/>
      <c r="AO938" s="155"/>
      <c r="AP938" s="155"/>
      <c r="AQ938" s="155"/>
      <c r="AR938" s="155"/>
      <c r="AS938" s="155"/>
    </row>
    <row r="939" spans="1:45" ht="12.6" customHeight="1" x14ac:dyDescent="0.3">
      <c r="A939" s="144" t="s">
        <v>90</v>
      </c>
      <c r="B939" s="145" t="s">
        <v>90</v>
      </c>
      <c r="C939" s="232">
        <f>C1007</f>
        <v>3219</v>
      </c>
      <c r="D939" s="232">
        <f>D1007</f>
        <v>0</v>
      </c>
      <c r="E939" s="232">
        <f>E1007</f>
        <v>0</v>
      </c>
      <c r="F939" s="232">
        <f>F1007</f>
        <v>3219</v>
      </c>
      <c r="G939" s="141" t="str">
        <f>HYPERLINK("#G"&amp;ROW(G995),"_x0005_`BDCOD|D01448_x0007_`POSS|"&amp;ROW(G941)&amp;"_x0007_`POSE|"&amp;ROW(G995)&amp;"_x0007_`")</f>
        <v>_x0005_`BDCOD|D01448_x0007_`POSS|941_x0007_`POSE|995_x0007_`</v>
      </c>
      <c r="Z939" s="155"/>
      <c r="AA939" s="155"/>
      <c r="AB939" s="155"/>
      <c r="AC939" s="155"/>
      <c r="AD939" s="155"/>
      <c r="AE939" s="155"/>
      <c r="AF939" s="155"/>
      <c r="AG939" s="155"/>
      <c r="AH939" s="155"/>
      <c r="AI939" s="155"/>
      <c r="AJ939" s="155"/>
      <c r="AK939" s="155"/>
      <c r="AL939" s="155"/>
      <c r="AM939" s="155"/>
      <c r="AN939" s="155"/>
      <c r="AO939" s="155"/>
      <c r="AP939" s="155"/>
      <c r="AQ939" s="155"/>
      <c r="AR939" s="155"/>
      <c r="AS939" s="155"/>
    </row>
    <row r="940" spans="1:45" ht="12.6" customHeight="1" x14ac:dyDescent="0.3">
      <c r="A940" s="124"/>
      <c r="B940" s="145" t="s">
        <v>89</v>
      </c>
      <c r="C940" s="189"/>
      <c r="D940" s="189"/>
      <c r="E940" s="189"/>
      <c r="F940" s="189"/>
      <c r="M940" s="34" t="s">
        <v>1206</v>
      </c>
      <c r="Z940" s="155"/>
      <c r="AA940" s="155"/>
      <c r="AB940" s="155"/>
      <c r="AC940" s="155"/>
      <c r="AD940" s="155"/>
      <c r="AE940" s="155"/>
      <c r="AF940" s="155"/>
      <c r="AG940" s="155"/>
      <c r="AH940" s="155"/>
      <c r="AI940" s="155"/>
      <c r="AJ940" s="155"/>
      <c r="AK940" s="155"/>
      <c r="AL940" s="155"/>
      <c r="AM940" s="155"/>
      <c r="AN940" s="155"/>
      <c r="AO940" s="155"/>
      <c r="AP940" s="155"/>
      <c r="AQ940" s="155"/>
      <c r="AR940" s="155"/>
      <c r="AS940" s="155"/>
    </row>
    <row r="941" spans="1:45" ht="12.6" customHeight="1" x14ac:dyDescent="0.3">
      <c r="A941" s="84"/>
      <c r="B941" s="41" t="s">
        <v>1192</v>
      </c>
      <c r="C941" s="147"/>
      <c r="D941" s="147"/>
      <c r="E941" s="147"/>
      <c r="F941" s="147"/>
      <c r="G941" s="17" t="s">
        <v>1191</v>
      </c>
      <c r="Z941" s="155"/>
      <c r="AA941" s="155"/>
      <c r="AB941" s="155"/>
      <c r="AC941" s="155"/>
      <c r="AD941" s="155"/>
      <c r="AE941" s="155"/>
      <c r="AF941" s="155"/>
      <c r="AG941" s="155"/>
      <c r="AH941" s="155"/>
      <c r="AI941" s="155"/>
      <c r="AJ941" s="155"/>
      <c r="AK941" s="155"/>
      <c r="AL941" s="155"/>
      <c r="AM941" s="155"/>
      <c r="AN941" s="155"/>
      <c r="AO941" s="155"/>
      <c r="AP941" s="155"/>
      <c r="AQ941" s="155"/>
      <c r="AR941" s="155"/>
      <c r="AS941" s="155"/>
    </row>
    <row r="942" spans="1:45" ht="12.6" customHeight="1" x14ac:dyDescent="0.3">
      <c r="A942" s="107"/>
      <c r="B942" s="107"/>
      <c r="C942" s="107"/>
      <c r="D942" s="107"/>
      <c r="E942" s="107"/>
      <c r="F942" s="107"/>
      <c r="G942" s="17" t="s">
        <v>848</v>
      </c>
      <c r="Z942" s="155"/>
      <c r="AA942" s="155"/>
      <c r="AB942" s="155"/>
      <c r="AC942" s="155"/>
      <c r="AD942" s="155"/>
      <c r="AE942" s="155"/>
      <c r="AF942" s="155"/>
      <c r="AG942" s="155"/>
      <c r="AH942" s="155"/>
      <c r="AI942" s="155"/>
      <c r="AJ942" s="155"/>
      <c r="AK942" s="155"/>
      <c r="AL942" s="155"/>
      <c r="AM942" s="155"/>
      <c r="AN942" s="155"/>
      <c r="AO942" s="155"/>
      <c r="AP942" s="155"/>
      <c r="AQ942" s="155"/>
      <c r="AR942" s="155"/>
      <c r="AS942" s="155"/>
    </row>
    <row r="943" spans="1:45" ht="12.6" customHeight="1" x14ac:dyDescent="0.3">
      <c r="A943" s="84"/>
      <c r="B943" s="41" t="s">
        <v>1208</v>
      </c>
      <c r="C943" s="107"/>
      <c r="D943" s="107"/>
      <c r="E943" s="107"/>
      <c r="F943" s="107"/>
      <c r="G943" s="17" t="s">
        <v>1207</v>
      </c>
      <c r="Z943" s="155"/>
      <c r="AA943" s="155"/>
      <c r="AB943" s="155"/>
      <c r="AC943" s="155"/>
      <c r="AD943" s="155"/>
      <c r="AE943" s="155"/>
      <c r="AF943" s="155"/>
      <c r="AG943" s="155"/>
      <c r="AH943" s="155"/>
      <c r="AI943" s="155"/>
      <c r="AJ943" s="155"/>
      <c r="AK943" s="155"/>
      <c r="AL943" s="155"/>
      <c r="AM943" s="155"/>
      <c r="AN943" s="155"/>
      <c r="AO943" s="155"/>
      <c r="AP943" s="155"/>
      <c r="AQ943" s="155"/>
      <c r="AR943" s="155"/>
      <c r="AS943" s="155"/>
    </row>
    <row r="944" spans="1:45" ht="12.6" customHeight="1" x14ac:dyDescent="0.3">
      <c r="A944" s="107"/>
      <c r="B944" s="107"/>
      <c r="C944" s="107"/>
      <c r="D944" s="107"/>
      <c r="E944" s="107"/>
      <c r="F944" s="107"/>
      <c r="G944" s="17" t="s">
        <v>848</v>
      </c>
      <c r="Z944" s="155"/>
      <c r="AA944" s="155"/>
      <c r="AB944" s="155"/>
      <c r="AC944" s="155"/>
      <c r="AD944" s="155"/>
      <c r="AE944" s="155"/>
      <c r="AF944" s="155"/>
      <c r="AG944" s="155"/>
      <c r="AH944" s="155"/>
      <c r="AI944" s="155"/>
      <c r="AJ944" s="155"/>
      <c r="AK944" s="155"/>
      <c r="AL944" s="155"/>
      <c r="AM944" s="155"/>
      <c r="AN944" s="155"/>
      <c r="AO944" s="155"/>
      <c r="AP944" s="155"/>
      <c r="AQ944" s="155"/>
      <c r="AR944" s="155"/>
      <c r="AS944" s="155"/>
    </row>
    <row r="945" spans="1:45" ht="12.6" customHeight="1" x14ac:dyDescent="0.3">
      <c r="A945" s="84"/>
      <c r="B945" s="41" t="str">
        <f>"           포  장 :  L1 =  "&amp;Z945&amp;" km "</f>
        <v xml:space="preserve">           포  장 :  L1 =  0 km </v>
      </c>
      <c r="C945" s="107"/>
      <c r="D945" s="107"/>
      <c r="E945" s="107"/>
      <c r="F945" s="107"/>
      <c r="G945" s="17" t="s">
        <v>1209</v>
      </c>
      <c r="Z945" s="157">
        <v>0</v>
      </c>
      <c r="AA945" s="34" t="s">
        <v>871</v>
      </c>
      <c r="AB945" s="158">
        <f>Z945</f>
        <v>0</v>
      </c>
      <c r="AC945" s="155"/>
      <c r="AD945" s="155"/>
      <c r="AE945" s="155"/>
      <c r="AF945" s="155"/>
      <c r="AG945" s="155"/>
      <c r="AH945" s="155"/>
      <c r="AI945" s="155"/>
      <c r="AJ945" s="155"/>
      <c r="AK945" s="155"/>
      <c r="AL945" s="155"/>
      <c r="AM945" s="155"/>
      <c r="AN945" s="155"/>
      <c r="AO945" s="155"/>
      <c r="AP945" s="155"/>
      <c r="AQ945" s="155"/>
      <c r="AR945" s="155"/>
      <c r="AS945" s="155"/>
    </row>
    <row r="946" spans="1:45" ht="12.6" customHeight="1" x14ac:dyDescent="0.3">
      <c r="A946" s="84"/>
      <c r="B946" s="41" t="s">
        <v>1211</v>
      </c>
      <c r="C946" s="107"/>
      <c r="D946" s="107"/>
      <c r="E946" s="107"/>
      <c r="F946" s="107"/>
      <c r="G946" s="17" t="s">
        <v>1210</v>
      </c>
      <c r="Z946" s="155"/>
      <c r="AA946" s="155"/>
      <c r="AB946" s="155"/>
      <c r="AC946" s="155"/>
      <c r="AD946" s="155"/>
      <c r="AE946" s="155"/>
      <c r="AF946" s="155"/>
      <c r="AG946" s="155"/>
      <c r="AH946" s="155"/>
      <c r="AI946" s="155"/>
      <c r="AJ946" s="155"/>
      <c r="AK946" s="155"/>
      <c r="AL946" s="155"/>
      <c r="AM946" s="155"/>
      <c r="AN946" s="155"/>
      <c r="AO946" s="155"/>
      <c r="AP946" s="155"/>
      <c r="AQ946" s="155"/>
      <c r="AR946" s="155"/>
      <c r="AS946" s="155"/>
    </row>
    <row r="947" spans="1:45" ht="12.6" customHeight="1" x14ac:dyDescent="0.3">
      <c r="A947" s="84"/>
      <c r="B947" s="41" t="str">
        <f>"           비포장 :  L2 =  "&amp;Z947&amp;" km "</f>
        <v xml:space="preserve">           비포장 :  L2 =  0.1 km </v>
      </c>
      <c r="C947" s="107"/>
      <c r="D947" s="107"/>
      <c r="E947" s="107"/>
      <c r="F947" s="107"/>
      <c r="G947" s="17" t="s">
        <v>1212</v>
      </c>
      <c r="Z947" s="156">
        <v>0.1</v>
      </c>
      <c r="AA947" s="34" t="s">
        <v>871</v>
      </c>
      <c r="AB947" s="158">
        <f>Z947</f>
        <v>0.1</v>
      </c>
      <c r="AC947" s="155"/>
      <c r="AD947" s="155"/>
      <c r="AE947" s="155"/>
      <c r="AF947" s="155"/>
      <c r="AG947" s="155"/>
      <c r="AH947" s="155"/>
      <c r="AI947" s="155"/>
      <c r="AJ947" s="155"/>
      <c r="AK947" s="155"/>
      <c r="AL947" s="155"/>
      <c r="AM947" s="155"/>
      <c r="AN947" s="155"/>
      <c r="AO947" s="155"/>
      <c r="AP947" s="155"/>
      <c r="AQ947" s="155"/>
      <c r="AR947" s="155"/>
      <c r="AS947" s="155"/>
    </row>
    <row r="948" spans="1:45" ht="12.6" customHeight="1" x14ac:dyDescent="0.3">
      <c r="A948" s="107"/>
      <c r="B948" s="107"/>
      <c r="C948" s="107"/>
      <c r="D948" s="107"/>
      <c r="E948" s="107"/>
      <c r="F948" s="107"/>
      <c r="G948" s="17" t="s">
        <v>848</v>
      </c>
      <c r="Z948" s="155"/>
      <c r="AA948" s="155"/>
      <c r="AB948" s="155"/>
      <c r="AC948" s="155"/>
      <c r="AD948" s="155"/>
      <c r="AE948" s="155"/>
      <c r="AF948" s="155"/>
      <c r="AG948" s="155"/>
      <c r="AH948" s="155"/>
      <c r="AI948" s="155"/>
      <c r="AJ948" s="155"/>
      <c r="AK948" s="155"/>
      <c r="AL948" s="155"/>
      <c r="AM948" s="155"/>
      <c r="AN948" s="155"/>
      <c r="AO948" s="155"/>
      <c r="AP948" s="155"/>
      <c r="AQ948" s="155"/>
      <c r="AR948" s="155"/>
      <c r="AS948" s="155"/>
    </row>
    <row r="949" spans="1:45" ht="12.6" customHeight="1" x14ac:dyDescent="0.3">
      <c r="A949" s="84"/>
      <c r="B949" s="41" t="s">
        <v>1214</v>
      </c>
      <c r="C949" s="107"/>
      <c r="D949" s="107"/>
      <c r="E949" s="107"/>
      <c r="F949" s="107"/>
      <c r="G949" s="17" t="s">
        <v>1213</v>
      </c>
      <c r="Z949" s="155"/>
      <c r="AA949" s="155"/>
      <c r="AB949" s="155"/>
      <c r="AC949" s="155"/>
      <c r="AD949" s="155"/>
      <c r="AE949" s="155"/>
      <c r="AF949" s="155"/>
      <c r="AG949" s="155"/>
      <c r="AH949" s="155"/>
      <c r="AI949" s="155"/>
      <c r="AJ949" s="155"/>
      <c r="AK949" s="155"/>
      <c r="AL949" s="155"/>
      <c r="AM949" s="155"/>
      <c r="AN949" s="155"/>
      <c r="AO949" s="155"/>
      <c r="AP949" s="155"/>
      <c r="AQ949" s="155"/>
      <c r="AR949" s="155"/>
      <c r="AS949" s="155"/>
    </row>
    <row r="950" spans="1:45" ht="12.6" customHeight="1" x14ac:dyDescent="0.3">
      <c r="A950" s="107"/>
      <c r="B950" s="107"/>
      <c r="C950" s="107"/>
      <c r="D950" s="107"/>
      <c r="E950" s="107"/>
      <c r="F950" s="107"/>
      <c r="G950" s="17" t="s">
        <v>848</v>
      </c>
      <c r="Z950" s="155"/>
      <c r="AA950" s="155"/>
      <c r="AB950" s="155"/>
      <c r="AC950" s="155"/>
      <c r="AD950" s="155"/>
      <c r="AE950" s="155"/>
      <c r="AF950" s="155"/>
      <c r="AG950" s="155"/>
      <c r="AH950" s="155"/>
      <c r="AI950" s="155"/>
      <c r="AJ950" s="155"/>
      <c r="AK950" s="155"/>
      <c r="AL950" s="155"/>
      <c r="AM950" s="155"/>
      <c r="AN950" s="155"/>
      <c r="AO950" s="155"/>
      <c r="AP950" s="155"/>
      <c r="AQ950" s="155"/>
      <c r="AR950" s="155"/>
      <c r="AS950" s="155"/>
    </row>
    <row r="951" spans="1:45" ht="12.6" customHeight="1" x14ac:dyDescent="0.3">
      <c r="A951" s="84"/>
      <c r="B951" s="41" t="str">
        <f>" q2 (버킷용량)  = "&amp;Z951&amp;"  ton "</f>
        <v xml:space="preserve"> q2 (버킷용량)  = 1.43  ton </v>
      </c>
      <c r="C951" s="107"/>
      <c r="D951" s="107"/>
      <c r="E951" s="107"/>
      <c r="F951" s="107"/>
      <c r="G951" s="17" t="s">
        <v>1215</v>
      </c>
      <c r="Z951" s="156">
        <v>1.43</v>
      </c>
      <c r="AA951" s="34" t="s">
        <v>871</v>
      </c>
      <c r="AB951" s="158">
        <f>Z951</f>
        <v>1.43</v>
      </c>
      <c r="AC951" s="155"/>
      <c r="AD951" s="155"/>
      <c r="AE951" s="155"/>
      <c r="AF951" s="155"/>
      <c r="AG951" s="155"/>
      <c r="AH951" s="155"/>
      <c r="AI951" s="155"/>
      <c r="AJ951" s="155"/>
      <c r="AK951" s="155"/>
      <c r="AL951" s="155"/>
      <c r="AM951" s="155"/>
      <c r="AN951" s="155"/>
      <c r="AO951" s="155"/>
      <c r="AP951" s="155"/>
      <c r="AQ951" s="155"/>
      <c r="AR951" s="155"/>
      <c r="AS951" s="155"/>
    </row>
    <row r="952" spans="1:45" ht="12.6" customHeight="1" x14ac:dyDescent="0.3">
      <c r="A952" s="107"/>
      <c r="B952" s="107"/>
      <c r="C952" s="107"/>
      <c r="D952" s="107"/>
      <c r="E952" s="107"/>
      <c r="F952" s="107"/>
      <c r="G952" s="17" t="s">
        <v>848</v>
      </c>
      <c r="Z952" s="155"/>
      <c r="AA952" s="155"/>
      <c r="AB952" s="155"/>
      <c r="AC952" s="155"/>
      <c r="AD952" s="155"/>
      <c r="AE952" s="155"/>
      <c r="AF952" s="155"/>
      <c r="AG952" s="155"/>
      <c r="AH952" s="155"/>
      <c r="AI952" s="155"/>
      <c r="AJ952" s="155"/>
      <c r="AK952" s="155"/>
      <c r="AL952" s="155"/>
      <c r="AM952" s="155"/>
      <c r="AN952" s="155"/>
      <c r="AO952" s="155"/>
      <c r="AP952" s="155"/>
      <c r="AQ952" s="155"/>
      <c r="AR952" s="155"/>
      <c r="AS952" s="155"/>
    </row>
    <row r="953" spans="1:45" ht="12.6" customHeight="1" x14ac:dyDescent="0.3">
      <c r="A953" s="84"/>
      <c r="B953" s="41" t="str">
        <f>" f (체적환산계수) = "&amp;Z953&amp;" , E (작업효율) ="&amp;AD953&amp;" , k (버킷계수) ="&amp;AH953&amp;""</f>
        <v xml:space="preserve"> f (체적환산계수) = 1 , E (작업효율) =0.45 , k (버킷계수) =0.55</v>
      </c>
      <c r="C953" s="107"/>
      <c r="D953" s="107"/>
      <c r="E953" s="107"/>
      <c r="F953" s="107"/>
      <c r="G953" s="17" t="s">
        <v>1216</v>
      </c>
      <c r="Z953" s="157">
        <v>1</v>
      </c>
      <c r="AA953" s="34" t="s">
        <v>871</v>
      </c>
      <c r="AB953" s="158">
        <f>Z953</f>
        <v>1</v>
      </c>
      <c r="AC953" s="159" t="s">
        <v>872</v>
      </c>
      <c r="AD953" s="156">
        <v>0.45</v>
      </c>
      <c r="AE953" s="34" t="s">
        <v>871</v>
      </c>
      <c r="AF953" s="158">
        <f>AD953</f>
        <v>0.45</v>
      </c>
      <c r="AG953" s="159" t="s">
        <v>872</v>
      </c>
      <c r="AH953" s="156">
        <v>0.55000000000000004</v>
      </c>
      <c r="AI953" s="34" t="s">
        <v>871</v>
      </c>
      <c r="AJ953" s="158">
        <f>AH953</f>
        <v>0.55000000000000004</v>
      </c>
      <c r="AK953" s="155"/>
      <c r="AL953" s="155"/>
      <c r="AM953" s="155"/>
      <c r="AN953" s="155"/>
      <c r="AO953" s="155"/>
      <c r="AP953" s="155"/>
      <c r="AQ953" s="155"/>
      <c r="AR953" s="155"/>
      <c r="AS953" s="155"/>
    </row>
    <row r="954" spans="1:45" ht="12.6" customHeight="1" x14ac:dyDescent="0.3">
      <c r="A954" s="107"/>
      <c r="B954" s="107"/>
      <c r="C954" s="107"/>
      <c r="D954" s="107"/>
      <c r="E954" s="107"/>
      <c r="F954" s="107"/>
      <c r="G954" s="17" t="s">
        <v>848</v>
      </c>
      <c r="Z954" s="155"/>
      <c r="AA954" s="155"/>
      <c r="AB954" s="155"/>
      <c r="AC954" s="155"/>
      <c r="AD954" s="155"/>
      <c r="AE954" s="155"/>
      <c r="AF954" s="155"/>
      <c r="AG954" s="155"/>
      <c r="AH954" s="155"/>
      <c r="AI954" s="155"/>
      <c r="AJ954" s="155"/>
      <c r="AK954" s="155"/>
      <c r="AL954" s="155"/>
      <c r="AM954" s="155"/>
      <c r="AN954" s="155"/>
      <c r="AO954" s="155"/>
      <c r="AP954" s="155"/>
      <c r="AQ954" s="155"/>
      <c r="AR954" s="155"/>
      <c r="AS954" s="155"/>
    </row>
    <row r="955" spans="1:45" ht="12.6" customHeight="1" x14ac:dyDescent="0.3">
      <c r="A955" s="84"/>
      <c r="B955" s="41" t="str">
        <f>" Cm1 = "&amp;Z955&amp;"  sec(90˚) "</f>
        <v xml:space="preserve"> Cm1 = 18  sec(90˚) </v>
      </c>
      <c r="C955" s="107"/>
      <c r="D955" s="107"/>
      <c r="E955" s="107"/>
      <c r="F955" s="107"/>
      <c r="G955" s="17" t="s">
        <v>1170</v>
      </c>
      <c r="Z955" s="157">
        <v>18</v>
      </c>
      <c r="AA955" s="34" t="s">
        <v>871</v>
      </c>
      <c r="AB955" s="158">
        <f>Z955</f>
        <v>18</v>
      </c>
      <c r="AC955" s="155"/>
      <c r="AD955" s="155"/>
      <c r="AE955" s="155"/>
      <c r="AF955" s="155"/>
      <c r="AG955" s="155"/>
      <c r="AH955" s="155"/>
      <c r="AI955" s="155"/>
      <c r="AJ955" s="155"/>
      <c r="AK955" s="155"/>
      <c r="AL955" s="155"/>
      <c r="AM955" s="155"/>
      <c r="AN955" s="155"/>
      <c r="AO955" s="155"/>
      <c r="AP955" s="155"/>
      <c r="AQ955" s="155"/>
      <c r="AR955" s="155"/>
      <c r="AS955" s="155"/>
    </row>
    <row r="956" spans="1:45" ht="12.6" customHeight="1" x14ac:dyDescent="0.3">
      <c r="A956" s="107"/>
      <c r="B956" s="107"/>
      <c r="C956" s="107"/>
      <c r="D956" s="107"/>
      <c r="E956" s="107"/>
      <c r="F956" s="107"/>
      <c r="G956" s="17" t="s">
        <v>848</v>
      </c>
      <c r="Z956" s="155"/>
      <c r="AA956" s="155"/>
      <c r="AB956" s="155"/>
      <c r="AC956" s="155"/>
      <c r="AD956" s="155"/>
      <c r="AE956" s="155"/>
      <c r="AF956" s="155"/>
      <c r="AG956" s="155"/>
      <c r="AH956" s="155"/>
      <c r="AI956" s="155"/>
      <c r="AJ956" s="155"/>
      <c r="AK956" s="155"/>
      <c r="AL956" s="155"/>
      <c r="AM956" s="155"/>
      <c r="AN956" s="155"/>
      <c r="AO956" s="155"/>
      <c r="AP956" s="155"/>
      <c r="AQ956" s="155"/>
      <c r="AR956" s="155"/>
      <c r="AS956" s="155"/>
    </row>
    <row r="957" spans="1:45" ht="12.6" customHeight="1" x14ac:dyDescent="0.3">
      <c r="A957" s="84"/>
      <c r="B957" s="41" t="str">
        <f>" Q (시간당작업량) = "&amp;Z957&amp;" * q2 * k *f *E / Cm1 = "&amp;AL957&amp;" m3/hr "</f>
        <v xml:space="preserve"> Q (시간당작업량) = 3600 * q2 * k *f *E / Cm1 = 70.79 m3/hr </v>
      </c>
      <c r="C957" s="107"/>
      <c r="D957" s="107"/>
      <c r="E957" s="107"/>
      <c r="F957" s="107"/>
      <c r="G957" s="17" t="s">
        <v>1171</v>
      </c>
      <c r="Z957" s="157">
        <v>3600</v>
      </c>
      <c r="AA957" s="34" t="s">
        <v>876</v>
      </c>
      <c r="AB957" s="158">
        <f>AB951</f>
        <v>1.43</v>
      </c>
      <c r="AC957" s="34" t="s">
        <v>876</v>
      </c>
      <c r="AD957" s="158">
        <f>AJ953</f>
        <v>0.55000000000000004</v>
      </c>
      <c r="AE957" s="34" t="s">
        <v>876</v>
      </c>
      <c r="AF957" s="158">
        <f>AB953</f>
        <v>1</v>
      </c>
      <c r="AG957" s="34" t="s">
        <v>876</v>
      </c>
      <c r="AH957" s="158">
        <f>AF953</f>
        <v>0.45</v>
      </c>
      <c r="AI957" s="34" t="s">
        <v>873</v>
      </c>
      <c r="AJ957" s="158">
        <f>AB955</f>
        <v>18</v>
      </c>
      <c r="AK957" s="34" t="s">
        <v>871</v>
      </c>
      <c r="AL957" s="158" t="str">
        <f>TEXT(ROUND(Z957*AB951*AJ953*AB953*AF953/AB955,2),"#,0.00")</f>
        <v>70.79</v>
      </c>
      <c r="AM957" s="155"/>
      <c r="AN957" s="155"/>
      <c r="AO957" s="155"/>
      <c r="AP957" s="155"/>
      <c r="AQ957" s="155"/>
      <c r="AR957" s="155"/>
      <c r="AS957" s="155"/>
    </row>
    <row r="958" spans="1:45" ht="12.6" customHeight="1" x14ac:dyDescent="0.3">
      <c r="A958" s="107"/>
      <c r="B958" s="107"/>
      <c r="C958" s="107"/>
      <c r="D958" s="107"/>
      <c r="E958" s="107"/>
      <c r="F958" s="107"/>
      <c r="G958" s="17" t="s">
        <v>848</v>
      </c>
      <c r="Z958" s="155"/>
      <c r="AA958" s="155"/>
      <c r="AB958" s="155"/>
      <c r="AC958" s="155"/>
      <c r="AD958" s="155"/>
      <c r="AE958" s="155"/>
      <c r="AF958" s="155"/>
      <c r="AG958" s="155"/>
      <c r="AH958" s="155"/>
      <c r="AI958" s="155"/>
      <c r="AJ958" s="155"/>
      <c r="AK958" s="155"/>
      <c r="AL958" s="155"/>
      <c r="AM958" s="155"/>
      <c r="AN958" s="155"/>
      <c r="AO958" s="155"/>
      <c r="AP958" s="155"/>
      <c r="AQ958" s="155"/>
      <c r="AR958" s="155"/>
      <c r="AS958" s="155"/>
    </row>
    <row r="959" spans="1:45" ht="12.6" customHeight="1" x14ac:dyDescent="0.3">
      <c r="A959" s="84" t="s">
        <v>972</v>
      </c>
      <c r="B959" s="146" t="str">
        <f>"  노 무 비  :   "&amp;TEXT(I959,"#,##0"&amp;IF(I959&lt;&gt;INT(I959),".###",""))&amp;" / Q = "&amp;TEXT(C959,"#,##0.0")&amp;""</f>
        <v xml:space="preserve">  노 무 비  :   57,077 / Q = 806.2</v>
      </c>
      <c r="C959" s="148">
        <f>E959+D959+F959</f>
        <v>806.2</v>
      </c>
      <c r="D959" s="148">
        <f>IF(H959=0,0,ROUNDDOWN(J959*H959,1))</f>
        <v>806.2</v>
      </c>
      <c r="E959" s="148">
        <f>IF(H959=0,0,ROUNDDOWN(K959*H959,1))</f>
        <v>0</v>
      </c>
      <c r="F959" s="148">
        <f>IF(H959=0,0,ROUNDDOWN(L959*H959,1))</f>
        <v>0</v>
      </c>
      <c r="G959" s="17" t="s">
        <v>1217</v>
      </c>
      <c r="H959" s="152">
        <f>ROUNDUP(AC959,14-LEN(ABS(INT(AC959))))</f>
        <v>1.41262890239E-2</v>
      </c>
      <c r="I959" s="153">
        <f>K959+J959+L959</f>
        <v>57077</v>
      </c>
      <c r="J959" s="37">
        <f>중기목록표!F7</f>
        <v>57077</v>
      </c>
      <c r="M959" s="34" t="s">
        <v>973</v>
      </c>
      <c r="N959" s="34" t="s">
        <v>886</v>
      </c>
      <c r="X959" s="154" t="str">
        <f>중기목록표!B7&amp;" / "&amp;중기목록표!C7</f>
        <v>굴착기(무한궤도) / 0.7㎥,(암석)</v>
      </c>
      <c r="Y959" s="3" t="str">
        <f ca="1">HYPERLINK("#"&amp;중기목록표!J2&amp;"!A"&amp;ROW(중기목록표!A7),"X00009 →")</f>
        <v>X00009 →</v>
      </c>
      <c r="Z959" s="34" t="s">
        <v>879</v>
      </c>
      <c r="AA959" s="158" t="str">
        <f>AL957</f>
        <v>70.79</v>
      </c>
      <c r="AB959" s="34" t="s">
        <v>871</v>
      </c>
      <c r="AC959" s="158">
        <f>1/AL957</f>
        <v>1.4126289023873428E-2</v>
      </c>
      <c r="AD959" s="155"/>
      <c r="AE959" s="155"/>
      <c r="AF959" s="155"/>
      <c r="AG959" s="155"/>
      <c r="AH959" s="155"/>
      <c r="AI959" s="155"/>
      <c r="AJ959" s="155"/>
      <c r="AK959" s="155"/>
      <c r="AL959" s="155"/>
      <c r="AM959" s="155"/>
      <c r="AN959" s="155"/>
      <c r="AO959" s="155"/>
      <c r="AP959" s="155"/>
      <c r="AQ959" s="155"/>
      <c r="AR959" s="155"/>
      <c r="AS959" s="155"/>
    </row>
    <row r="960" spans="1:45" ht="12.6" customHeight="1" x14ac:dyDescent="0.3">
      <c r="A960" s="107"/>
      <c r="B960" s="107"/>
      <c r="C960" s="107"/>
      <c r="D960" s="107"/>
      <c r="E960" s="107"/>
      <c r="F960" s="107"/>
      <c r="G960" s="17" t="s">
        <v>848</v>
      </c>
      <c r="Z960" s="155"/>
      <c r="AA960" s="155"/>
      <c r="AB960" s="155"/>
      <c r="AC960" s="155"/>
      <c r="AD960" s="155"/>
      <c r="AE960" s="155"/>
      <c r="AF960" s="155"/>
      <c r="AG960" s="155"/>
      <c r="AH960" s="155"/>
      <c r="AI960" s="155"/>
      <c r="AJ960" s="155"/>
      <c r="AK960" s="155"/>
      <c r="AL960" s="155"/>
      <c r="AM960" s="155"/>
      <c r="AN960" s="155"/>
      <c r="AO960" s="155"/>
      <c r="AP960" s="155"/>
      <c r="AQ960" s="155"/>
      <c r="AR960" s="155"/>
      <c r="AS960" s="155"/>
    </row>
    <row r="961" spans="1:45" ht="12.6" customHeight="1" x14ac:dyDescent="0.3">
      <c r="A961" s="84" t="s">
        <v>975</v>
      </c>
      <c r="B961" s="146" t="str">
        <f>"  재 료 비  :   "&amp;TEXT(I961,"#,##0"&amp;IF(I961&lt;&gt;INT(I961),".###",""))&amp;" / Q = "&amp;TEXT(C961,"#,##0.0")&amp;""</f>
        <v xml:space="preserve">  재 료 비  :   17,845 / Q = 252.0</v>
      </c>
      <c r="C961" s="148">
        <f>E961+D961+F961</f>
        <v>252</v>
      </c>
      <c r="D961" s="148">
        <f>IF(H961=0,0,ROUNDDOWN(J961*H961,1))</f>
        <v>0</v>
      </c>
      <c r="E961" s="148">
        <f>IF(H961=0,0,ROUNDDOWN(K961*H961,1))</f>
        <v>252</v>
      </c>
      <c r="F961" s="148">
        <f>IF(H961=0,0,ROUNDDOWN(L961*H961,1))</f>
        <v>0</v>
      </c>
      <c r="G961" s="17" t="s">
        <v>1218</v>
      </c>
      <c r="H961" s="152">
        <f>ROUNDUP(AC961,14-LEN(ABS(INT(AC961))))</f>
        <v>1.41262890239E-2</v>
      </c>
      <c r="I961" s="153">
        <f>K961+J961+L961</f>
        <v>17845</v>
      </c>
      <c r="K961" s="37">
        <f>중기목록표!G7</f>
        <v>17845</v>
      </c>
      <c r="M961" s="34" t="s">
        <v>973</v>
      </c>
      <c r="N961" s="34" t="s">
        <v>886</v>
      </c>
      <c r="X961" s="154" t="str">
        <f>중기목록표!B7&amp;" / "&amp;중기목록표!C7</f>
        <v>굴착기(무한궤도) / 0.7㎥,(암석)</v>
      </c>
      <c r="Y961" s="3" t="str">
        <f ca="1">HYPERLINK("#"&amp;중기목록표!J2&amp;"!A"&amp;ROW(중기목록표!A7),"X00009 →")</f>
        <v>X00009 →</v>
      </c>
      <c r="Z961" s="34" t="s">
        <v>879</v>
      </c>
      <c r="AA961" s="158" t="str">
        <f>AL957</f>
        <v>70.79</v>
      </c>
      <c r="AB961" s="34" t="s">
        <v>871</v>
      </c>
      <c r="AC961" s="158">
        <f>1/AL957</f>
        <v>1.4126289023873428E-2</v>
      </c>
      <c r="AD961" s="155"/>
      <c r="AE961" s="155"/>
      <c r="AF961" s="155"/>
      <c r="AG961" s="155"/>
      <c r="AH961" s="155"/>
      <c r="AI961" s="155"/>
      <c r="AJ961" s="155"/>
      <c r="AK961" s="155"/>
      <c r="AL961" s="155"/>
      <c r="AM961" s="155"/>
      <c r="AN961" s="155"/>
      <c r="AO961" s="155"/>
      <c r="AP961" s="155"/>
      <c r="AQ961" s="155"/>
      <c r="AR961" s="155"/>
      <c r="AS961" s="155"/>
    </row>
    <row r="962" spans="1:45" ht="12.6" customHeight="1" x14ac:dyDescent="0.3">
      <c r="A962" s="107"/>
      <c r="B962" s="107"/>
      <c r="C962" s="107"/>
      <c r="D962" s="107"/>
      <c r="E962" s="107"/>
      <c r="F962" s="107"/>
      <c r="G962" s="17" t="s">
        <v>848</v>
      </c>
      <c r="Z962" s="155"/>
      <c r="AA962" s="155"/>
      <c r="AB962" s="155"/>
      <c r="AC962" s="155"/>
      <c r="AD962" s="155"/>
      <c r="AE962" s="155"/>
      <c r="AF962" s="155"/>
      <c r="AG962" s="155"/>
      <c r="AH962" s="155"/>
      <c r="AI962" s="155"/>
      <c r="AJ962" s="155"/>
      <c r="AK962" s="155"/>
      <c r="AL962" s="155"/>
      <c r="AM962" s="155"/>
      <c r="AN962" s="155"/>
      <c r="AO962" s="155"/>
      <c r="AP962" s="155"/>
      <c r="AQ962" s="155"/>
      <c r="AR962" s="155"/>
      <c r="AS962" s="155"/>
    </row>
    <row r="963" spans="1:45" ht="12.6" customHeight="1" x14ac:dyDescent="0.3">
      <c r="A963" s="84" t="s">
        <v>977</v>
      </c>
      <c r="B963" s="146" t="str">
        <f>"  경    비  :   "&amp;TEXT(I963,"#,##0"&amp;IF(I963&lt;&gt;INT(I963),".###",""))&amp;" / Q = "&amp;TEXT(C963,"#,##0.0")&amp;""</f>
        <v xml:space="preserve">  경    비  :   27,685 / Q = 391.0</v>
      </c>
      <c r="C963" s="148">
        <f>E963+D963+F963</f>
        <v>391</v>
      </c>
      <c r="D963" s="148">
        <f>IF(H963=0,0,ROUNDDOWN(J963*H963,1))</f>
        <v>0</v>
      </c>
      <c r="E963" s="148">
        <f>IF(H963=0,0,ROUNDDOWN(K963*H963,1))</f>
        <v>0</v>
      </c>
      <c r="F963" s="148">
        <f>IF(H963=0,0,ROUNDDOWN(L963*H963,1))</f>
        <v>391</v>
      </c>
      <c r="G963" s="17" t="s">
        <v>1219</v>
      </c>
      <c r="H963" s="152">
        <f>ROUNDUP(AC963,14-LEN(ABS(INT(AC963))))</f>
        <v>1.41262890239E-2</v>
      </c>
      <c r="I963" s="153">
        <f>K963+J963+L963</f>
        <v>27685</v>
      </c>
      <c r="L963" s="37">
        <f>중기목록표!H7</f>
        <v>27685</v>
      </c>
      <c r="M963" s="34" t="s">
        <v>973</v>
      </c>
      <c r="N963" s="34" t="s">
        <v>886</v>
      </c>
      <c r="X963" s="154" t="str">
        <f>중기목록표!B7&amp;" / "&amp;중기목록표!C7</f>
        <v>굴착기(무한궤도) / 0.7㎥,(암석)</v>
      </c>
      <c r="Y963" s="3" t="str">
        <f ca="1">HYPERLINK("#"&amp;중기목록표!J2&amp;"!A"&amp;ROW(중기목록표!A7),"X00009 →")</f>
        <v>X00009 →</v>
      </c>
      <c r="Z963" s="34" t="s">
        <v>879</v>
      </c>
      <c r="AA963" s="158" t="str">
        <f>AL957</f>
        <v>70.79</v>
      </c>
      <c r="AB963" s="34" t="s">
        <v>871</v>
      </c>
      <c r="AC963" s="158">
        <f>1/AL957</f>
        <v>1.4126289023873428E-2</v>
      </c>
      <c r="AD963" s="155"/>
      <c r="AE963" s="155"/>
      <c r="AF963" s="155"/>
      <c r="AG963" s="155"/>
      <c r="AH963" s="155"/>
      <c r="AI963" s="155"/>
      <c r="AJ963" s="155"/>
      <c r="AK963" s="155"/>
      <c r="AL963" s="155"/>
      <c r="AM963" s="155"/>
      <c r="AN963" s="155"/>
      <c r="AO963" s="155"/>
      <c r="AP963" s="155"/>
      <c r="AQ963" s="155"/>
      <c r="AR963" s="155"/>
      <c r="AS963" s="155"/>
    </row>
    <row r="964" spans="1:45" ht="12.6" customHeight="1" x14ac:dyDescent="0.3">
      <c r="A964" s="107"/>
      <c r="B964" s="107"/>
      <c r="C964" s="107"/>
      <c r="D964" s="107"/>
      <c r="E964" s="107"/>
      <c r="F964" s="107"/>
      <c r="G964" s="17" t="s">
        <v>848</v>
      </c>
      <c r="Z964" s="155"/>
      <c r="AA964" s="155"/>
      <c r="AB964" s="155"/>
      <c r="AC964" s="155"/>
      <c r="AD964" s="155"/>
      <c r="AE964" s="155"/>
      <c r="AF964" s="155"/>
      <c r="AG964" s="155"/>
      <c r="AH964" s="155"/>
      <c r="AI964" s="155"/>
      <c r="AJ964" s="155"/>
      <c r="AK964" s="155"/>
      <c r="AL964" s="155"/>
      <c r="AM964" s="155"/>
      <c r="AN964" s="155"/>
      <c r="AO964" s="155"/>
      <c r="AP964" s="155"/>
      <c r="AQ964" s="155"/>
      <c r="AR964" s="155"/>
      <c r="AS964" s="155"/>
    </row>
    <row r="965" spans="1:45" ht="12.6" customHeight="1" x14ac:dyDescent="0.3">
      <c r="A965" s="84"/>
      <c r="B965" s="41" t="s">
        <v>885</v>
      </c>
      <c r="C965" s="149">
        <f>E965+D965+F965</f>
        <v>1449.2</v>
      </c>
      <c r="D965" s="149">
        <f>SUMIF(N941:N964,M965,D941:D964)</f>
        <v>806.2</v>
      </c>
      <c r="E965" s="149">
        <f>SUMIF(N941:N964,M965,E941:E964)</f>
        <v>252</v>
      </c>
      <c r="F965" s="149">
        <f>SUMIF(N941:N964,M965,F941:F964)</f>
        <v>391</v>
      </c>
      <c r="G965" s="17" t="s">
        <v>1220</v>
      </c>
      <c r="M965" s="34" t="s">
        <v>886</v>
      </c>
      <c r="N965" s="34" t="s">
        <v>891</v>
      </c>
      <c r="Z965" s="155"/>
      <c r="AA965" s="155"/>
      <c r="AB965" s="155"/>
      <c r="AC965" s="155"/>
      <c r="AD965" s="155"/>
      <c r="AE965" s="155"/>
      <c r="AF965" s="155"/>
      <c r="AG965" s="155"/>
      <c r="AH965" s="155"/>
      <c r="AI965" s="155"/>
      <c r="AJ965" s="155"/>
      <c r="AK965" s="155"/>
      <c r="AL965" s="155"/>
      <c r="AM965" s="155"/>
      <c r="AN965" s="155"/>
      <c r="AO965" s="155"/>
      <c r="AP965" s="155"/>
      <c r="AQ965" s="155"/>
      <c r="AR965" s="155"/>
      <c r="AS965" s="155"/>
    </row>
    <row r="966" spans="1:45" ht="12.6" customHeight="1" x14ac:dyDescent="0.3">
      <c r="A966" s="107"/>
      <c r="B966" s="107"/>
      <c r="C966" s="147"/>
      <c r="D966" s="147"/>
      <c r="E966" s="147"/>
      <c r="F966" s="147"/>
      <c r="G966" s="17" t="s">
        <v>848</v>
      </c>
      <c r="Z966" s="155"/>
      <c r="AA966" s="155"/>
      <c r="AB966" s="155"/>
      <c r="AC966" s="155"/>
      <c r="AD966" s="155"/>
      <c r="AE966" s="155"/>
      <c r="AF966" s="155"/>
      <c r="AG966" s="155"/>
      <c r="AH966" s="155"/>
      <c r="AI966" s="155"/>
      <c r="AJ966" s="155"/>
      <c r="AK966" s="155"/>
      <c r="AL966" s="155"/>
      <c r="AM966" s="155"/>
      <c r="AN966" s="155"/>
      <c r="AO966" s="155"/>
      <c r="AP966" s="155"/>
      <c r="AQ966" s="155"/>
      <c r="AR966" s="155"/>
      <c r="AS966" s="155"/>
    </row>
    <row r="967" spans="1:45" ht="12.6" customHeight="1" x14ac:dyDescent="0.3">
      <c r="A967" s="84"/>
      <c r="B967" s="41" t="s">
        <v>1176</v>
      </c>
      <c r="C967" s="107"/>
      <c r="D967" s="107"/>
      <c r="E967" s="107"/>
      <c r="F967" s="107"/>
      <c r="G967" s="17" t="s">
        <v>1175</v>
      </c>
      <c r="Z967" s="155"/>
      <c r="AA967" s="155"/>
      <c r="AB967" s="155"/>
      <c r="AC967" s="155"/>
      <c r="AD967" s="155"/>
      <c r="AE967" s="155"/>
      <c r="AF967" s="155"/>
      <c r="AG967" s="155"/>
      <c r="AH967" s="155"/>
      <c r="AI967" s="155"/>
      <c r="AJ967" s="155"/>
      <c r="AK967" s="155"/>
      <c r="AL967" s="155"/>
      <c r="AM967" s="155"/>
      <c r="AN967" s="155"/>
      <c r="AO967" s="155"/>
      <c r="AP967" s="155"/>
      <c r="AQ967" s="155"/>
      <c r="AR967" s="155"/>
      <c r="AS967" s="155"/>
    </row>
    <row r="968" spans="1:45" ht="12.6" customHeight="1" x14ac:dyDescent="0.3">
      <c r="A968" s="107"/>
      <c r="B968" s="107"/>
      <c r="C968" s="107"/>
      <c r="D968" s="107"/>
      <c r="E968" s="107"/>
      <c r="F968" s="107"/>
      <c r="G968" s="17" t="s">
        <v>848</v>
      </c>
      <c r="Z968" s="155"/>
      <c r="AA968" s="155"/>
      <c r="AB968" s="155"/>
      <c r="AC968" s="155"/>
      <c r="AD968" s="155"/>
      <c r="AE968" s="155"/>
      <c r="AF968" s="155"/>
      <c r="AG968" s="155"/>
      <c r="AH968" s="155"/>
      <c r="AI968" s="155"/>
      <c r="AJ968" s="155"/>
      <c r="AK968" s="155"/>
      <c r="AL968" s="155"/>
      <c r="AM968" s="155"/>
      <c r="AN968" s="155"/>
      <c r="AO968" s="155"/>
      <c r="AP968" s="155"/>
      <c r="AQ968" s="155"/>
      <c r="AR968" s="155"/>
      <c r="AS968" s="155"/>
    </row>
    <row r="969" spans="1:45" ht="12.6" customHeight="1" x14ac:dyDescent="0.3">
      <c r="A969" s="84"/>
      <c r="B969" s="41" t="str">
        <f>" f (체적환산계수) ="&amp;Z969&amp;" , E (작업효율) ="&amp;AD969&amp;" , k (버킷계수) ="&amp;AH969&amp;""</f>
        <v xml:space="preserve"> f (체적환산계수) =1 , E (작업효율) =0.9 , k (버킷계수) =0.55</v>
      </c>
      <c r="C969" s="107"/>
      <c r="D969" s="107"/>
      <c r="E969" s="107"/>
      <c r="F969" s="107"/>
      <c r="G969" s="17" t="s">
        <v>1221</v>
      </c>
      <c r="Z969" s="157">
        <v>1</v>
      </c>
      <c r="AA969" s="34" t="s">
        <v>871</v>
      </c>
      <c r="AB969" s="158">
        <f>Z969</f>
        <v>1</v>
      </c>
      <c r="AC969" s="159" t="s">
        <v>872</v>
      </c>
      <c r="AD969" s="156">
        <v>0.9</v>
      </c>
      <c r="AE969" s="34" t="s">
        <v>871</v>
      </c>
      <c r="AF969" s="158">
        <f>AD969</f>
        <v>0.9</v>
      </c>
      <c r="AG969" s="159" t="s">
        <v>872</v>
      </c>
      <c r="AH969" s="156">
        <v>0.55000000000000004</v>
      </c>
      <c r="AI969" s="34" t="s">
        <v>871</v>
      </c>
      <c r="AJ969" s="158">
        <f>AH969</f>
        <v>0.55000000000000004</v>
      </c>
      <c r="AK969" s="155"/>
      <c r="AL969" s="155"/>
      <c r="AM969" s="155"/>
      <c r="AN969" s="155"/>
      <c r="AO969" s="155"/>
      <c r="AP969" s="155"/>
      <c r="AQ969" s="155"/>
      <c r="AR969" s="155"/>
      <c r="AS969" s="155"/>
    </row>
    <row r="970" spans="1:45" ht="12.6" customHeight="1" x14ac:dyDescent="0.3">
      <c r="A970" s="107"/>
      <c r="B970" s="107"/>
      <c r="C970" s="107"/>
      <c r="D970" s="107"/>
      <c r="E970" s="107"/>
      <c r="F970" s="107"/>
      <c r="G970" s="17" t="s">
        <v>848</v>
      </c>
      <c r="Z970" s="155"/>
      <c r="AA970" s="155"/>
      <c r="AB970" s="155"/>
      <c r="AC970" s="155"/>
      <c r="AD970" s="155"/>
      <c r="AE970" s="155"/>
      <c r="AF970" s="155"/>
      <c r="AG970" s="155"/>
      <c r="AH970" s="155"/>
      <c r="AI970" s="155"/>
      <c r="AJ970" s="155"/>
      <c r="AK970" s="155"/>
      <c r="AL970" s="155"/>
      <c r="AM970" s="155"/>
      <c r="AN970" s="155"/>
      <c r="AO970" s="155"/>
      <c r="AP970" s="155"/>
      <c r="AQ970" s="155"/>
      <c r="AR970" s="155"/>
      <c r="AS970" s="155"/>
    </row>
    <row r="971" spans="1:45" ht="12.6" customHeight="1" x14ac:dyDescent="0.3">
      <c r="A971" s="84"/>
      <c r="B971" s="41" t="str">
        <f>" V1="&amp;Z971&amp;" , V2="&amp;AD971&amp;" , V3="&amp;AH971&amp;" , V4="&amp;AL971&amp;""</f>
        <v xml:space="preserve"> V1=30 , V2=35 , V3=7 , V4=8</v>
      </c>
      <c r="C971" s="107"/>
      <c r="D971" s="107"/>
      <c r="E971" s="107"/>
      <c r="F971" s="107"/>
      <c r="G971" s="17" t="s">
        <v>1222</v>
      </c>
      <c r="Z971" s="157">
        <v>30</v>
      </c>
      <c r="AA971" s="34" t="s">
        <v>871</v>
      </c>
      <c r="AB971" s="158">
        <f>Z971</f>
        <v>30</v>
      </c>
      <c r="AC971" s="159" t="s">
        <v>872</v>
      </c>
      <c r="AD971" s="157">
        <v>35</v>
      </c>
      <c r="AE971" s="34" t="s">
        <v>871</v>
      </c>
      <c r="AF971" s="158">
        <f>AD971</f>
        <v>35</v>
      </c>
      <c r="AG971" s="159" t="s">
        <v>872</v>
      </c>
      <c r="AH971" s="157">
        <v>7</v>
      </c>
      <c r="AI971" s="34" t="s">
        <v>871</v>
      </c>
      <c r="AJ971" s="158">
        <f>AH971</f>
        <v>7</v>
      </c>
      <c r="AK971" s="159" t="s">
        <v>872</v>
      </c>
      <c r="AL971" s="157">
        <v>8</v>
      </c>
      <c r="AM971" s="34" t="s">
        <v>871</v>
      </c>
      <c r="AN971" s="158">
        <f>AL971</f>
        <v>8</v>
      </c>
      <c r="AO971" s="155"/>
      <c r="AP971" s="155"/>
      <c r="AQ971" s="155"/>
      <c r="AR971" s="155"/>
      <c r="AS971" s="155"/>
    </row>
    <row r="972" spans="1:45" ht="12.6" customHeight="1" x14ac:dyDescent="0.3">
      <c r="A972" s="107"/>
      <c r="B972" s="107"/>
      <c r="C972" s="107"/>
      <c r="D972" s="107"/>
      <c r="E972" s="107"/>
      <c r="F972" s="107"/>
      <c r="G972" s="17" t="s">
        <v>848</v>
      </c>
      <c r="Z972" s="155"/>
      <c r="AA972" s="155"/>
      <c r="AB972" s="155"/>
      <c r="AC972" s="155"/>
      <c r="AD972" s="155"/>
      <c r="AE972" s="155"/>
      <c r="AF972" s="155"/>
      <c r="AG972" s="155"/>
      <c r="AH972" s="155"/>
      <c r="AI972" s="155"/>
      <c r="AJ972" s="155"/>
      <c r="AK972" s="155"/>
      <c r="AL972" s="155"/>
      <c r="AM972" s="155"/>
      <c r="AN972" s="155"/>
      <c r="AO972" s="155"/>
      <c r="AP972" s="155"/>
      <c r="AQ972" s="155"/>
      <c r="AR972" s="155"/>
      <c r="AS972" s="155"/>
    </row>
    <row r="973" spans="1:45" ht="12.6" customHeight="1" x14ac:dyDescent="0.3">
      <c r="A973" s="84"/>
      <c r="B973" s="41" t="str">
        <f>" q1 (덤프1대적재량)  = "&amp;Z973&amp;" 톤 "</f>
        <v xml:space="preserve"> q1 (덤프1대적재량)  = 4.5 톤 </v>
      </c>
      <c r="C973" s="107"/>
      <c r="D973" s="107"/>
      <c r="E973" s="107"/>
      <c r="F973" s="107"/>
      <c r="G973" s="17" t="s">
        <v>1223</v>
      </c>
      <c r="Z973" s="156">
        <v>4.5</v>
      </c>
      <c r="AA973" s="34" t="s">
        <v>871</v>
      </c>
      <c r="AB973" s="158">
        <f>Z973</f>
        <v>4.5</v>
      </c>
      <c r="AC973" s="155"/>
      <c r="AD973" s="155"/>
      <c r="AE973" s="155"/>
      <c r="AF973" s="155"/>
      <c r="AG973" s="155"/>
      <c r="AH973" s="155"/>
      <c r="AI973" s="155"/>
      <c r="AJ973" s="155"/>
      <c r="AK973" s="155"/>
      <c r="AL973" s="155"/>
      <c r="AM973" s="155"/>
      <c r="AN973" s="155"/>
      <c r="AO973" s="155"/>
      <c r="AP973" s="155"/>
      <c r="AQ973" s="155"/>
      <c r="AR973" s="155"/>
      <c r="AS973" s="155"/>
    </row>
    <row r="974" spans="1:45" ht="12.6" customHeight="1" x14ac:dyDescent="0.3">
      <c r="A974" s="107"/>
      <c r="B974" s="107"/>
      <c r="C974" s="107"/>
      <c r="D974" s="107"/>
      <c r="E974" s="107"/>
      <c r="F974" s="107"/>
      <c r="G974" s="17" t="s">
        <v>848</v>
      </c>
      <c r="Z974" s="155"/>
      <c r="AA974" s="155"/>
      <c r="AB974" s="155"/>
      <c r="AC974" s="155"/>
      <c r="AD974" s="155"/>
      <c r="AE974" s="155"/>
      <c r="AF974" s="155"/>
      <c r="AG974" s="155"/>
      <c r="AH974" s="155"/>
      <c r="AI974" s="155"/>
      <c r="AJ974" s="155"/>
      <c r="AK974" s="155"/>
      <c r="AL974" s="155"/>
      <c r="AM974" s="155"/>
      <c r="AN974" s="155"/>
      <c r="AO974" s="155"/>
      <c r="AP974" s="155"/>
      <c r="AQ974" s="155"/>
      <c r="AR974" s="155"/>
      <c r="AS974" s="155"/>
    </row>
    <row r="975" spans="1:45" ht="12.6" customHeight="1" x14ac:dyDescent="0.3">
      <c r="A975" s="84"/>
      <c r="B975" s="41" t="str">
        <f>" n (덤프1대 적재시 적재기계의 사이클횟수)  =q1 / (q2 * k) = "&amp;AG975&amp;"  회 "</f>
        <v xml:space="preserve"> n (덤프1대 적재시 적재기계의 사이클횟수)  =q1 / (q2 * k) = 5.72  회 </v>
      </c>
      <c r="C975" s="107"/>
      <c r="D975" s="107"/>
      <c r="E975" s="107"/>
      <c r="F975" s="107"/>
      <c r="G975" s="17" t="s">
        <v>1224</v>
      </c>
      <c r="Z975" s="158">
        <f>AB973</f>
        <v>4.5</v>
      </c>
      <c r="AA975" s="34" t="s">
        <v>990</v>
      </c>
      <c r="AB975" s="158">
        <f>AB951</f>
        <v>1.43</v>
      </c>
      <c r="AC975" s="34" t="s">
        <v>876</v>
      </c>
      <c r="AD975" s="158">
        <f>AJ969</f>
        <v>0.55000000000000004</v>
      </c>
      <c r="AE975" s="34" t="s">
        <v>991</v>
      </c>
      <c r="AF975" s="34" t="s">
        <v>871</v>
      </c>
      <c r="AG975" s="158" t="str">
        <f>TEXT(ROUND(AB973/(AB951*AJ969),2),"#,0.00")</f>
        <v>5.72</v>
      </c>
      <c r="AH975" s="155"/>
      <c r="AI975" s="155"/>
      <c r="AJ975" s="155"/>
      <c r="AK975" s="155"/>
      <c r="AL975" s="155"/>
      <c r="AM975" s="155"/>
      <c r="AN975" s="155"/>
      <c r="AO975" s="155"/>
      <c r="AP975" s="155"/>
      <c r="AQ975" s="155"/>
      <c r="AR975" s="155"/>
      <c r="AS975" s="155"/>
    </row>
    <row r="976" spans="1:45" ht="12.6" customHeight="1" x14ac:dyDescent="0.3">
      <c r="A976" s="107"/>
      <c r="B976" s="107"/>
      <c r="C976" s="107"/>
      <c r="D976" s="107"/>
      <c r="E976" s="107"/>
      <c r="F976" s="107"/>
      <c r="G976" s="17" t="s">
        <v>848</v>
      </c>
      <c r="Z976" s="155"/>
      <c r="AA976" s="155"/>
      <c r="AB976" s="155"/>
      <c r="AC976" s="155"/>
      <c r="AD976" s="155"/>
      <c r="AE976" s="155"/>
      <c r="AF976" s="155"/>
      <c r="AG976" s="155"/>
      <c r="AH976" s="155"/>
      <c r="AI976" s="155"/>
      <c r="AJ976" s="155"/>
      <c r="AK976" s="155"/>
      <c r="AL976" s="155"/>
      <c r="AM976" s="155"/>
      <c r="AN976" s="155"/>
      <c r="AO976" s="155"/>
      <c r="AP976" s="155"/>
      <c r="AQ976" s="155"/>
      <c r="AR976" s="155"/>
      <c r="AS976" s="155"/>
    </row>
    <row r="977" spans="1:45" ht="12.6" customHeight="1" x14ac:dyDescent="0.3">
      <c r="A977" s="84"/>
      <c r="B977" s="41" t="str">
        <f>" t1 (상차시간)  =Cm1 * n / ("&amp;AD977&amp;" * "&amp;AF977&amp;") = "&amp;AI977&amp;" 분 "</f>
        <v xml:space="preserve"> t1 (상차시간)  =Cm1 * n / (60 * 0.35) = 4.90 분 </v>
      </c>
      <c r="C977" s="107"/>
      <c r="D977" s="107"/>
      <c r="E977" s="107"/>
      <c r="F977" s="107"/>
      <c r="G977" s="17" t="s">
        <v>1225</v>
      </c>
      <c r="Z977" s="158">
        <f>AB955</f>
        <v>18</v>
      </c>
      <c r="AA977" s="34" t="s">
        <v>876</v>
      </c>
      <c r="AB977" s="158" t="str">
        <f>AG975</f>
        <v>5.72</v>
      </c>
      <c r="AC977" s="34" t="s">
        <v>990</v>
      </c>
      <c r="AD977" s="157">
        <v>60</v>
      </c>
      <c r="AE977" s="34" t="s">
        <v>876</v>
      </c>
      <c r="AF977" s="156">
        <v>0.35</v>
      </c>
      <c r="AG977" s="34" t="s">
        <v>991</v>
      </c>
      <c r="AH977" s="34" t="s">
        <v>871</v>
      </c>
      <c r="AI977" s="158" t="str">
        <f>TEXT(ROUND(AB955*AG975/(AD977*AF977),2),"#,0.00")</f>
        <v>4.90</v>
      </c>
      <c r="AJ977" s="155"/>
      <c r="AK977" s="155"/>
      <c r="AL977" s="155"/>
      <c r="AM977" s="155"/>
      <c r="AN977" s="155"/>
      <c r="AO977" s="155"/>
      <c r="AP977" s="155"/>
      <c r="AQ977" s="155"/>
      <c r="AR977" s="155"/>
      <c r="AS977" s="155"/>
    </row>
    <row r="978" spans="1:45" ht="12.6" customHeight="1" x14ac:dyDescent="0.3">
      <c r="A978" s="107"/>
      <c r="B978" s="107"/>
      <c r="C978" s="107"/>
      <c r="D978" s="107"/>
      <c r="E978" s="107"/>
      <c r="F978" s="107"/>
      <c r="G978" s="17" t="s">
        <v>848</v>
      </c>
      <c r="Z978" s="155"/>
      <c r="AA978" s="155"/>
      <c r="AB978" s="155"/>
      <c r="AC978" s="155"/>
      <c r="AD978" s="155"/>
      <c r="AE978" s="155"/>
      <c r="AF978" s="155"/>
      <c r="AG978" s="155"/>
      <c r="AH978" s="155"/>
      <c r="AI978" s="155"/>
      <c r="AJ978" s="155"/>
      <c r="AK978" s="155"/>
      <c r="AL978" s="155"/>
      <c r="AM978" s="155"/>
      <c r="AN978" s="155"/>
      <c r="AO978" s="155"/>
      <c r="AP978" s="155"/>
      <c r="AQ978" s="155"/>
      <c r="AR978" s="155"/>
      <c r="AS978" s="155"/>
    </row>
    <row r="979" spans="1:45" ht="12.6" customHeight="1" x14ac:dyDescent="0.3">
      <c r="A979" s="84"/>
      <c r="B979" s="41" t="str">
        <f>" t2 (운반시간)  =(L1/V1+L1/V2+L2/V3+L2/V4 ) * "&amp;AQ979&amp;" = "&amp;AS979&amp;" 분 "</f>
        <v xml:space="preserve"> t2 (운반시간)  =(L1/V1+L1/V2+L2/V3+L2/V4 ) * 60 = 1.61 분 </v>
      </c>
      <c r="C979" s="107"/>
      <c r="D979" s="107"/>
      <c r="E979" s="107"/>
      <c r="F979" s="107"/>
      <c r="G979" s="17" t="s">
        <v>1226</v>
      </c>
      <c r="Z979" s="34" t="s">
        <v>998</v>
      </c>
      <c r="AA979" s="158">
        <f>AB945</f>
        <v>0</v>
      </c>
      <c r="AB979" s="34" t="s">
        <v>873</v>
      </c>
      <c r="AC979" s="158">
        <f>AB971</f>
        <v>30</v>
      </c>
      <c r="AD979" s="34" t="s">
        <v>999</v>
      </c>
      <c r="AE979" s="158">
        <f>AB945</f>
        <v>0</v>
      </c>
      <c r="AF979" s="34" t="s">
        <v>873</v>
      </c>
      <c r="AG979" s="158">
        <f>AF971</f>
        <v>35</v>
      </c>
      <c r="AH979" s="34" t="s">
        <v>999</v>
      </c>
      <c r="AI979" s="158">
        <f>AB947</f>
        <v>0.1</v>
      </c>
      <c r="AJ979" s="34" t="s">
        <v>873</v>
      </c>
      <c r="AK979" s="158">
        <f>AJ971</f>
        <v>7</v>
      </c>
      <c r="AL979" s="34" t="s">
        <v>999</v>
      </c>
      <c r="AM979" s="158">
        <f>AB947</f>
        <v>0.1</v>
      </c>
      <c r="AN979" s="34" t="s">
        <v>873</v>
      </c>
      <c r="AO979" s="158">
        <f>AN971</f>
        <v>8</v>
      </c>
      <c r="AP979" s="34" t="s">
        <v>1000</v>
      </c>
      <c r="AQ979" s="157">
        <v>60</v>
      </c>
      <c r="AR979" s="34" t="s">
        <v>871</v>
      </c>
      <c r="AS979" s="158" t="str">
        <f>TEXT(ROUND((AB945/AB971+AB945/AF971+AB947/AJ971+AB947/AN971)*AQ979,2),"#,0.00")</f>
        <v>1.61</v>
      </c>
    </row>
    <row r="980" spans="1:45" ht="12.6" customHeight="1" x14ac:dyDescent="0.3">
      <c r="A980" s="107"/>
      <c r="B980" s="107"/>
      <c r="C980" s="107"/>
      <c r="D980" s="107"/>
      <c r="E980" s="107"/>
      <c r="F980" s="107"/>
      <c r="G980" s="17" t="s">
        <v>848</v>
      </c>
      <c r="Z980" s="155"/>
      <c r="AA980" s="155"/>
      <c r="AB980" s="155"/>
      <c r="AC980" s="155"/>
      <c r="AD980" s="155"/>
      <c r="AE980" s="155"/>
      <c r="AF980" s="155"/>
      <c r="AG980" s="155"/>
      <c r="AH980" s="155"/>
      <c r="AI980" s="155"/>
      <c r="AJ980" s="155"/>
      <c r="AK980" s="155"/>
      <c r="AL980" s="155"/>
      <c r="AM980" s="155"/>
      <c r="AN980" s="155"/>
      <c r="AO980" s="155"/>
      <c r="AP980" s="155"/>
      <c r="AQ980" s="155"/>
      <c r="AR980" s="155"/>
      <c r="AS980" s="155"/>
    </row>
    <row r="981" spans="1:45" ht="12.6" customHeight="1" x14ac:dyDescent="0.3">
      <c r="A981" s="84"/>
      <c r="B981" s="41" t="str">
        <f>" t3 (적하시간) ="&amp;Z981&amp;" 분  , t4 (적재 대기시간) ="&amp;AD981&amp;" 분 "</f>
        <v xml:space="preserve"> t3 (적하시간) =0.8 분  , t4 (적재 대기시간) =0.7 분 </v>
      </c>
      <c r="C981" s="107"/>
      <c r="D981" s="107"/>
      <c r="E981" s="107"/>
      <c r="F981" s="107"/>
      <c r="G981" s="17" t="s">
        <v>1227</v>
      </c>
      <c r="Z981" s="156">
        <v>0.8</v>
      </c>
      <c r="AA981" s="34" t="s">
        <v>871</v>
      </c>
      <c r="AB981" s="158">
        <f>Z981</f>
        <v>0.8</v>
      </c>
      <c r="AC981" s="159" t="s">
        <v>872</v>
      </c>
      <c r="AD981" s="156">
        <v>0.7</v>
      </c>
      <c r="AE981" s="34" t="s">
        <v>871</v>
      </c>
      <c r="AF981" s="158">
        <f>AD981</f>
        <v>0.7</v>
      </c>
      <c r="AG981" s="155"/>
      <c r="AH981" s="155"/>
      <c r="AI981" s="155"/>
      <c r="AJ981" s="155"/>
      <c r="AK981" s="155"/>
      <c r="AL981" s="155"/>
      <c r="AM981" s="155"/>
      <c r="AN981" s="155"/>
      <c r="AO981" s="155"/>
      <c r="AP981" s="155"/>
      <c r="AQ981" s="155"/>
      <c r="AR981" s="155"/>
      <c r="AS981" s="155"/>
    </row>
    <row r="982" spans="1:45" ht="12.6" customHeight="1" x14ac:dyDescent="0.3">
      <c r="A982" s="107"/>
      <c r="B982" s="107"/>
      <c r="C982" s="107"/>
      <c r="D982" s="107"/>
      <c r="E982" s="107"/>
      <c r="F982" s="107"/>
      <c r="G982" s="17" t="s">
        <v>848</v>
      </c>
      <c r="Z982" s="155"/>
      <c r="AA982" s="155"/>
      <c r="AB982" s="155"/>
      <c r="AC982" s="155"/>
      <c r="AD982" s="155"/>
      <c r="AE982" s="155"/>
      <c r="AF982" s="155"/>
      <c r="AG982" s="155"/>
      <c r="AH982" s="155"/>
      <c r="AI982" s="155"/>
      <c r="AJ982" s="155"/>
      <c r="AK982" s="155"/>
      <c r="AL982" s="155"/>
      <c r="AM982" s="155"/>
      <c r="AN982" s="155"/>
      <c r="AO982" s="155"/>
      <c r="AP982" s="155"/>
      <c r="AQ982" s="155"/>
      <c r="AR982" s="155"/>
      <c r="AS982" s="155"/>
    </row>
    <row r="983" spans="1:45" ht="12.6" customHeight="1" x14ac:dyDescent="0.3">
      <c r="A983" s="84"/>
      <c r="B983" s="41" t="str">
        <f>" Cm (사이클시간)  = t1 + t2 + t3 + t4 = "&amp;AH983&amp;" 분 "</f>
        <v xml:space="preserve"> Cm (사이클시간)  = t1 + t2 + t3 + t4 = 8.01 분 </v>
      </c>
      <c r="C983" s="107"/>
      <c r="D983" s="107"/>
      <c r="E983" s="107"/>
      <c r="F983" s="107"/>
      <c r="G983" s="17" t="s">
        <v>1228</v>
      </c>
      <c r="Z983" s="158" t="str">
        <f>AI977</f>
        <v>4.90</v>
      </c>
      <c r="AA983" s="34" t="s">
        <v>999</v>
      </c>
      <c r="AB983" s="158" t="str">
        <f>AS979</f>
        <v>1.61</v>
      </c>
      <c r="AC983" s="34" t="s">
        <v>999</v>
      </c>
      <c r="AD983" s="158">
        <f>AB981</f>
        <v>0.8</v>
      </c>
      <c r="AE983" s="34" t="s">
        <v>999</v>
      </c>
      <c r="AF983" s="158">
        <f>AF981</f>
        <v>0.7</v>
      </c>
      <c r="AG983" s="34" t="s">
        <v>871</v>
      </c>
      <c r="AH983" s="158" t="str">
        <f>TEXT(ROUND(AI977+AS979+AB981+AF981,2),"#,0.00")</f>
        <v>8.01</v>
      </c>
      <c r="AI983" s="155"/>
      <c r="AJ983" s="155"/>
      <c r="AK983" s="155"/>
      <c r="AL983" s="155"/>
      <c r="AM983" s="155"/>
      <c r="AN983" s="155"/>
      <c r="AO983" s="155"/>
      <c r="AP983" s="155"/>
      <c r="AQ983" s="155"/>
      <c r="AR983" s="155"/>
      <c r="AS983" s="155"/>
    </row>
    <row r="984" spans="1:45" ht="12.6" customHeight="1" x14ac:dyDescent="0.3">
      <c r="A984" s="107"/>
      <c r="B984" s="107"/>
      <c r="C984" s="107"/>
      <c r="D984" s="107"/>
      <c r="E984" s="107"/>
      <c r="F984" s="107"/>
      <c r="G984" s="17" t="s">
        <v>848</v>
      </c>
      <c r="Z984" s="155"/>
      <c r="AA984" s="155"/>
      <c r="AB984" s="155"/>
      <c r="AC984" s="155"/>
      <c r="AD984" s="155"/>
      <c r="AE984" s="155"/>
      <c r="AF984" s="155"/>
      <c r="AG984" s="155"/>
      <c r="AH984" s="155"/>
      <c r="AI984" s="155"/>
      <c r="AJ984" s="155"/>
      <c r="AK984" s="155"/>
      <c r="AL984" s="155"/>
      <c r="AM984" s="155"/>
      <c r="AN984" s="155"/>
      <c r="AO984" s="155"/>
      <c r="AP984" s="155"/>
      <c r="AQ984" s="155"/>
      <c r="AR984" s="155"/>
      <c r="AS984" s="155"/>
    </row>
    <row r="985" spans="1:45" ht="12.6" customHeight="1" x14ac:dyDescent="0.3">
      <c r="A985" s="84"/>
      <c r="B985" s="41" t="str">
        <f>" Q (시간당운반량)  = "&amp;Z985&amp;" * q1 * F * E / Cm = "&amp;AJ985&amp;" ton/hr "</f>
        <v xml:space="preserve"> Q (시간당운반량)  = 60 * q1 * F * E / Cm = 30.34 ton/hr </v>
      </c>
      <c r="C985" s="107"/>
      <c r="D985" s="107"/>
      <c r="E985" s="107"/>
      <c r="F985" s="107"/>
      <c r="G985" s="17" t="s">
        <v>1229</v>
      </c>
      <c r="Z985" s="157">
        <v>60</v>
      </c>
      <c r="AA985" s="34" t="s">
        <v>876</v>
      </c>
      <c r="AB985" s="158">
        <f>AB973</f>
        <v>4.5</v>
      </c>
      <c r="AC985" s="34" t="s">
        <v>876</v>
      </c>
      <c r="AD985" s="158">
        <f>AB969</f>
        <v>1</v>
      </c>
      <c r="AE985" s="34" t="s">
        <v>876</v>
      </c>
      <c r="AF985" s="158">
        <f>AF969</f>
        <v>0.9</v>
      </c>
      <c r="AG985" s="34" t="s">
        <v>873</v>
      </c>
      <c r="AH985" s="158" t="str">
        <f>AH983</f>
        <v>8.01</v>
      </c>
      <c r="AI985" s="34" t="s">
        <v>871</v>
      </c>
      <c r="AJ985" s="158" t="str">
        <f>TEXT(ROUND(Z985*AB973*AB969*AF969/AH983,2),"#,0.00")</f>
        <v>30.34</v>
      </c>
      <c r="AK985" s="155"/>
      <c r="AL985" s="155"/>
      <c r="AM985" s="155"/>
      <c r="AN985" s="155"/>
      <c r="AO985" s="155"/>
      <c r="AP985" s="155"/>
      <c r="AQ985" s="155"/>
      <c r="AR985" s="155"/>
      <c r="AS985" s="155"/>
    </row>
    <row r="986" spans="1:45" ht="12.6" customHeight="1" x14ac:dyDescent="0.3">
      <c r="A986" s="107"/>
      <c r="B986" s="107"/>
      <c r="C986" s="107"/>
      <c r="D986" s="107"/>
      <c r="E986" s="107"/>
      <c r="F986" s="107"/>
      <c r="G986" s="17" t="s">
        <v>848</v>
      </c>
      <c r="Z986" s="155"/>
      <c r="AA986" s="155"/>
      <c r="AB986" s="155"/>
      <c r="AC986" s="155"/>
      <c r="AD986" s="155"/>
      <c r="AE986" s="155"/>
      <c r="AF986" s="155"/>
      <c r="AG986" s="155"/>
      <c r="AH986" s="155"/>
      <c r="AI986" s="155"/>
      <c r="AJ986" s="155"/>
      <c r="AK986" s="155"/>
      <c r="AL986" s="155"/>
      <c r="AM986" s="155"/>
      <c r="AN986" s="155"/>
      <c r="AO986" s="155"/>
      <c r="AP986" s="155"/>
      <c r="AQ986" s="155"/>
      <c r="AR986" s="155"/>
      <c r="AS986" s="155"/>
    </row>
    <row r="987" spans="1:45" ht="12.6" customHeight="1" x14ac:dyDescent="0.3">
      <c r="A987" s="84" t="s">
        <v>1231</v>
      </c>
      <c r="B987" s="146" t="str">
        <f>"  노 무 비  :   "&amp;TEXT(I987,"#,##0"&amp;IF(I987&lt;&gt;INT(I987),".###",""))&amp;" / Q = "&amp;TEXT(C987,"#,##0.0")&amp;""</f>
        <v xml:space="preserve">  노 무 비  :   49,479 / Q = 1,630.8</v>
      </c>
      <c r="C987" s="148">
        <f>E987+D987+F987</f>
        <v>1630.8</v>
      </c>
      <c r="D987" s="148">
        <f>IF(H987=0,0,ROUNDDOWN(J987*H987,1))</f>
        <v>1630.8</v>
      </c>
      <c r="E987" s="148">
        <f>IF(H987=0,0,ROUNDDOWN(K987*H987,1))</f>
        <v>0</v>
      </c>
      <c r="F987" s="148">
        <f>IF(H987=0,0,ROUNDDOWN(L987*H987,1))</f>
        <v>0</v>
      </c>
      <c r="G987" s="17" t="s">
        <v>1230</v>
      </c>
      <c r="H987" s="152">
        <f>ROUNDUP(AC987,14-LEN(ABS(INT(AC987))))</f>
        <v>3.2959789057400005E-2</v>
      </c>
      <c r="I987" s="153">
        <f>K987+J987+L987</f>
        <v>49479</v>
      </c>
      <c r="J987" s="37">
        <f>중기목록표!F17</f>
        <v>49479</v>
      </c>
      <c r="M987" s="34" t="s">
        <v>1232</v>
      </c>
      <c r="N987" s="34" t="s">
        <v>886</v>
      </c>
      <c r="X987" s="154" t="str">
        <f>중기목록표!B17&amp;" / "&amp;중기목록표!C17</f>
        <v>덤프트럭 / 4.5톤,(암석)</v>
      </c>
      <c r="Y987" s="3" t="str">
        <f ca="1">HYPERLINK("#"&amp;중기목록표!J2&amp;"!A"&amp;ROW(중기목록표!A17),"X00092 →")</f>
        <v>X00092 →</v>
      </c>
      <c r="Z987" s="34" t="s">
        <v>879</v>
      </c>
      <c r="AA987" s="158" t="str">
        <f>AJ985</f>
        <v>30.34</v>
      </c>
      <c r="AB987" s="34" t="s">
        <v>871</v>
      </c>
      <c r="AC987" s="158">
        <f>1/AJ985</f>
        <v>3.2959789057350031E-2</v>
      </c>
      <c r="AD987" s="155"/>
      <c r="AE987" s="155"/>
      <c r="AF987" s="155"/>
      <c r="AG987" s="155"/>
      <c r="AH987" s="155"/>
      <c r="AI987" s="155"/>
      <c r="AJ987" s="155"/>
      <c r="AK987" s="155"/>
      <c r="AL987" s="155"/>
      <c r="AM987" s="155"/>
      <c r="AN987" s="155"/>
      <c r="AO987" s="155"/>
      <c r="AP987" s="155"/>
      <c r="AQ987" s="155"/>
      <c r="AR987" s="155"/>
      <c r="AS987" s="155"/>
    </row>
    <row r="988" spans="1:45" ht="12.6" customHeight="1" x14ac:dyDescent="0.3">
      <c r="A988" s="107"/>
      <c r="B988" s="107"/>
      <c r="C988" s="107"/>
      <c r="D988" s="107"/>
      <c r="E988" s="107"/>
      <c r="F988" s="107"/>
      <c r="G988" s="17" t="s">
        <v>848</v>
      </c>
      <c r="Z988" s="155"/>
      <c r="AA988" s="155"/>
      <c r="AB988" s="155"/>
      <c r="AC988" s="155"/>
      <c r="AD988" s="155"/>
      <c r="AE988" s="155"/>
      <c r="AF988" s="155"/>
      <c r="AG988" s="155"/>
      <c r="AH988" s="155"/>
      <c r="AI988" s="155"/>
      <c r="AJ988" s="155"/>
      <c r="AK988" s="155"/>
      <c r="AL988" s="155"/>
      <c r="AM988" s="155"/>
      <c r="AN988" s="155"/>
      <c r="AO988" s="155"/>
      <c r="AP988" s="155"/>
      <c r="AQ988" s="155"/>
      <c r="AR988" s="155"/>
      <c r="AS988" s="155"/>
    </row>
    <row r="989" spans="1:45" ht="12.6" customHeight="1" x14ac:dyDescent="0.3">
      <c r="A989" s="84" t="s">
        <v>1234</v>
      </c>
      <c r="B989" s="146" t="str">
        <f>"  재 료 비  :   "&amp;TEXT(I989,"#,##0"&amp;IF(I989&lt;&gt;INT(I989),".###",""))&amp;" / Q = "&amp;TEXT(C989,"#,##0.0")&amp;""</f>
        <v xml:space="preserve">  재 료 비  :   8,700 / Q = 286.7</v>
      </c>
      <c r="C989" s="148">
        <f>E989+D989+F989</f>
        <v>286.7</v>
      </c>
      <c r="D989" s="148">
        <f>IF(H989=0,0,ROUNDDOWN(J989*H989,1))</f>
        <v>0</v>
      </c>
      <c r="E989" s="148">
        <f>IF(H989=0,0,ROUNDDOWN(K989*H989,1))</f>
        <v>286.7</v>
      </c>
      <c r="F989" s="148">
        <f>IF(H989=0,0,ROUNDDOWN(L989*H989,1))</f>
        <v>0</v>
      </c>
      <c r="G989" s="17" t="s">
        <v>1233</v>
      </c>
      <c r="H989" s="152">
        <f>ROUNDUP(AC989,14-LEN(ABS(INT(AC989))))</f>
        <v>3.2959789057400005E-2</v>
      </c>
      <c r="I989" s="153">
        <f>K989+J989+L989</f>
        <v>8700</v>
      </c>
      <c r="K989" s="37">
        <f>중기목록표!G17</f>
        <v>8700</v>
      </c>
      <c r="M989" s="34" t="s">
        <v>1232</v>
      </c>
      <c r="N989" s="34" t="s">
        <v>886</v>
      </c>
      <c r="X989" s="154" t="str">
        <f>중기목록표!B17&amp;" / "&amp;중기목록표!C17</f>
        <v>덤프트럭 / 4.5톤,(암석)</v>
      </c>
      <c r="Y989" s="3" t="str">
        <f ca="1">HYPERLINK("#"&amp;중기목록표!J2&amp;"!A"&amp;ROW(중기목록표!A17),"X00092 →")</f>
        <v>X00092 →</v>
      </c>
      <c r="Z989" s="34" t="s">
        <v>879</v>
      </c>
      <c r="AA989" s="158" t="str">
        <f>AJ985</f>
        <v>30.34</v>
      </c>
      <c r="AB989" s="34" t="s">
        <v>871</v>
      </c>
      <c r="AC989" s="158">
        <f>1/AJ985</f>
        <v>3.2959789057350031E-2</v>
      </c>
      <c r="AD989" s="155"/>
      <c r="AE989" s="155"/>
      <c r="AF989" s="155"/>
      <c r="AG989" s="155"/>
      <c r="AH989" s="155"/>
      <c r="AI989" s="155"/>
      <c r="AJ989" s="155"/>
      <c r="AK989" s="155"/>
      <c r="AL989" s="155"/>
      <c r="AM989" s="155"/>
      <c r="AN989" s="155"/>
      <c r="AO989" s="155"/>
      <c r="AP989" s="155"/>
      <c r="AQ989" s="155"/>
      <c r="AR989" s="155"/>
      <c r="AS989" s="155"/>
    </row>
    <row r="990" spans="1:45" ht="12.6" customHeight="1" x14ac:dyDescent="0.3">
      <c r="A990" s="107"/>
      <c r="B990" s="107"/>
      <c r="C990" s="107"/>
      <c r="D990" s="107"/>
      <c r="E990" s="107"/>
      <c r="F990" s="107"/>
      <c r="G990" s="17" t="s">
        <v>848</v>
      </c>
      <c r="Z990" s="155"/>
      <c r="AA990" s="155"/>
      <c r="AB990" s="155"/>
      <c r="AC990" s="155"/>
      <c r="AD990" s="155"/>
      <c r="AE990" s="155"/>
      <c r="AF990" s="155"/>
      <c r="AG990" s="155"/>
      <c r="AH990" s="155"/>
      <c r="AI990" s="155"/>
      <c r="AJ990" s="155"/>
      <c r="AK990" s="155"/>
      <c r="AL990" s="155"/>
      <c r="AM990" s="155"/>
      <c r="AN990" s="155"/>
      <c r="AO990" s="155"/>
      <c r="AP990" s="155"/>
      <c r="AQ990" s="155"/>
      <c r="AR990" s="155"/>
      <c r="AS990" s="155"/>
    </row>
    <row r="991" spans="1:45" ht="12.6" customHeight="1" x14ac:dyDescent="0.3">
      <c r="A991" s="84" t="s">
        <v>1236</v>
      </c>
      <c r="B991" s="146" t="str">
        <f>"  경    비  :   "&amp;TEXT(I991,"#,##0"&amp;IF(I991&lt;&gt;INT(I991),".###",""))&amp;" / Q = "&amp;TEXT(C991,"#,##0.0")&amp;""</f>
        <v xml:space="preserve">  경    비  :   8,897 / Q = 293.2</v>
      </c>
      <c r="C991" s="148">
        <f>E991+D991+F991</f>
        <v>293.2</v>
      </c>
      <c r="D991" s="148">
        <f>IF(H991=0,0,ROUNDDOWN(J991*H991,1))</f>
        <v>0</v>
      </c>
      <c r="E991" s="148">
        <f>IF(H991=0,0,ROUNDDOWN(K991*H991,1))</f>
        <v>0</v>
      </c>
      <c r="F991" s="148">
        <f>IF(H991=0,0,ROUNDDOWN(L991*H991,1))</f>
        <v>293.2</v>
      </c>
      <c r="G991" s="17" t="s">
        <v>1235</v>
      </c>
      <c r="H991" s="152">
        <f>ROUNDUP(AC991,14-LEN(ABS(INT(AC991))))</f>
        <v>3.2959789057400005E-2</v>
      </c>
      <c r="I991" s="153">
        <f>K991+J991+L991</f>
        <v>8897</v>
      </c>
      <c r="L991" s="37">
        <f>중기목록표!H17</f>
        <v>8897</v>
      </c>
      <c r="M991" s="34" t="s">
        <v>1232</v>
      </c>
      <c r="N991" s="34" t="s">
        <v>886</v>
      </c>
      <c r="X991" s="154" t="str">
        <f>중기목록표!B17&amp;" / "&amp;중기목록표!C17</f>
        <v>덤프트럭 / 4.5톤,(암석)</v>
      </c>
      <c r="Y991" s="3" t="str">
        <f ca="1">HYPERLINK("#"&amp;중기목록표!J2&amp;"!A"&amp;ROW(중기목록표!A17),"X00092 →")</f>
        <v>X00092 →</v>
      </c>
      <c r="Z991" s="34" t="s">
        <v>879</v>
      </c>
      <c r="AA991" s="158" t="str">
        <f>AJ985</f>
        <v>30.34</v>
      </c>
      <c r="AB991" s="34" t="s">
        <v>871</v>
      </c>
      <c r="AC991" s="158">
        <f>1/AJ985</f>
        <v>3.2959789057350031E-2</v>
      </c>
      <c r="AD991" s="155"/>
      <c r="AE991" s="155"/>
      <c r="AF991" s="155"/>
      <c r="AG991" s="155"/>
      <c r="AH991" s="155"/>
      <c r="AI991" s="155"/>
      <c r="AJ991" s="155"/>
      <c r="AK991" s="155"/>
      <c r="AL991" s="155"/>
      <c r="AM991" s="155"/>
      <c r="AN991" s="155"/>
      <c r="AO991" s="155"/>
      <c r="AP991" s="155"/>
      <c r="AQ991" s="155"/>
      <c r="AR991" s="155"/>
      <c r="AS991" s="155"/>
    </row>
    <row r="992" spans="1:45" ht="12.6" customHeight="1" x14ac:dyDescent="0.3">
      <c r="A992" s="107"/>
      <c r="B992" s="107"/>
      <c r="C992" s="107"/>
      <c r="D992" s="107"/>
      <c r="E992" s="107"/>
      <c r="F992" s="107"/>
      <c r="G992" s="17" t="s">
        <v>848</v>
      </c>
      <c r="Z992" s="155"/>
      <c r="AA992" s="155"/>
      <c r="AB992" s="155"/>
      <c r="AC992" s="155"/>
      <c r="AD992" s="155"/>
      <c r="AE992" s="155"/>
      <c r="AF992" s="155"/>
      <c r="AG992" s="155"/>
      <c r="AH992" s="155"/>
      <c r="AI992" s="155"/>
      <c r="AJ992" s="155"/>
      <c r="AK992" s="155"/>
      <c r="AL992" s="155"/>
      <c r="AM992" s="155"/>
      <c r="AN992" s="155"/>
      <c r="AO992" s="155"/>
      <c r="AP992" s="155"/>
      <c r="AQ992" s="155"/>
      <c r="AR992" s="155"/>
      <c r="AS992" s="155"/>
    </row>
    <row r="993" spans="1:45" ht="12.6" customHeight="1" x14ac:dyDescent="0.3">
      <c r="A993" s="84"/>
      <c r="B993" s="41" t="s">
        <v>885</v>
      </c>
      <c r="C993" s="149">
        <f>E993+D993+F993</f>
        <v>2210.6999999999998</v>
      </c>
      <c r="D993" s="149">
        <f>SUMIF(N966:N992,M993,D966:D992)</f>
        <v>1630.8</v>
      </c>
      <c r="E993" s="149">
        <f>SUMIF(N966:N992,M993,E966:E992)</f>
        <v>286.7</v>
      </c>
      <c r="F993" s="149">
        <f>SUMIF(N966:N992,M993,F966:F992)</f>
        <v>293.2</v>
      </c>
      <c r="G993" s="17" t="s">
        <v>1220</v>
      </c>
      <c r="M993" s="34" t="s">
        <v>886</v>
      </c>
      <c r="N993" s="34" t="s">
        <v>891</v>
      </c>
      <c r="Z993" s="155"/>
      <c r="AA993" s="155"/>
      <c r="AB993" s="155"/>
      <c r="AC993" s="155"/>
      <c r="AD993" s="155"/>
      <c r="AE993" s="155"/>
      <c r="AF993" s="155"/>
      <c r="AG993" s="155"/>
      <c r="AH993" s="155"/>
      <c r="AI993" s="155"/>
      <c r="AJ993" s="155"/>
      <c r="AK993" s="155"/>
      <c r="AL993" s="155"/>
      <c r="AM993" s="155"/>
      <c r="AN993" s="155"/>
      <c r="AO993" s="155"/>
      <c r="AP993" s="155"/>
      <c r="AQ993" s="155"/>
      <c r="AR993" s="155"/>
      <c r="AS993" s="155"/>
    </row>
    <row r="994" spans="1:45" ht="12.6" customHeight="1" x14ac:dyDescent="0.3">
      <c r="A994" s="107"/>
      <c r="B994" s="107"/>
      <c r="C994" s="147"/>
      <c r="D994" s="147"/>
      <c r="E994" s="147"/>
      <c r="F994" s="147"/>
      <c r="G994" s="17" t="s">
        <v>848</v>
      </c>
      <c r="Z994" s="155"/>
      <c r="AA994" s="155"/>
      <c r="AB994" s="155"/>
      <c r="AC994" s="155"/>
      <c r="AD994" s="155"/>
      <c r="AE994" s="155"/>
      <c r="AF994" s="155"/>
      <c r="AG994" s="155"/>
      <c r="AH994" s="155"/>
      <c r="AI994" s="155"/>
      <c r="AJ994" s="155"/>
      <c r="AK994" s="155"/>
      <c r="AL994" s="155"/>
      <c r="AM994" s="155"/>
      <c r="AN994" s="155"/>
      <c r="AO994" s="155"/>
      <c r="AP994" s="155"/>
      <c r="AQ994" s="155"/>
      <c r="AR994" s="155"/>
      <c r="AS994" s="155"/>
    </row>
    <row r="995" spans="1:45" ht="12.6" customHeight="1" x14ac:dyDescent="0.3">
      <c r="A995" s="84"/>
      <c r="B995" s="41" t="s">
        <v>769</v>
      </c>
      <c r="C995" s="149">
        <f>E995+D995+F995</f>
        <v>3659.8999999999996</v>
      </c>
      <c r="D995" s="149">
        <f>SUMIF(N941:N994,M995,D941:D994)</f>
        <v>2437</v>
      </c>
      <c r="E995" s="149">
        <f>SUMIF(N941:N994,M995,E941:E994)</f>
        <v>538.70000000000005</v>
      </c>
      <c r="F995" s="149">
        <f>SUMIF(N941:N994,M995,F941:F994)</f>
        <v>684.2</v>
      </c>
      <c r="G995" s="17" t="s">
        <v>1237</v>
      </c>
      <c r="M995" s="34" t="s">
        <v>891</v>
      </c>
      <c r="N995" s="34" t="s">
        <v>768</v>
      </c>
      <c r="Z995" s="155"/>
      <c r="AA995" s="155"/>
      <c r="AB995" s="155"/>
      <c r="AC995" s="155"/>
      <c r="AD995" s="155"/>
      <c r="AE995" s="155"/>
      <c r="AF995" s="155"/>
      <c r="AG995" s="155"/>
      <c r="AH995" s="155"/>
      <c r="AI995" s="155"/>
      <c r="AJ995" s="155"/>
      <c r="AK995" s="155"/>
      <c r="AL995" s="155"/>
      <c r="AM995" s="155"/>
      <c r="AN995" s="155"/>
      <c r="AO995" s="155"/>
      <c r="AP995" s="155"/>
      <c r="AQ995" s="155"/>
      <c r="AR995" s="155"/>
      <c r="AS995" s="155"/>
    </row>
    <row r="996" spans="1:45" ht="12.6" customHeight="1" x14ac:dyDescent="0.3">
      <c r="A996" s="107"/>
      <c r="B996" s="107"/>
      <c r="C996" s="147"/>
      <c r="D996" s="147"/>
      <c r="E996" s="147"/>
      <c r="F996" s="147"/>
      <c r="Z996" s="155"/>
      <c r="AA996" s="155"/>
      <c r="AB996" s="155"/>
      <c r="AC996" s="155"/>
      <c r="AD996" s="155"/>
      <c r="AE996" s="155"/>
      <c r="AF996" s="155"/>
      <c r="AG996" s="155"/>
      <c r="AH996" s="155"/>
      <c r="AI996" s="155"/>
      <c r="AJ996" s="155"/>
      <c r="AK996" s="155"/>
      <c r="AL996" s="155"/>
      <c r="AM996" s="155"/>
      <c r="AN996" s="155"/>
      <c r="AO996" s="155"/>
      <c r="AP996" s="155"/>
      <c r="AQ996" s="155"/>
      <c r="AR996" s="155"/>
      <c r="AS996" s="155"/>
    </row>
    <row r="997" spans="1:45" ht="12.6" customHeight="1" x14ac:dyDescent="0.3">
      <c r="A997" s="107"/>
      <c r="B997" s="107"/>
      <c r="C997" s="107"/>
      <c r="D997" s="107"/>
      <c r="E997" s="107"/>
      <c r="F997" s="107"/>
      <c r="Z997" s="155"/>
      <c r="AA997" s="155"/>
      <c r="AB997" s="155"/>
      <c r="AC997" s="155"/>
      <c r="AD997" s="155"/>
      <c r="AE997" s="155"/>
      <c r="AF997" s="155"/>
      <c r="AG997" s="155"/>
      <c r="AH997" s="155"/>
      <c r="AI997" s="155"/>
      <c r="AJ997" s="155"/>
      <c r="AK997" s="155"/>
      <c r="AL997" s="155"/>
      <c r="AM997" s="155"/>
      <c r="AN997" s="155"/>
      <c r="AO997" s="155"/>
      <c r="AP997" s="155"/>
      <c r="AQ997" s="155"/>
      <c r="AR997" s="155"/>
      <c r="AS997" s="155"/>
    </row>
    <row r="998" spans="1:45" ht="12.6" customHeight="1" x14ac:dyDescent="0.3">
      <c r="A998" s="107"/>
      <c r="B998" s="107"/>
      <c r="C998" s="107"/>
      <c r="D998" s="107"/>
      <c r="E998" s="107"/>
      <c r="F998" s="107"/>
      <c r="Z998" s="155"/>
      <c r="AA998" s="155"/>
      <c r="AB998" s="155"/>
      <c r="AC998" s="155"/>
      <c r="AD998" s="155"/>
      <c r="AE998" s="155"/>
      <c r="AF998" s="155"/>
      <c r="AG998" s="155"/>
      <c r="AH998" s="155"/>
      <c r="AI998" s="155"/>
      <c r="AJ998" s="155"/>
      <c r="AK998" s="155"/>
      <c r="AL998" s="155"/>
      <c r="AM998" s="155"/>
      <c r="AN998" s="155"/>
      <c r="AO998" s="155"/>
      <c r="AP998" s="155"/>
      <c r="AQ998" s="155"/>
      <c r="AR998" s="155"/>
      <c r="AS998" s="155"/>
    </row>
    <row r="999" spans="1:45" ht="12.6" customHeight="1" x14ac:dyDescent="0.3">
      <c r="A999" s="107"/>
      <c r="B999" s="107"/>
      <c r="C999" s="107"/>
      <c r="D999" s="107"/>
      <c r="E999" s="107"/>
      <c r="F999" s="107"/>
      <c r="Z999" s="155"/>
      <c r="AA999" s="155"/>
      <c r="AB999" s="155"/>
      <c r="AC999" s="155"/>
      <c r="AD999" s="155"/>
      <c r="AE999" s="155"/>
      <c r="AF999" s="155"/>
      <c r="AG999" s="155"/>
      <c r="AH999" s="155"/>
      <c r="AI999" s="155"/>
      <c r="AJ999" s="155"/>
      <c r="AK999" s="155"/>
      <c r="AL999" s="155"/>
      <c r="AM999" s="155"/>
      <c r="AN999" s="155"/>
      <c r="AO999" s="155"/>
      <c r="AP999" s="155"/>
      <c r="AQ999" s="155"/>
      <c r="AR999" s="155"/>
      <c r="AS999" s="155"/>
    </row>
    <row r="1000" spans="1:45" ht="12.6" customHeight="1" x14ac:dyDescent="0.3">
      <c r="A1000" s="107"/>
      <c r="B1000" s="107"/>
      <c r="C1000" s="107"/>
      <c r="D1000" s="107"/>
      <c r="E1000" s="107"/>
      <c r="F1000" s="107"/>
      <c r="Z1000" s="155"/>
      <c r="AA1000" s="155"/>
      <c r="AB1000" s="155"/>
      <c r="AC1000" s="155"/>
      <c r="AD1000" s="155"/>
      <c r="AE1000" s="155"/>
      <c r="AF1000" s="155"/>
      <c r="AG1000" s="155"/>
      <c r="AH1000" s="155"/>
      <c r="AI1000" s="155"/>
      <c r="AJ1000" s="155"/>
      <c r="AK1000" s="155"/>
      <c r="AL1000" s="155"/>
      <c r="AM1000" s="155"/>
      <c r="AN1000" s="155"/>
      <c r="AO1000" s="155"/>
      <c r="AP1000" s="155"/>
      <c r="AQ1000" s="155"/>
      <c r="AR1000" s="155"/>
      <c r="AS1000" s="155"/>
    </row>
    <row r="1001" spans="1:45" ht="12.6" customHeight="1" x14ac:dyDescent="0.3">
      <c r="A1001" s="107"/>
      <c r="B1001" s="107"/>
      <c r="C1001" s="107"/>
      <c r="D1001" s="107"/>
      <c r="E1001" s="107"/>
      <c r="F1001" s="107"/>
      <c r="Z1001" s="155"/>
      <c r="AA1001" s="155"/>
      <c r="AB1001" s="155"/>
      <c r="AC1001" s="155"/>
      <c r="AD1001" s="155"/>
      <c r="AE1001" s="155"/>
      <c r="AF1001" s="155"/>
      <c r="AG1001" s="155"/>
      <c r="AH1001" s="155"/>
      <c r="AI1001" s="155"/>
      <c r="AJ1001" s="155"/>
      <c r="AK1001" s="155"/>
      <c r="AL1001" s="155"/>
      <c r="AM1001" s="155"/>
      <c r="AN1001" s="155"/>
      <c r="AO1001" s="155"/>
      <c r="AP1001" s="155"/>
      <c r="AQ1001" s="155"/>
      <c r="AR1001" s="155"/>
      <c r="AS1001" s="155"/>
    </row>
    <row r="1002" spans="1:45" ht="12.6" customHeight="1" x14ac:dyDescent="0.3">
      <c r="A1002" s="107"/>
      <c r="B1002" s="107"/>
      <c r="C1002" s="107"/>
      <c r="D1002" s="107"/>
      <c r="E1002" s="107"/>
      <c r="F1002" s="107"/>
      <c r="Z1002" s="155"/>
      <c r="AA1002" s="155"/>
      <c r="AB1002" s="155"/>
      <c r="AC1002" s="155"/>
      <c r="AD1002" s="155"/>
      <c r="AE1002" s="155"/>
      <c r="AF1002" s="155"/>
      <c r="AG1002" s="155"/>
      <c r="AH1002" s="155"/>
      <c r="AI1002" s="155"/>
      <c r="AJ1002" s="155"/>
      <c r="AK1002" s="155"/>
      <c r="AL1002" s="155"/>
      <c r="AM1002" s="155"/>
      <c r="AN1002" s="155"/>
      <c r="AO1002" s="155"/>
      <c r="AP1002" s="155"/>
      <c r="AQ1002" s="155"/>
      <c r="AR1002" s="155"/>
      <c r="AS1002" s="155"/>
    </row>
    <row r="1003" spans="1:45" ht="12.6" customHeight="1" x14ac:dyDescent="0.3">
      <c r="A1003" s="107"/>
      <c r="B1003" s="107"/>
      <c r="C1003" s="107"/>
      <c r="D1003" s="107"/>
      <c r="E1003" s="107"/>
      <c r="F1003" s="107"/>
      <c r="Z1003" s="155"/>
      <c r="AA1003" s="155"/>
      <c r="AB1003" s="155"/>
      <c r="AC1003" s="155"/>
      <c r="AD1003" s="155"/>
      <c r="AE1003" s="155"/>
      <c r="AF1003" s="155"/>
      <c r="AG1003" s="155"/>
      <c r="AH1003" s="155"/>
      <c r="AI1003" s="155"/>
      <c r="AJ1003" s="155"/>
      <c r="AK1003" s="155"/>
      <c r="AL1003" s="155"/>
      <c r="AM1003" s="155"/>
      <c r="AN1003" s="155"/>
      <c r="AO1003" s="155"/>
      <c r="AP1003" s="155"/>
      <c r="AQ1003" s="155"/>
      <c r="AR1003" s="155"/>
      <c r="AS1003" s="155"/>
    </row>
    <row r="1004" spans="1:45" ht="12.6" customHeight="1" x14ac:dyDescent="0.3">
      <c r="A1004" s="107"/>
      <c r="B1004" s="107"/>
      <c r="C1004" s="107"/>
      <c r="D1004" s="107"/>
      <c r="E1004" s="107"/>
      <c r="F1004" s="107"/>
      <c r="Z1004" s="155"/>
      <c r="AA1004" s="155"/>
      <c r="AB1004" s="155"/>
      <c r="AC1004" s="155"/>
      <c r="AD1004" s="155"/>
      <c r="AE1004" s="155"/>
      <c r="AF1004" s="155"/>
      <c r="AG1004" s="155"/>
      <c r="AH1004" s="155"/>
      <c r="AI1004" s="155"/>
      <c r="AJ1004" s="155"/>
      <c r="AK1004" s="155"/>
      <c r="AL1004" s="155"/>
      <c r="AM1004" s="155"/>
      <c r="AN1004" s="155"/>
      <c r="AO1004" s="155"/>
      <c r="AP1004" s="155"/>
      <c r="AQ1004" s="155"/>
      <c r="AR1004" s="155"/>
      <c r="AS1004" s="155"/>
    </row>
    <row r="1005" spans="1:45" ht="12.6" customHeight="1" x14ac:dyDescent="0.3">
      <c r="A1005" s="123"/>
      <c r="B1005" s="123"/>
      <c r="C1005" s="123"/>
      <c r="D1005" s="123"/>
      <c r="E1005" s="123"/>
      <c r="F1005" s="123"/>
      <c r="Z1005" s="155"/>
      <c r="AA1005" s="155"/>
      <c r="AB1005" s="155"/>
      <c r="AC1005" s="155"/>
      <c r="AD1005" s="155"/>
      <c r="AE1005" s="155"/>
      <c r="AF1005" s="155"/>
      <c r="AG1005" s="155"/>
      <c r="AH1005" s="155"/>
      <c r="AI1005" s="155"/>
      <c r="AJ1005" s="155"/>
      <c r="AK1005" s="155"/>
      <c r="AL1005" s="155"/>
      <c r="AM1005" s="155"/>
      <c r="AN1005" s="155"/>
      <c r="AO1005" s="155"/>
      <c r="AP1005" s="155"/>
      <c r="AQ1005" s="155"/>
      <c r="AR1005" s="155"/>
      <c r="AS1005" s="155"/>
    </row>
    <row r="1006" spans="1:45" ht="12.6" customHeight="1" x14ac:dyDescent="0.3">
      <c r="A1006" s="193" t="s">
        <v>1107</v>
      </c>
      <c r="B1006" s="194"/>
      <c r="C1006" s="99">
        <f>E1006+D1006+F1006</f>
        <v>3659</v>
      </c>
      <c r="D1006" s="12">
        <v>0</v>
      </c>
      <c r="E1006" s="13">
        <v>0</v>
      </c>
      <c r="F1006" s="99">
        <f>ROUNDDOWN(SUMIF(N941:N995,M1006,E941:E995),0)+ROUNDDOWN(SUMIF(N941:N995,M1006,D941:D995),0)+ROUNDDOWN(SUMIF(N941:N995,M1006,F941:F995),0)</f>
        <v>3659</v>
      </c>
      <c r="M1006" s="34" t="s">
        <v>768</v>
      </c>
      <c r="N1006" s="34" t="s">
        <v>770</v>
      </c>
      <c r="Z1006" s="155"/>
      <c r="AA1006" s="155"/>
      <c r="AB1006" s="155"/>
      <c r="AC1006" s="155"/>
      <c r="AD1006" s="155"/>
      <c r="AE1006" s="155"/>
      <c r="AF1006" s="155"/>
      <c r="AG1006" s="155"/>
      <c r="AH1006" s="155"/>
      <c r="AI1006" s="155"/>
      <c r="AJ1006" s="155"/>
      <c r="AK1006" s="155"/>
      <c r="AL1006" s="155"/>
      <c r="AM1006" s="155"/>
      <c r="AN1006" s="155"/>
      <c r="AO1006" s="155"/>
      <c r="AP1006" s="155"/>
      <c r="AQ1006" s="155"/>
      <c r="AR1006" s="155"/>
      <c r="AS1006" s="155"/>
    </row>
    <row r="1007" spans="1:45" ht="12.6" customHeight="1" x14ac:dyDescent="0.3">
      <c r="A1007" s="193" t="s">
        <v>1046</v>
      </c>
      <c r="B1007" s="194"/>
      <c r="C1007" s="99">
        <f>E1007+D1007+F1007</f>
        <v>3219</v>
      </c>
      <c r="D1007" s="121">
        <f>ROUNDDOWN(D1006*H1007/100,0)</f>
        <v>0</v>
      </c>
      <c r="E1007" s="120">
        <f>ROUNDDOWN(E1006*H1007/100,0)</f>
        <v>0</v>
      </c>
      <c r="F1007" s="99">
        <f>ROUNDDOWN(F1006*H1007/100,0)</f>
        <v>3219</v>
      </c>
      <c r="H1007" s="35">
        <v>88</v>
      </c>
      <c r="M1007" s="34" t="s">
        <v>770</v>
      </c>
      <c r="Z1007" s="155"/>
      <c r="AA1007" s="155"/>
      <c r="AB1007" s="155"/>
      <c r="AC1007" s="155"/>
      <c r="AD1007" s="155"/>
      <c r="AE1007" s="155"/>
      <c r="AF1007" s="155"/>
      <c r="AG1007" s="155"/>
      <c r="AH1007" s="155"/>
      <c r="AI1007" s="155"/>
      <c r="AJ1007" s="155"/>
      <c r="AK1007" s="155"/>
      <c r="AL1007" s="155"/>
      <c r="AM1007" s="155"/>
      <c r="AN1007" s="155"/>
      <c r="AO1007" s="155"/>
      <c r="AP1007" s="155"/>
      <c r="AQ1007" s="155"/>
      <c r="AR1007" s="155"/>
      <c r="AS1007" s="155"/>
    </row>
    <row r="1008" spans="1:45" ht="12.6" customHeight="1" x14ac:dyDescent="0.3">
      <c r="A1008" s="144" t="s">
        <v>94</v>
      </c>
      <c r="B1008" s="145" t="s">
        <v>94</v>
      </c>
      <c r="C1008" s="232">
        <f>C1042</f>
        <v>105468</v>
      </c>
      <c r="D1008" s="232">
        <f>D1042</f>
        <v>105468</v>
      </c>
      <c r="E1008" s="232">
        <f>E1042</f>
        <v>0</v>
      </c>
      <c r="F1008" s="232">
        <f>F1042</f>
        <v>0</v>
      </c>
      <c r="G1008" s="141" t="str">
        <f>HYPERLINK("#G"&amp;ROW(G1034),"_x0005_`BDCOD|D01453_x0007_`POSS|"&amp;ROW(G1010)&amp;"_x0007_`POSE|"&amp;ROW(G1034)&amp;"_x0007_`")</f>
        <v>_x0005_`BDCOD|D01453_x0007_`POSS|1010_x0007_`POSE|1034_x0007_`</v>
      </c>
      <c r="Z1008" s="155"/>
      <c r="AA1008" s="155"/>
      <c r="AB1008" s="155"/>
      <c r="AC1008" s="155"/>
      <c r="AD1008" s="155"/>
      <c r="AE1008" s="155"/>
      <c r="AF1008" s="155"/>
      <c r="AG1008" s="155"/>
      <c r="AH1008" s="155"/>
      <c r="AI1008" s="155"/>
      <c r="AJ1008" s="155"/>
      <c r="AK1008" s="155"/>
      <c r="AL1008" s="155"/>
      <c r="AM1008" s="155"/>
      <c r="AN1008" s="155"/>
      <c r="AO1008" s="155"/>
      <c r="AP1008" s="155"/>
      <c r="AQ1008" s="155"/>
      <c r="AR1008" s="155"/>
      <c r="AS1008" s="155"/>
    </row>
    <row r="1009" spans="1:45" ht="12.6" customHeight="1" x14ac:dyDescent="0.3">
      <c r="A1009" s="124"/>
      <c r="B1009" s="145" t="s">
        <v>93</v>
      </c>
      <c r="C1009" s="189"/>
      <c r="D1009" s="189"/>
      <c r="E1009" s="189"/>
      <c r="F1009" s="189"/>
      <c r="M1009" s="34" t="s">
        <v>1238</v>
      </c>
      <c r="Z1009" s="155"/>
      <c r="AA1009" s="155"/>
      <c r="AB1009" s="155"/>
      <c r="AC1009" s="155"/>
      <c r="AD1009" s="155"/>
      <c r="AE1009" s="155"/>
      <c r="AF1009" s="155"/>
      <c r="AG1009" s="155"/>
      <c r="AH1009" s="155"/>
      <c r="AI1009" s="155"/>
      <c r="AJ1009" s="155"/>
      <c r="AK1009" s="155"/>
      <c r="AL1009" s="155"/>
      <c r="AM1009" s="155"/>
      <c r="AN1009" s="155"/>
      <c r="AO1009" s="155"/>
      <c r="AP1009" s="155"/>
      <c r="AQ1009" s="155"/>
      <c r="AR1009" s="155"/>
      <c r="AS1009" s="155"/>
    </row>
    <row r="1010" spans="1:45" ht="12.6" customHeight="1" x14ac:dyDescent="0.3">
      <c r="A1010" s="107"/>
      <c r="B1010" s="107"/>
      <c r="C1010" s="147"/>
      <c r="D1010" s="147"/>
      <c r="E1010" s="147"/>
      <c r="F1010" s="147"/>
      <c r="G1010" s="17" t="s">
        <v>848</v>
      </c>
      <c r="Z1010" s="155"/>
      <c r="AA1010" s="155"/>
      <c r="AB1010" s="155"/>
      <c r="AC1010" s="155"/>
      <c r="AD1010" s="155"/>
      <c r="AE1010" s="155"/>
      <c r="AF1010" s="155"/>
      <c r="AG1010" s="155"/>
      <c r="AH1010" s="155"/>
      <c r="AI1010" s="155"/>
      <c r="AJ1010" s="155"/>
      <c r="AK1010" s="155"/>
      <c r="AL1010" s="155"/>
      <c r="AM1010" s="155"/>
      <c r="AN1010" s="155"/>
      <c r="AO1010" s="155"/>
      <c r="AP1010" s="155"/>
      <c r="AQ1010" s="155"/>
      <c r="AR1010" s="155"/>
      <c r="AS1010" s="155"/>
    </row>
    <row r="1011" spans="1:45" ht="12.6" customHeight="1" x14ac:dyDescent="0.3">
      <c r="A1011" s="84"/>
      <c r="B1011" s="41" t="s">
        <v>1240</v>
      </c>
      <c r="C1011" s="107"/>
      <c r="D1011" s="107"/>
      <c r="E1011" s="107"/>
      <c r="F1011" s="107"/>
      <c r="G1011" s="17" t="s">
        <v>1239</v>
      </c>
      <c r="Z1011" s="155"/>
      <c r="AA1011" s="155"/>
      <c r="AB1011" s="155"/>
      <c r="AC1011" s="155"/>
      <c r="AD1011" s="155"/>
      <c r="AE1011" s="155"/>
      <c r="AF1011" s="155"/>
      <c r="AG1011" s="155"/>
      <c r="AH1011" s="155"/>
      <c r="AI1011" s="155"/>
      <c r="AJ1011" s="155"/>
      <c r="AK1011" s="155"/>
      <c r="AL1011" s="155"/>
      <c r="AM1011" s="155"/>
      <c r="AN1011" s="155"/>
      <c r="AO1011" s="155"/>
      <c r="AP1011" s="155"/>
      <c r="AQ1011" s="155"/>
      <c r="AR1011" s="155"/>
      <c r="AS1011" s="155"/>
    </row>
    <row r="1012" spans="1:45" ht="12.6" customHeight="1" x14ac:dyDescent="0.3">
      <c r="A1012" s="107"/>
      <c r="B1012" s="107"/>
      <c r="C1012" s="107"/>
      <c r="D1012" s="107"/>
      <c r="E1012" s="107"/>
      <c r="F1012" s="107"/>
      <c r="G1012" s="17" t="s">
        <v>964</v>
      </c>
      <c r="Z1012" s="155"/>
      <c r="AA1012" s="155"/>
      <c r="AB1012" s="155"/>
      <c r="AC1012" s="155"/>
      <c r="AD1012" s="155"/>
      <c r="AE1012" s="155"/>
      <c r="AF1012" s="155"/>
      <c r="AG1012" s="155"/>
      <c r="AH1012" s="155"/>
      <c r="AI1012" s="155"/>
      <c r="AJ1012" s="155"/>
      <c r="AK1012" s="155"/>
      <c r="AL1012" s="155"/>
      <c r="AM1012" s="155"/>
      <c r="AN1012" s="155"/>
      <c r="AO1012" s="155"/>
      <c r="AP1012" s="155"/>
      <c r="AQ1012" s="155"/>
      <c r="AR1012" s="155"/>
      <c r="AS1012" s="155"/>
    </row>
    <row r="1013" spans="1:45" ht="12.6" customHeight="1" x14ac:dyDescent="0.3">
      <c r="A1013" s="84"/>
      <c r="B1013" s="41" t="s">
        <v>1242</v>
      </c>
      <c r="C1013" s="107"/>
      <c r="D1013" s="107"/>
      <c r="E1013" s="107"/>
      <c r="F1013" s="107"/>
      <c r="G1013" s="17" t="s">
        <v>1241</v>
      </c>
      <c r="Z1013" s="155"/>
      <c r="AA1013" s="155"/>
      <c r="AB1013" s="155"/>
      <c r="AC1013" s="155"/>
      <c r="AD1013" s="155"/>
      <c r="AE1013" s="155"/>
      <c r="AF1013" s="155"/>
      <c r="AG1013" s="155"/>
      <c r="AH1013" s="155"/>
      <c r="AI1013" s="155"/>
      <c r="AJ1013" s="155"/>
      <c r="AK1013" s="155"/>
      <c r="AL1013" s="155"/>
      <c r="AM1013" s="155"/>
      <c r="AN1013" s="155"/>
      <c r="AO1013" s="155"/>
      <c r="AP1013" s="155"/>
      <c r="AQ1013" s="155"/>
      <c r="AR1013" s="155"/>
      <c r="AS1013" s="155"/>
    </row>
    <row r="1014" spans="1:45" ht="12.6" customHeight="1" x14ac:dyDescent="0.3">
      <c r="A1014" s="107"/>
      <c r="B1014" s="107"/>
      <c r="C1014" s="107"/>
      <c r="D1014" s="107"/>
      <c r="E1014" s="107"/>
      <c r="F1014" s="107"/>
      <c r="G1014" s="17" t="s">
        <v>964</v>
      </c>
      <c r="Z1014" s="155"/>
      <c r="AA1014" s="155"/>
      <c r="AB1014" s="155"/>
      <c r="AC1014" s="155"/>
      <c r="AD1014" s="155"/>
      <c r="AE1014" s="155"/>
      <c r="AF1014" s="155"/>
      <c r="AG1014" s="155"/>
      <c r="AH1014" s="155"/>
      <c r="AI1014" s="155"/>
      <c r="AJ1014" s="155"/>
      <c r="AK1014" s="155"/>
      <c r="AL1014" s="155"/>
      <c r="AM1014" s="155"/>
      <c r="AN1014" s="155"/>
      <c r="AO1014" s="155"/>
      <c r="AP1014" s="155"/>
      <c r="AQ1014" s="155"/>
      <c r="AR1014" s="155"/>
      <c r="AS1014" s="155"/>
    </row>
    <row r="1015" spans="1:45" ht="12.6" customHeight="1" x14ac:dyDescent="0.3">
      <c r="A1015" s="107"/>
      <c r="B1015" s="107"/>
      <c r="C1015" s="107"/>
      <c r="D1015" s="107"/>
      <c r="E1015" s="107"/>
      <c r="F1015" s="107"/>
      <c r="G1015" s="17" t="s">
        <v>848</v>
      </c>
      <c r="Z1015" s="155"/>
      <c r="AA1015" s="155"/>
      <c r="AB1015" s="155"/>
      <c r="AC1015" s="155"/>
      <c r="AD1015" s="155"/>
      <c r="AE1015" s="155"/>
      <c r="AF1015" s="155"/>
      <c r="AG1015" s="155"/>
      <c r="AH1015" s="155"/>
      <c r="AI1015" s="155"/>
      <c r="AJ1015" s="155"/>
      <c r="AK1015" s="155"/>
      <c r="AL1015" s="155"/>
      <c r="AM1015" s="155"/>
      <c r="AN1015" s="155"/>
      <c r="AO1015" s="155"/>
      <c r="AP1015" s="155"/>
      <c r="AQ1015" s="155"/>
      <c r="AR1015" s="155"/>
      <c r="AS1015" s="155"/>
    </row>
    <row r="1016" spans="1:45" ht="12.6" customHeight="1" x14ac:dyDescent="0.3">
      <c r="A1016" s="84"/>
      <c r="B1016" s="41" t="s">
        <v>1244</v>
      </c>
      <c r="C1016" s="107"/>
      <c r="D1016" s="107"/>
      <c r="E1016" s="107"/>
      <c r="F1016" s="107"/>
      <c r="G1016" s="17" t="s">
        <v>1243</v>
      </c>
      <c r="Z1016" s="155"/>
      <c r="AA1016" s="155"/>
      <c r="AB1016" s="155"/>
      <c r="AC1016" s="155"/>
      <c r="AD1016" s="155"/>
      <c r="AE1016" s="155"/>
      <c r="AF1016" s="155"/>
      <c r="AG1016" s="155"/>
      <c r="AH1016" s="155"/>
      <c r="AI1016" s="155"/>
      <c r="AJ1016" s="155"/>
      <c r="AK1016" s="155"/>
      <c r="AL1016" s="155"/>
      <c r="AM1016" s="155"/>
      <c r="AN1016" s="155"/>
      <c r="AO1016" s="155"/>
      <c r="AP1016" s="155"/>
      <c r="AQ1016" s="155"/>
      <c r="AR1016" s="155"/>
      <c r="AS1016" s="155"/>
    </row>
    <row r="1017" spans="1:45" ht="12.6" customHeight="1" x14ac:dyDescent="0.3">
      <c r="A1017" s="107"/>
      <c r="B1017" s="107"/>
      <c r="C1017" s="107"/>
      <c r="D1017" s="107"/>
      <c r="E1017" s="107"/>
      <c r="F1017" s="107"/>
      <c r="G1017" s="17" t="s">
        <v>848</v>
      </c>
      <c r="Z1017" s="155"/>
      <c r="AA1017" s="155"/>
      <c r="AB1017" s="155"/>
      <c r="AC1017" s="155"/>
      <c r="AD1017" s="155"/>
      <c r="AE1017" s="155"/>
      <c r="AF1017" s="155"/>
      <c r="AG1017" s="155"/>
      <c r="AH1017" s="155"/>
      <c r="AI1017" s="155"/>
      <c r="AJ1017" s="155"/>
      <c r="AK1017" s="155"/>
      <c r="AL1017" s="155"/>
      <c r="AM1017" s="155"/>
      <c r="AN1017" s="155"/>
      <c r="AO1017" s="155"/>
      <c r="AP1017" s="155"/>
      <c r="AQ1017" s="155"/>
      <c r="AR1017" s="155"/>
      <c r="AS1017" s="155"/>
    </row>
    <row r="1018" spans="1:45" ht="12.6" customHeight="1" x14ac:dyDescent="0.3">
      <c r="A1018" s="107"/>
      <c r="B1018" s="107"/>
      <c r="C1018" s="107"/>
      <c r="D1018" s="107"/>
      <c r="E1018" s="107"/>
      <c r="F1018" s="107"/>
      <c r="G1018" s="17" t="s">
        <v>848</v>
      </c>
      <c r="Z1018" s="155"/>
      <c r="AA1018" s="155"/>
      <c r="AB1018" s="155"/>
      <c r="AC1018" s="155"/>
      <c r="AD1018" s="155"/>
      <c r="AE1018" s="155"/>
      <c r="AF1018" s="155"/>
      <c r="AG1018" s="155"/>
      <c r="AH1018" s="155"/>
      <c r="AI1018" s="155"/>
      <c r="AJ1018" s="155"/>
      <c r="AK1018" s="155"/>
      <c r="AL1018" s="155"/>
      <c r="AM1018" s="155"/>
      <c r="AN1018" s="155"/>
      <c r="AO1018" s="155"/>
      <c r="AP1018" s="155"/>
      <c r="AQ1018" s="155"/>
      <c r="AR1018" s="155"/>
      <c r="AS1018" s="155"/>
    </row>
    <row r="1019" spans="1:45" ht="12.6" customHeight="1" x14ac:dyDescent="0.3">
      <c r="A1019" s="84"/>
      <c r="B1019" s="41" t="str">
        <f>"L="&amp;Z1019&amp;", V="&amp;AD1019&amp;", T1="&amp;AH1019&amp;", T="&amp;AL1019&amp;"-"&amp;AN1019&amp;"= "&amp;AP1019&amp;""</f>
        <v>L=100, V=2000, T1=1, T=480-30= 450.00</v>
      </c>
      <c r="C1019" s="107"/>
      <c r="D1019" s="107"/>
      <c r="E1019" s="107"/>
      <c r="F1019" s="107"/>
      <c r="G1019" s="17" t="s">
        <v>1245</v>
      </c>
      <c r="Z1019" s="157">
        <v>100</v>
      </c>
      <c r="AA1019" s="34" t="s">
        <v>871</v>
      </c>
      <c r="AB1019" s="158">
        <f>Z1019</f>
        <v>100</v>
      </c>
      <c r="AC1019" s="159" t="s">
        <v>872</v>
      </c>
      <c r="AD1019" s="157">
        <v>2000</v>
      </c>
      <c r="AE1019" s="34" t="s">
        <v>871</v>
      </c>
      <c r="AF1019" s="158">
        <f>AD1019</f>
        <v>2000</v>
      </c>
      <c r="AG1019" s="159" t="s">
        <v>872</v>
      </c>
      <c r="AH1019" s="157">
        <v>1</v>
      </c>
      <c r="AI1019" s="34" t="s">
        <v>871</v>
      </c>
      <c r="AJ1019" s="158">
        <f>AH1019</f>
        <v>1</v>
      </c>
      <c r="AK1019" s="159" t="s">
        <v>872</v>
      </c>
      <c r="AL1019" s="157">
        <v>480</v>
      </c>
      <c r="AM1019" s="34" t="s">
        <v>1004</v>
      </c>
      <c r="AN1019" s="157">
        <v>30</v>
      </c>
      <c r="AO1019" s="34" t="s">
        <v>871</v>
      </c>
      <c r="AP1019" s="158" t="str">
        <f>TEXT(ROUND(AL1019-AN1019,2),"#,0.00")</f>
        <v>450.00</v>
      </c>
      <c r="AQ1019" s="155"/>
      <c r="AR1019" s="155"/>
      <c r="AS1019" s="155"/>
    </row>
    <row r="1020" spans="1:45" ht="12.6" customHeight="1" x14ac:dyDescent="0.3">
      <c r="A1020" s="107"/>
      <c r="B1020" s="107"/>
      <c r="C1020" s="107"/>
      <c r="D1020" s="107"/>
      <c r="E1020" s="107"/>
      <c r="F1020" s="107"/>
      <c r="G1020" s="17" t="s">
        <v>848</v>
      </c>
      <c r="Z1020" s="155"/>
      <c r="AA1020" s="155"/>
      <c r="AB1020" s="155"/>
      <c r="AC1020" s="155"/>
      <c r="AD1020" s="155"/>
      <c r="AE1020" s="155"/>
      <c r="AF1020" s="155"/>
      <c r="AG1020" s="155"/>
      <c r="AH1020" s="155"/>
      <c r="AI1020" s="155"/>
      <c r="AJ1020" s="155"/>
      <c r="AK1020" s="155"/>
      <c r="AL1020" s="155"/>
      <c r="AM1020" s="155"/>
      <c r="AN1020" s="155"/>
      <c r="AO1020" s="155"/>
      <c r="AP1020" s="155"/>
      <c r="AQ1020" s="155"/>
      <c r="AR1020" s="155"/>
      <c r="AS1020" s="155"/>
    </row>
    <row r="1021" spans="1:45" ht="12.6" customHeight="1" x14ac:dyDescent="0.3">
      <c r="A1021" s="107"/>
      <c r="B1021" s="107"/>
      <c r="C1021" s="107"/>
      <c r="D1021" s="107"/>
      <c r="E1021" s="107"/>
      <c r="F1021" s="107"/>
      <c r="G1021" s="17" t="s">
        <v>848</v>
      </c>
      <c r="Z1021" s="155"/>
      <c r="AA1021" s="155"/>
      <c r="AB1021" s="155"/>
      <c r="AC1021" s="155"/>
      <c r="AD1021" s="155"/>
      <c r="AE1021" s="155"/>
      <c r="AF1021" s="155"/>
      <c r="AG1021" s="155"/>
      <c r="AH1021" s="155"/>
      <c r="AI1021" s="155"/>
      <c r="AJ1021" s="155"/>
      <c r="AK1021" s="155"/>
      <c r="AL1021" s="155"/>
      <c r="AM1021" s="155"/>
      <c r="AN1021" s="155"/>
      <c r="AO1021" s="155"/>
      <c r="AP1021" s="155"/>
      <c r="AQ1021" s="155"/>
      <c r="AR1021" s="155"/>
      <c r="AS1021" s="155"/>
    </row>
    <row r="1022" spans="1:45" ht="12.6" customHeight="1" x14ac:dyDescent="0.3">
      <c r="A1022" s="84"/>
      <c r="B1022" s="41" t="str">
        <f>"N=V*T/("&amp;AD1022&amp;"*L+V*T1)= "&amp;AM1022&amp;" 회/일 "</f>
        <v xml:space="preserve">N=V*T/(120*L+V*T1)= 64.29 회/일 </v>
      </c>
      <c r="C1022" s="107"/>
      <c r="D1022" s="107"/>
      <c r="E1022" s="107"/>
      <c r="F1022" s="107"/>
      <c r="G1022" s="17" t="s">
        <v>1246</v>
      </c>
      <c r="Z1022" s="158">
        <f>AF1019</f>
        <v>2000</v>
      </c>
      <c r="AA1022" s="34" t="s">
        <v>876</v>
      </c>
      <c r="AB1022" s="158" t="str">
        <f>AP1019</f>
        <v>450.00</v>
      </c>
      <c r="AC1022" s="34" t="s">
        <v>990</v>
      </c>
      <c r="AD1022" s="157">
        <v>120</v>
      </c>
      <c r="AE1022" s="34" t="s">
        <v>876</v>
      </c>
      <c r="AF1022" s="158">
        <f>AB1019</f>
        <v>100</v>
      </c>
      <c r="AG1022" s="34" t="s">
        <v>999</v>
      </c>
      <c r="AH1022" s="158">
        <f>AF1019</f>
        <v>2000</v>
      </c>
      <c r="AI1022" s="34" t="s">
        <v>876</v>
      </c>
      <c r="AJ1022" s="158">
        <f>AJ1019</f>
        <v>1</v>
      </c>
      <c r="AK1022" s="34" t="s">
        <v>991</v>
      </c>
      <c r="AL1022" s="34" t="s">
        <v>871</v>
      </c>
      <c r="AM1022" s="158" t="str">
        <f>TEXT(ROUND(AF1019*AP1019/(AD1022*AB1019+AF1019*AJ1019),2),"#,0.00")</f>
        <v>64.29</v>
      </c>
      <c r="AN1022" s="155"/>
      <c r="AO1022" s="155"/>
      <c r="AP1022" s="155"/>
      <c r="AQ1022" s="155"/>
      <c r="AR1022" s="155"/>
      <c r="AS1022" s="155"/>
    </row>
    <row r="1023" spans="1:45" ht="12.6" customHeight="1" x14ac:dyDescent="0.3">
      <c r="A1023" s="107"/>
      <c r="B1023" s="107"/>
      <c r="C1023" s="107"/>
      <c r="D1023" s="107"/>
      <c r="E1023" s="107"/>
      <c r="F1023" s="107"/>
      <c r="G1023" s="17" t="s">
        <v>848</v>
      </c>
      <c r="Z1023" s="155"/>
      <c r="AA1023" s="155"/>
      <c r="AB1023" s="155"/>
      <c r="AC1023" s="155"/>
      <c r="AD1023" s="155"/>
      <c r="AE1023" s="155"/>
      <c r="AF1023" s="155"/>
      <c r="AG1023" s="155"/>
      <c r="AH1023" s="155"/>
      <c r="AI1023" s="155"/>
      <c r="AJ1023" s="155"/>
      <c r="AK1023" s="155"/>
      <c r="AL1023" s="155"/>
      <c r="AM1023" s="155"/>
      <c r="AN1023" s="155"/>
      <c r="AO1023" s="155"/>
      <c r="AP1023" s="155"/>
      <c r="AQ1023" s="155"/>
      <c r="AR1023" s="155"/>
      <c r="AS1023" s="155"/>
    </row>
    <row r="1024" spans="1:45" ht="12.6" customHeight="1" x14ac:dyDescent="0.3">
      <c r="A1024" s="107"/>
      <c r="B1024" s="107"/>
      <c r="C1024" s="107"/>
      <c r="D1024" s="107"/>
      <c r="E1024" s="107"/>
      <c r="F1024" s="107"/>
      <c r="G1024" s="17" t="s">
        <v>848</v>
      </c>
      <c r="Z1024" s="155"/>
      <c r="AA1024" s="155"/>
      <c r="AB1024" s="155"/>
      <c r="AC1024" s="155"/>
      <c r="AD1024" s="155"/>
      <c r="AE1024" s="155"/>
      <c r="AF1024" s="155"/>
      <c r="AG1024" s="155"/>
      <c r="AH1024" s="155"/>
      <c r="AI1024" s="155"/>
      <c r="AJ1024" s="155"/>
      <c r="AK1024" s="155"/>
      <c r="AL1024" s="155"/>
      <c r="AM1024" s="155"/>
      <c r="AN1024" s="155"/>
      <c r="AO1024" s="155"/>
      <c r="AP1024" s="155"/>
      <c r="AQ1024" s="155"/>
      <c r="AR1024" s="155"/>
      <c r="AS1024" s="155"/>
    </row>
    <row r="1025" spans="1:45" ht="12.6" customHeight="1" x14ac:dyDescent="0.3">
      <c r="A1025" s="84"/>
      <c r="B1025" s="41" t="str">
        <f>"Q=N*"&amp;AB1025&amp;" ton = "&amp;AD1025&amp;" ton/일 "</f>
        <v xml:space="preserve">Q=N*0.025 ton = 1.61 ton/일 </v>
      </c>
      <c r="C1025" s="107"/>
      <c r="D1025" s="107"/>
      <c r="E1025" s="107"/>
      <c r="F1025" s="107"/>
      <c r="G1025" s="17" t="s">
        <v>1247</v>
      </c>
      <c r="Z1025" s="158" t="str">
        <f>AM1022</f>
        <v>64.29</v>
      </c>
      <c r="AA1025" s="34" t="s">
        <v>876</v>
      </c>
      <c r="AB1025" s="156">
        <v>2.5000000000000001E-2</v>
      </c>
      <c r="AC1025" s="34" t="s">
        <v>871</v>
      </c>
      <c r="AD1025" s="158" t="str">
        <f>TEXT(ROUND(AM1022*AB1025,2),"#,0.00")</f>
        <v>1.61</v>
      </c>
      <c r="AE1025" s="155"/>
      <c r="AF1025" s="155"/>
      <c r="AG1025" s="155"/>
      <c r="AH1025" s="155"/>
      <c r="AI1025" s="155"/>
      <c r="AJ1025" s="155"/>
      <c r="AK1025" s="155"/>
      <c r="AL1025" s="155"/>
      <c r="AM1025" s="155"/>
      <c r="AN1025" s="155"/>
      <c r="AO1025" s="155"/>
      <c r="AP1025" s="155"/>
      <c r="AQ1025" s="155"/>
      <c r="AR1025" s="155"/>
      <c r="AS1025" s="155"/>
    </row>
    <row r="1026" spans="1:45" ht="12.6" customHeight="1" x14ac:dyDescent="0.3">
      <c r="A1026" s="107"/>
      <c r="B1026" s="107"/>
      <c r="C1026" s="107"/>
      <c r="D1026" s="107"/>
      <c r="E1026" s="107"/>
      <c r="F1026" s="107"/>
      <c r="G1026" s="17" t="s">
        <v>848</v>
      </c>
      <c r="Z1026" s="155"/>
      <c r="AA1026" s="155"/>
      <c r="AB1026" s="155"/>
      <c r="AC1026" s="155"/>
      <c r="AD1026" s="155"/>
      <c r="AE1026" s="155"/>
      <c r="AF1026" s="155"/>
      <c r="AG1026" s="155"/>
      <c r="AH1026" s="155"/>
      <c r="AI1026" s="155"/>
      <c r="AJ1026" s="155"/>
      <c r="AK1026" s="155"/>
      <c r="AL1026" s="155"/>
      <c r="AM1026" s="155"/>
      <c r="AN1026" s="155"/>
      <c r="AO1026" s="155"/>
      <c r="AP1026" s="155"/>
      <c r="AQ1026" s="155"/>
      <c r="AR1026" s="155"/>
      <c r="AS1026" s="155"/>
    </row>
    <row r="1027" spans="1:45" ht="12.6" customHeight="1" x14ac:dyDescent="0.3">
      <c r="A1027" s="107"/>
      <c r="B1027" s="107"/>
      <c r="C1027" s="107"/>
      <c r="D1027" s="107"/>
      <c r="E1027" s="107"/>
      <c r="F1027" s="107"/>
      <c r="G1027" s="17" t="s">
        <v>848</v>
      </c>
      <c r="Z1027" s="155"/>
      <c r="AA1027" s="155"/>
      <c r="AB1027" s="155"/>
      <c r="AC1027" s="155"/>
      <c r="AD1027" s="155"/>
      <c r="AE1027" s="155"/>
      <c r="AF1027" s="155"/>
      <c r="AG1027" s="155"/>
      <c r="AH1027" s="155"/>
      <c r="AI1027" s="155"/>
      <c r="AJ1027" s="155"/>
      <c r="AK1027" s="155"/>
      <c r="AL1027" s="155"/>
      <c r="AM1027" s="155"/>
      <c r="AN1027" s="155"/>
      <c r="AO1027" s="155"/>
      <c r="AP1027" s="155"/>
      <c r="AQ1027" s="155"/>
      <c r="AR1027" s="155"/>
      <c r="AS1027" s="155"/>
    </row>
    <row r="1028" spans="1:45" ht="12.6" customHeight="1" x14ac:dyDescent="0.3">
      <c r="A1028" s="84" t="s">
        <v>908</v>
      </c>
      <c r="B1028" s="146" t="str">
        <f>" 보통인부 : "&amp;TEXT(I1028,"#,##0"&amp;IF(I1028&lt;&gt;INT(I1028),".###",""))&amp;" / Q = "&amp;TEXT(C1028,"#,##0.0")&amp;" 원/ton "</f>
        <v xml:space="preserve"> 보통인부 : 169,804 / Q = 105,468.3 원/ton </v>
      </c>
      <c r="C1028" s="148">
        <f>E1028+D1028+F1028</f>
        <v>105468.3</v>
      </c>
      <c r="D1028" s="148">
        <f>IF(H1028=0,0,ROUNDDOWN(J1028*H1028,1))</f>
        <v>105468.3</v>
      </c>
      <c r="E1028" s="148">
        <f>IF(H1028=0,0,ROUNDDOWN(K1028*H1028,1))</f>
        <v>0</v>
      </c>
      <c r="F1028" s="148">
        <f>IF(H1028=0,0,ROUNDDOWN(L1028*H1028,1))</f>
        <v>0</v>
      </c>
      <c r="G1028" s="17" t="s">
        <v>1248</v>
      </c>
      <c r="H1028" s="152">
        <f>ROUNDUP(AC1028,14-LEN(ABS(INT(AC1028))))</f>
        <v>0.62111801242240006</v>
      </c>
      <c r="I1028" s="153">
        <f>K1028+J1028+L1028</f>
        <v>169804</v>
      </c>
      <c r="J1028" s="37">
        <f>노무비목록표!E4</f>
        <v>169804</v>
      </c>
      <c r="M1028" s="34" t="s">
        <v>763</v>
      </c>
      <c r="N1028" s="34" t="s">
        <v>886</v>
      </c>
      <c r="X1028" s="154" t="str">
        <f>노무비목록표!B4&amp;" / "&amp;노무비목록표!C4</f>
        <v xml:space="preserve">보통인부 / </v>
      </c>
      <c r="Y1028" s="3" t="str">
        <f ca="1">HYPERLINK("#"&amp;노무비목록표!G2&amp;"!A"&amp;ROW(노무비목록표!A4),"L00002 →")</f>
        <v>L00002 →</v>
      </c>
      <c r="Z1028" s="34" t="s">
        <v>879</v>
      </c>
      <c r="AA1028" s="158" t="str">
        <f>AD1025</f>
        <v>1.61</v>
      </c>
      <c r="AB1028" s="34" t="s">
        <v>871</v>
      </c>
      <c r="AC1028" s="158">
        <f>1/AD1025</f>
        <v>0.6211180124223602</v>
      </c>
      <c r="AD1028" s="155"/>
      <c r="AE1028" s="155"/>
      <c r="AF1028" s="155"/>
      <c r="AG1028" s="155"/>
      <c r="AH1028" s="155"/>
      <c r="AI1028" s="155"/>
      <c r="AJ1028" s="155"/>
      <c r="AK1028" s="155"/>
      <c r="AL1028" s="155"/>
      <c r="AM1028" s="155"/>
      <c r="AN1028" s="155"/>
      <c r="AO1028" s="155"/>
      <c r="AP1028" s="155"/>
      <c r="AQ1028" s="155"/>
      <c r="AR1028" s="155"/>
      <c r="AS1028" s="155"/>
    </row>
    <row r="1029" spans="1:45" ht="12.6" customHeight="1" x14ac:dyDescent="0.3">
      <c r="A1029" s="107"/>
      <c r="B1029" s="107"/>
      <c r="C1029" s="107"/>
      <c r="D1029" s="107"/>
      <c r="E1029" s="107"/>
      <c r="F1029" s="107"/>
      <c r="G1029" s="17" t="s">
        <v>848</v>
      </c>
      <c r="Z1029" s="155"/>
      <c r="AA1029" s="155"/>
      <c r="AB1029" s="155"/>
      <c r="AC1029" s="155"/>
      <c r="AD1029" s="155"/>
      <c r="AE1029" s="155"/>
      <c r="AF1029" s="155"/>
      <c r="AG1029" s="155"/>
      <c r="AH1029" s="155"/>
      <c r="AI1029" s="155"/>
      <c r="AJ1029" s="155"/>
      <c r="AK1029" s="155"/>
      <c r="AL1029" s="155"/>
      <c r="AM1029" s="155"/>
      <c r="AN1029" s="155"/>
      <c r="AO1029" s="155"/>
      <c r="AP1029" s="155"/>
      <c r="AQ1029" s="155"/>
      <c r="AR1029" s="155"/>
      <c r="AS1029" s="155"/>
    </row>
    <row r="1030" spans="1:45" ht="12.6" customHeight="1" x14ac:dyDescent="0.3">
      <c r="A1030" s="107"/>
      <c r="B1030" s="107"/>
      <c r="C1030" s="107"/>
      <c r="D1030" s="107"/>
      <c r="E1030" s="107"/>
      <c r="F1030" s="107"/>
      <c r="G1030" s="17" t="s">
        <v>848</v>
      </c>
      <c r="Z1030" s="155"/>
      <c r="AA1030" s="155"/>
      <c r="AB1030" s="155"/>
      <c r="AC1030" s="155"/>
      <c r="AD1030" s="155"/>
      <c r="AE1030" s="155"/>
      <c r="AF1030" s="155"/>
      <c r="AG1030" s="155"/>
      <c r="AH1030" s="155"/>
      <c r="AI1030" s="155"/>
      <c r="AJ1030" s="155"/>
      <c r="AK1030" s="155"/>
      <c r="AL1030" s="155"/>
      <c r="AM1030" s="155"/>
      <c r="AN1030" s="155"/>
      <c r="AO1030" s="155"/>
      <c r="AP1030" s="155"/>
      <c r="AQ1030" s="155"/>
      <c r="AR1030" s="155"/>
      <c r="AS1030" s="155"/>
    </row>
    <row r="1031" spans="1:45" ht="12.6" customHeight="1" x14ac:dyDescent="0.3">
      <c r="A1031" s="84"/>
      <c r="B1031" s="41" t="s">
        <v>885</v>
      </c>
      <c r="C1031" s="149">
        <f>E1031+D1031+F1031</f>
        <v>105468.3</v>
      </c>
      <c r="D1031" s="149">
        <f>SUMIF(N1010:N1030,M1031,D1010:D1030)</f>
        <v>105468.3</v>
      </c>
      <c r="E1031" s="149">
        <f>SUMIF(N1010:N1030,M1031,E1010:E1030)</f>
        <v>0</v>
      </c>
      <c r="F1031" s="149">
        <f>SUMIF(N1010:N1030,M1031,F1010:F1030)</f>
        <v>0</v>
      </c>
      <c r="G1031" s="17" t="s">
        <v>884</v>
      </c>
      <c r="M1031" s="34" t="s">
        <v>886</v>
      </c>
      <c r="N1031" s="34" t="s">
        <v>891</v>
      </c>
      <c r="Z1031" s="155"/>
      <c r="AA1031" s="155"/>
      <c r="AB1031" s="155"/>
      <c r="AC1031" s="155"/>
      <c r="AD1031" s="155"/>
      <c r="AE1031" s="155"/>
      <c r="AF1031" s="155"/>
      <c r="AG1031" s="155"/>
      <c r="AH1031" s="155"/>
      <c r="AI1031" s="155"/>
      <c r="AJ1031" s="155"/>
      <c r="AK1031" s="155"/>
      <c r="AL1031" s="155"/>
      <c r="AM1031" s="155"/>
      <c r="AN1031" s="155"/>
      <c r="AO1031" s="155"/>
      <c r="AP1031" s="155"/>
      <c r="AQ1031" s="155"/>
      <c r="AR1031" s="155"/>
      <c r="AS1031" s="155"/>
    </row>
    <row r="1032" spans="1:45" ht="12.6" customHeight="1" x14ac:dyDescent="0.3">
      <c r="A1032" s="107"/>
      <c r="B1032" s="107"/>
      <c r="C1032" s="147"/>
      <c r="D1032" s="147"/>
      <c r="E1032" s="147"/>
      <c r="F1032" s="147"/>
      <c r="G1032" s="17" t="s">
        <v>848</v>
      </c>
      <c r="Z1032" s="155"/>
      <c r="AA1032" s="155"/>
      <c r="AB1032" s="155"/>
      <c r="AC1032" s="155"/>
      <c r="AD1032" s="155"/>
      <c r="AE1032" s="155"/>
      <c r="AF1032" s="155"/>
      <c r="AG1032" s="155"/>
      <c r="AH1032" s="155"/>
      <c r="AI1032" s="155"/>
      <c r="AJ1032" s="155"/>
      <c r="AK1032" s="155"/>
      <c r="AL1032" s="155"/>
      <c r="AM1032" s="155"/>
      <c r="AN1032" s="155"/>
      <c r="AO1032" s="155"/>
      <c r="AP1032" s="155"/>
      <c r="AQ1032" s="155"/>
      <c r="AR1032" s="155"/>
      <c r="AS1032" s="155"/>
    </row>
    <row r="1033" spans="1:45" ht="12.6" customHeight="1" x14ac:dyDescent="0.3">
      <c r="A1033" s="107"/>
      <c r="B1033" s="107"/>
      <c r="C1033" s="107"/>
      <c r="D1033" s="107"/>
      <c r="E1033" s="107"/>
      <c r="F1033" s="107"/>
      <c r="G1033" s="17" t="s">
        <v>848</v>
      </c>
      <c r="Z1033" s="155"/>
      <c r="AA1033" s="155"/>
      <c r="AB1033" s="155"/>
      <c r="AC1033" s="155"/>
      <c r="AD1033" s="155"/>
      <c r="AE1033" s="155"/>
      <c r="AF1033" s="155"/>
      <c r="AG1033" s="155"/>
      <c r="AH1033" s="155"/>
      <c r="AI1033" s="155"/>
      <c r="AJ1033" s="155"/>
      <c r="AK1033" s="155"/>
      <c r="AL1033" s="155"/>
      <c r="AM1033" s="155"/>
      <c r="AN1033" s="155"/>
      <c r="AO1033" s="155"/>
      <c r="AP1033" s="155"/>
      <c r="AQ1033" s="155"/>
      <c r="AR1033" s="155"/>
      <c r="AS1033" s="155"/>
    </row>
    <row r="1034" spans="1:45" ht="12.6" customHeight="1" x14ac:dyDescent="0.3">
      <c r="A1034" s="84"/>
      <c r="B1034" s="41" t="s">
        <v>769</v>
      </c>
      <c r="C1034" s="149">
        <f>E1034+D1034+F1034</f>
        <v>105468.3</v>
      </c>
      <c r="D1034" s="149">
        <f>SUMIF(N1010:N1033,M1034,D1010:D1033)</f>
        <v>105468.3</v>
      </c>
      <c r="E1034" s="149">
        <f>SUMIF(N1010:N1033,M1034,E1010:E1033)</f>
        <v>0</v>
      </c>
      <c r="F1034" s="149">
        <f>SUMIF(N1010:N1033,M1034,F1010:F1033)</f>
        <v>0</v>
      </c>
      <c r="G1034" s="17" t="s">
        <v>890</v>
      </c>
      <c r="M1034" s="34" t="s">
        <v>891</v>
      </c>
      <c r="N1034" s="34" t="s">
        <v>768</v>
      </c>
      <c r="Z1034" s="155"/>
      <c r="AA1034" s="155"/>
      <c r="AB1034" s="155"/>
      <c r="AC1034" s="155"/>
      <c r="AD1034" s="155"/>
      <c r="AE1034" s="155"/>
      <c r="AF1034" s="155"/>
      <c r="AG1034" s="155"/>
      <c r="AH1034" s="155"/>
      <c r="AI1034" s="155"/>
      <c r="AJ1034" s="155"/>
      <c r="AK1034" s="155"/>
      <c r="AL1034" s="155"/>
      <c r="AM1034" s="155"/>
      <c r="AN1034" s="155"/>
      <c r="AO1034" s="155"/>
      <c r="AP1034" s="155"/>
      <c r="AQ1034" s="155"/>
      <c r="AR1034" s="155"/>
      <c r="AS1034" s="155"/>
    </row>
    <row r="1035" spans="1:45" ht="12.6" customHeight="1" x14ac:dyDescent="0.3">
      <c r="A1035" s="107"/>
      <c r="B1035" s="107"/>
      <c r="C1035" s="147"/>
      <c r="D1035" s="147"/>
      <c r="E1035" s="147"/>
      <c r="F1035" s="147"/>
      <c r="Z1035" s="155"/>
      <c r="AA1035" s="155"/>
      <c r="AB1035" s="155"/>
      <c r="AC1035" s="155"/>
      <c r="AD1035" s="155"/>
      <c r="AE1035" s="155"/>
      <c r="AF1035" s="155"/>
      <c r="AG1035" s="155"/>
      <c r="AH1035" s="155"/>
      <c r="AI1035" s="155"/>
      <c r="AJ1035" s="155"/>
      <c r="AK1035" s="155"/>
      <c r="AL1035" s="155"/>
      <c r="AM1035" s="155"/>
      <c r="AN1035" s="155"/>
      <c r="AO1035" s="155"/>
      <c r="AP1035" s="155"/>
      <c r="AQ1035" s="155"/>
      <c r="AR1035" s="155"/>
      <c r="AS1035" s="155"/>
    </row>
    <row r="1036" spans="1:45" ht="12.6" customHeight="1" x14ac:dyDescent="0.3">
      <c r="A1036" s="107"/>
      <c r="B1036" s="107"/>
      <c r="C1036" s="107"/>
      <c r="D1036" s="107"/>
      <c r="E1036" s="107"/>
      <c r="F1036" s="107"/>
      <c r="Z1036" s="155"/>
      <c r="AA1036" s="155"/>
      <c r="AB1036" s="155"/>
      <c r="AC1036" s="155"/>
      <c r="AD1036" s="155"/>
      <c r="AE1036" s="155"/>
      <c r="AF1036" s="155"/>
      <c r="AG1036" s="155"/>
      <c r="AH1036" s="155"/>
      <c r="AI1036" s="155"/>
      <c r="AJ1036" s="155"/>
      <c r="AK1036" s="155"/>
      <c r="AL1036" s="155"/>
      <c r="AM1036" s="155"/>
      <c r="AN1036" s="155"/>
      <c r="AO1036" s="155"/>
      <c r="AP1036" s="155"/>
      <c r="AQ1036" s="155"/>
      <c r="AR1036" s="155"/>
      <c r="AS1036" s="155"/>
    </row>
    <row r="1037" spans="1:45" ht="12.6" customHeight="1" x14ac:dyDescent="0.3">
      <c r="A1037" s="107"/>
      <c r="B1037" s="107"/>
      <c r="C1037" s="107"/>
      <c r="D1037" s="107"/>
      <c r="E1037" s="107"/>
      <c r="F1037" s="107"/>
      <c r="Z1037" s="155"/>
      <c r="AA1037" s="155"/>
      <c r="AB1037" s="155"/>
      <c r="AC1037" s="155"/>
      <c r="AD1037" s="155"/>
      <c r="AE1037" s="155"/>
      <c r="AF1037" s="155"/>
      <c r="AG1037" s="155"/>
      <c r="AH1037" s="155"/>
      <c r="AI1037" s="155"/>
      <c r="AJ1037" s="155"/>
      <c r="AK1037" s="155"/>
      <c r="AL1037" s="155"/>
      <c r="AM1037" s="155"/>
      <c r="AN1037" s="155"/>
      <c r="AO1037" s="155"/>
      <c r="AP1037" s="155"/>
      <c r="AQ1037" s="155"/>
      <c r="AR1037" s="155"/>
      <c r="AS1037" s="155"/>
    </row>
    <row r="1038" spans="1:45" ht="12.6" customHeight="1" x14ac:dyDescent="0.3">
      <c r="A1038" s="107"/>
      <c r="B1038" s="107"/>
      <c r="C1038" s="107"/>
      <c r="D1038" s="107"/>
      <c r="E1038" s="107"/>
      <c r="F1038" s="107"/>
      <c r="Z1038" s="155"/>
      <c r="AA1038" s="155"/>
      <c r="AB1038" s="155"/>
      <c r="AC1038" s="155"/>
      <c r="AD1038" s="155"/>
      <c r="AE1038" s="155"/>
      <c r="AF1038" s="155"/>
      <c r="AG1038" s="155"/>
      <c r="AH1038" s="155"/>
      <c r="AI1038" s="155"/>
      <c r="AJ1038" s="155"/>
      <c r="AK1038" s="155"/>
      <c r="AL1038" s="155"/>
      <c r="AM1038" s="155"/>
      <c r="AN1038" s="155"/>
      <c r="AO1038" s="155"/>
      <c r="AP1038" s="155"/>
      <c r="AQ1038" s="155"/>
      <c r="AR1038" s="155"/>
      <c r="AS1038" s="155"/>
    </row>
    <row r="1039" spans="1:45" ht="12.6" customHeight="1" x14ac:dyDescent="0.3">
      <c r="A1039" s="107"/>
      <c r="B1039" s="107"/>
      <c r="C1039" s="107"/>
      <c r="D1039" s="107"/>
      <c r="E1039" s="107"/>
      <c r="F1039" s="107"/>
      <c r="Z1039" s="155"/>
      <c r="AA1039" s="155"/>
      <c r="AB1039" s="155"/>
      <c r="AC1039" s="155"/>
      <c r="AD1039" s="155"/>
      <c r="AE1039" s="155"/>
      <c r="AF1039" s="155"/>
      <c r="AG1039" s="155"/>
      <c r="AH1039" s="155"/>
      <c r="AI1039" s="155"/>
      <c r="AJ1039" s="155"/>
      <c r="AK1039" s="155"/>
      <c r="AL1039" s="155"/>
      <c r="AM1039" s="155"/>
      <c r="AN1039" s="155"/>
      <c r="AO1039" s="155"/>
      <c r="AP1039" s="155"/>
      <c r="AQ1039" s="155"/>
      <c r="AR1039" s="155"/>
      <c r="AS1039" s="155"/>
    </row>
    <row r="1040" spans="1:45" ht="12.6" customHeight="1" x14ac:dyDescent="0.3">
      <c r="A1040" s="107"/>
      <c r="B1040" s="107"/>
      <c r="C1040" s="107"/>
      <c r="D1040" s="107"/>
      <c r="E1040" s="107"/>
      <c r="F1040" s="107"/>
      <c r="Z1040" s="155"/>
      <c r="AA1040" s="155"/>
      <c r="AB1040" s="155"/>
      <c r="AC1040" s="155"/>
      <c r="AD1040" s="155"/>
      <c r="AE1040" s="155"/>
      <c r="AF1040" s="155"/>
      <c r="AG1040" s="155"/>
      <c r="AH1040" s="155"/>
      <c r="AI1040" s="155"/>
      <c r="AJ1040" s="155"/>
      <c r="AK1040" s="155"/>
      <c r="AL1040" s="155"/>
      <c r="AM1040" s="155"/>
      <c r="AN1040" s="155"/>
      <c r="AO1040" s="155"/>
      <c r="AP1040" s="155"/>
      <c r="AQ1040" s="155"/>
      <c r="AR1040" s="155"/>
      <c r="AS1040" s="155"/>
    </row>
    <row r="1041" spans="1:45" ht="12.6" customHeight="1" x14ac:dyDescent="0.3">
      <c r="A1041" s="123"/>
      <c r="B1041" s="123"/>
      <c r="C1041" s="123"/>
      <c r="D1041" s="123"/>
      <c r="E1041" s="123"/>
      <c r="F1041" s="123"/>
      <c r="Z1041" s="155"/>
      <c r="AA1041" s="155"/>
      <c r="AB1041" s="155"/>
      <c r="AC1041" s="155"/>
      <c r="AD1041" s="155"/>
      <c r="AE1041" s="155"/>
      <c r="AF1041" s="155"/>
      <c r="AG1041" s="155"/>
      <c r="AH1041" s="155"/>
      <c r="AI1041" s="155"/>
      <c r="AJ1041" s="155"/>
      <c r="AK1041" s="155"/>
      <c r="AL1041" s="155"/>
      <c r="AM1041" s="155"/>
      <c r="AN1041" s="155"/>
      <c r="AO1041" s="155"/>
      <c r="AP1041" s="155"/>
      <c r="AQ1041" s="155"/>
      <c r="AR1041" s="155"/>
      <c r="AS1041" s="155"/>
    </row>
    <row r="1042" spans="1:45" ht="12.6" customHeight="1" x14ac:dyDescent="0.3">
      <c r="A1042" s="193" t="s">
        <v>892</v>
      </c>
      <c r="B1042" s="194"/>
      <c r="C1042" s="99">
        <f>E1042+D1042+F1042</f>
        <v>105468</v>
      </c>
      <c r="D1042" s="121">
        <f>ROUNDDOWN(SUMIF(N1010:N1034,M1042,D1010:D1034),0)</f>
        <v>105468</v>
      </c>
      <c r="E1042" s="120">
        <f>ROUNDDOWN(SUMIF(N1010:N1034,M1042,E1010:E1034),0)</f>
        <v>0</v>
      </c>
      <c r="F1042" s="99">
        <f>ROUNDDOWN(SUMIF(N1010:N1034,M1042,F1010:F1034),0)</f>
        <v>0</v>
      </c>
      <c r="M1042" s="34" t="s">
        <v>768</v>
      </c>
      <c r="Z1042" s="155"/>
      <c r="AA1042" s="155"/>
      <c r="AB1042" s="155"/>
      <c r="AC1042" s="155"/>
      <c r="AD1042" s="155"/>
      <c r="AE1042" s="155"/>
      <c r="AF1042" s="155"/>
      <c r="AG1042" s="155"/>
      <c r="AH1042" s="155"/>
      <c r="AI1042" s="155"/>
      <c r="AJ1042" s="155"/>
      <c r="AK1042" s="155"/>
      <c r="AL1042" s="155"/>
      <c r="AM1042" s="155"/>
      <c r="AN1042" s="155"/>
      <c r="AO1042" s="155"/>
      <c r="AP1042" s="155"/>
      <c r="AQ1042" s="155"/>
      <c r="AR1042" s="155"/>
      <c r="AS1042" s="155"/>
    </row>
    <row r="1043" spans="1:45" ht="12.6" customHeight="1" x14ac:dyDescent="0.3">
      <c r="A1043" s="144" t="s">
        <v>98</v>
      </c>
      <c r="B1043" s="145" t="s">
        <v>98</v>
      </c>
      <c r="C1043" s="232">
        <f>C1111</f>
        <v>3511</v>
      </c>
      <c r="D1043" s="232">
        <f>D1111</f>
        <v>0</v>
      </c>
      <c r="E1043" s="232">
        <f>E1111</f>
        <v>0</v>
      </c>
      <c r="F1043" s="232">
        <f>F1111</f>
        <v>3511</v>
      </c>
      <c r="G1043" s="141" t="str">
        <f>HYPERLINK("#G"&amp;ROW(G1093),"_x0005_`BDCOD|D01455_x0007_`POSS|"&amp;ROW(G1045)&amp;"_x0007_`POSE|"&amp;ROW(G1093)&amp;"_x0007_`")</f>
        <v>_x0005_`BDCOD|D01455_x0007_`POSS|1045_x0007_`POSE|1093_x0007_`</v>
      </c>
      <c r="Z1043" s="155"/>
      <c r="AA1043" s="155"/>
      <c r="AB1043" s="155"/>
      <c r="AC1043" s="155"/>
      <c r="AD1043" s="155"/>
      <c r="AE1043" s="155"/>
      <c r="AF1043" s="155"/>
      <c r="AG1043" s="155"/>
      <c r="AH1043" s="155"/>
      <c r="AI1043" s="155"/>
      <c r="AJ1043" s="155"/>
      <c r="AK1043" s="155"/>
      <c r="AL1043" s="155"/>
      <c r="AM1043" s="155"/>
      <c r="AN1043" s="155"/>
      <c r="AO1043" s="155"/>
      <c r="AP1043" s="155"/>
      <c r="AQ1043" s="155"/>
      <c r="AR1043" s="155"/>
      <c r="AS1043" s="155"/>
    </row>
    <row r="1044" spans="1:45" ht="12.6" customHeight="1" x14ac:dyDescent="0.3">
      <c r="A1044" s="124"/>
      <c r="B1044" s="145" t="s">
        <v>97</v>
      </c>
      <c r="C1044" s="189"/>
      <c r="D1044" s="189"/>
      <c r="E1044" s="189"/>
      <c r="F1044" s="189"/>
      <c r="M1044" s="34" t="s">
        <v>1249</v>
      </c>
      <c r="Z1044" s="155"/>
      <c r="AA1044" s="155"/>
      <c r="AB1044" s="155"/>
      <c r="AC1044" s="155"/>
      <c r="AD1044" s="155"/>
      <c r="AE1044" s="155"/>
      <c r="AF1044" s="155"/>
      <c r="AG1044" s="155"/>
      <c r="AH1044" s="155"/>
      <c r="AI1044" s="155"/>
      <c r="AJ1044" s="155"/>
      <c r="AK1044" s="155"/>
      <c r="AL1044" s="155"/>
      <c r="AM1044" s="155"/>
      <c r="AN1044" s="155"/>
      <c r="AO1044" s="155"/>
      <c r="AP1044" s="155"/>
      <c r="AQ1044" s="155"/>
      <c r="AR1044" s="155"/>
      <c r="AS1044" s="155"/>
    </row>
    <row r="1045" spans="1:45" ht="12.6" customHeight="1" x14ac:dyDescent="0.3">
      <c r="A1045" s="84"/>
      <c r="B1045" s="41" t="s">
        <v>1192</v>
      </c>
      <c r="C1045" s="147"/>
      <c r="D1045" s="147"/>
      <c r="E1045" s="147"/>
      <c r="F1045" s="147"/>
      <c r="G1045" s="17" t="s">
        <v>1191</v>
      </c>
      <c r="Z1045" s="155"/>
      <c r="AA1045" s="155"/>
      <c r="AB1045" s="155"/>
      <c r="AC1045" s="155"/>
      <c r="AD1045" s="155"/>
      <c r="AE1045" s="155"/>
      <c r="AF1045" s="155"/>
      <c r="AG1045" s="155"/>
      <c r="AH1045" s="155"/>
      <c r="AI1045" s="155"/>
      <c r="AJ1045" s="155"/>
      <c r="AK1045" s="155"/>
      <c r="AL1045" s="155"/>
      <c r="AM1045" s="155"/>
      <c r="AN1045" s="155"/>
      <c r="AO1045" s="155"/>
      <c r="AP1045" s="155"/>
      <c r="AQ1045" s="155"/>
      <c r="AR1045" s="155"/>
      <c r="AS1045" s="155"/>
    </row>
    <row r="1046" spans="1:45" ht="12.6" customHeight="1" x14ac:dyDescent="0.3">
      <c r="A1046" s="107"/>
      <c r="B1046" s="107"/>
      <c r="C1046" s="107"/>
      <c r="D1046" s="107"/>
      <c r="E1046" s="107"/>
      <c r="F1046" s="107"/>
      <c r="G1046" s="17" t="s">
        <v>848</v>
      </c>
      <c r="Z1046" s="155"/>
      <c r="AA1046" s="155"/>
      <c r="AB1046" s="155"/>
      <c r="AC1046" s="155"/>
      <c r="AD1046" s="155"/>
      <c r="AE1046" s="155"/>
      <c r="AF1046" s="155"/>
      <c r="AG1046" s="155"/>
      <c r="AH1046" s="155"/>
      <c r="AI1046" s="155"/>
      <c r="AJ1046" s="155"/>
      <c r="AK1046" s="155"/>
      <c r="AL1046" s="155"/>
      <c r="AM1046" s="155"/>
      <c r="AN1046" s="155"/>
      <c r="AO1046" s="155"/>
      <c r="AP1046" s="155"/>
      <c r="AQ1046" s="155"/>
      <c r="AR1046" s="155"/>
      <c r="AS1046" s="155"/>
    </row>
    <row r="1047" spans="1:45" ht="12.6" customHeight="1" x14ac:dyDescent="0.3">
      <c r="A1047" s="84"/>
      <c r="B1047" s="41" t="s">
        <v>1194</v>
      </c>
      <c r="C1047" s="107"/>
      <c r="D1047" s="107"/>
      <c r="E1047" s="107"/>
      <c r="F1047" s="107"/>
      <c r="G1047" s="17" t="s">
        <v>1193</v>
      </c>
      <c r="Z1047" s="155"/>
      <c r="AA1047" s="155"/>
      <c r="AB1047" s="155"/>
      <c r="AC1047" s="155"/>
      <c r="AD1047" s="155"/>
      <c r="AE1047" s="155"/>
      <c r="AF1047" s="155"/>
      <c r="AG1047" s="155"/>
      <c r="AH1047" s="155"/>
      <c r="AI1047" s="155"/>
      <c r="AJ1047" s="155"/>
      <c r="AK1047" s="155"/>
      <c r="AL1047" s="155"/>
      <c r="AM1047" s="155"/>
      <c r="AN1047" s="155"/>
      <c r="AO1047" s="155"/>
      <c r="AP1047" s="155"/>
      <c r="AQ1047" s="155"/>
      <c r="AR1047" s="155"/>
      <c r="AS1047" s="155"/>
    </row>
    <row r="1048" spans="1:45" ht="12.6" customHeight="1" x14ac:dyDescent="0.3">
      <c r="A1048" s="107"/>
      <c r="B1048" s="107"/>
      <c r="C1048" s="107"/>
      <c r="D1048" s="107"/>
      <c r="E1048" s="107"/>
      <c r="F1048" s="107"/>
      <c r="G1048" s="17" t="s">
        <v>848</v>
      </c>
      <c r="Z1048" s="155"/>
      <c r="AA1048" s="155"/>
      <c r="AB1048" s="155"/>
      <c r="AC1048" s="155"/>
      <c r="AD1048" s="155"/>
      <c r="AE1048" s="155"/>
      <c r="AF1048" s="155"/>
      <c r="AG1048" s="155"/>
      <c r="AH1048" s="155"/>
      <c r="AI1048" s="155"/>
      <c r="AJ1048" s="155"/>
      <c r="AK1048" s="155"/>
      <c r="AL1048" s="155"/>
      <c r="AM1048" s="155"/>
      <c r="AN1048" s="155"/>
      <c r="AO1048" s="155"/>
      <c r="AP1048" s="155"/>
      <c r="AQ1048" s="155"/>
      <c r="AR1048" s="155"/>
      <c r="AS1048" s="155"/>
    </row>
    <row r="1049" spans="1:45" ht="12.6" customHeight="1" x14ac:dyDescent="0.3">
      <c r="A1049" s="84"/>
      <c r="B1049" s="41" t="s">
        <v>1167</v>
      </c>
      <c r="C1049" s="107"/>
      <c r="D1049" s="107"/>
      <c r="E1049" s="107"/>
      <c r="F1049" s="107"/>
      <c r="G1049" s="17" t="s">
        <v>1166</v>
      </c>
      <c r="Z1049" s="155"/>
      <c r="AA1049" s="155"/>
      <c r="AB1049" s="155"/>
      <c r="AC1049" s="155"/>
      <c r="AD1049" s="155"/>
      <c r="AE1049" s="155"/>
      <c r="AF1049" s="155"/>
      <c r="AG1049" s="155"/>
      <c r="AH1049" s="155"/>
      <c r="AI1049" s="155"/>
      <c r="AJ1049" s="155"/>
      <c r="AK1049" s="155"/>
      <c r="AL1049" s="155"/>
      <c r="AM1049" s="155"/>
      <c r="AN1049" s="155"/>
      <c r="AO1049" s="155"/>
      <c r="AP1049" s="155"/>
      <c r="AQ1049" s="155"/>
      <c r="AR1049" s="155"/>
      <c r="AS1049" s="155"/>
    </row>
    <row r="1050" spans="1:45" ht="12.6" customHeight="1" x14ac:dyDescent="0.3">
      <c r="A1050" s="107"/>
      <c r="B1050" s="107"/>
      <c r="C1050" s="107"/>
      <c r="D1050" s="107"/>
      <c r="E1050" s="107"/>
      <c r="F1050" s="107"/>
      <c r="G1050" s="17" t="s">
        <v>848</v>
      </c>
      <c r="Z1050" s="155"/>
      <c r="AA1050" s="155"/>
      <c r="AB1050" s="155"/>
      <c r="AC1050" s="155"/>
      <c r="AD1050" s="155"/>
      <c r="AE1050" s="155"/>
      <c r="AF1050" s="155"/>
      <c r="AG1050" s="155"/>
      <c r="AH1050" s="155"/>
      <c r="AI1050" s="155"/>
      <c r="AJ1050" s="155"/>
      <c r="AK1050" s="155"/>
      <c r="AL1050" s="155"/>
      <c r="AM1050" s="155"/>
      <c r="AN1050" s="155"/>
      <c r="AO1050" s="155"/>
      <c r="AP1050" s="155"/>
      <c r="AQ1050" s="155"/>
      <c r="AR1050" s="155"/>
      <c r="AS1050" s="155"/>
    </row>
    <row r="1051" spans="1:45" ht="12.6" customHeight="1" x14ac:dyDescent="0.3">
      <c r="A1051" s="84"/>
      <c r="B1051" s="41" t="str">
        <f>" q2 (버킷용량)  = "&amp;Z1051&amp;" m3 "</f>
        <v xml:space="preserve"> q2 (버킷용량)  = 0.7 m3 </v>
      </c>
      <c r="C1051" s="107"/>
      <c r="D1051" s="107"/>
      <c r="E1051" s="107"/>
      <c r="F1051" s="107"/>
      <c r="G1051" s="17" t="s">
        <v>1168</v>
      </c>
      <c r="Z1051" s="156">
        <v>0.7</v>
      </c>
      <c r="AA1051" s="34" t="s">
        <v>871</v>
      </c>
      <c r="AB1051" s="158">
        <f>Z1051</f>
        <v>0.7</v>
      </c>
      <c r="AC1051" s="155"/>
      <c r="AD1051" s="155"/>
      <c r="AE1051" s="155"/>
      <c r="AF1051" s="155"/>
      <c r="AG1051" s="155"/>
      <c r="AH1051" s="155"/>
      <c r="AI1051" s="155"/>
      <c r="AJ1051" s="155"/>
      <c r="AK1051" s="155"/>
      <c r="AL1051" s="155"/>
      <c r="AM1051" s="155"/>
      <c r="AN1051" s="155"/>
      <c r="AO1051" s="155"/>
      <c r="AP1051" s="155"/>
      <c r="AQ1051" s="155"/>
      <c r="AR1051" s="155"/>
      <c r="AS1051" s="155"/>
    </row>
    <row r="1052" spans="1:45" ht="12.6" customHeight="1" x14ac:dyDescent="0.3">
      <c r="A1052" s="107"/>
      <c r="B1052" s="107"/>
      <c r="C1052" s="107"/>
      <c r="D1052" s="107"/>
      <c r="E1052" s="107"/>
      <c r="F1052" s="107"/>
      <c r="G1052" s="17" t="s">
        <v>848</v>
      </c>
      <c r="Z1052" s="155"/>
      <c r="AA1052" s="155"/>
      <c r="AB1052" s="155"/>
      <c r="AC1052" s="155"/>
      <c r="AD1052" s="155"/>
      <c r="AE1052" s="155"/>
      <c r="AF1052" s="155"/>
      <c r="AG1052" s="155"/>
      <c r="AH1052" s="155"/>
      <c r="AI1052" s="155"/>
      <c r="AJ1052" s="155"/>
      <c r="AK1052" s="155"/>
      <c r="AL1052" s="155"/>
      <c r="AM1052" s="155"/>
      <c r="AN1052" s="155"/>
      <c r="AO1052" s="155"/>
      <c r="AP1052" s="155"/>
      <c r="AQ1052" s="155"/>
      <c r="AR1052" s="155"/>
      <c r="AS1052" s="155"/>
    </row>
    <row r="1053" spans="1:45" ht="12.6" customHeight="1" x14ac:dyDescent="0.3">
      <c r="A1053" s="84"/>
      <c r="B1053" s="41" t="str">
        <f>" f (체적환산계수) = "&amp;Z1053&amp;"/"&amp;AB1053&amp;"= "&amp;AD1053&amp;" , E (작업효율) ="&amp;AF1053&amp;" , k (버킷계수) ="&amp;AJ1053&amp;""</f>
        <v xml:space="preserve"> f (체적환산계수) = 1/1.15= 0.87 , E (작업효율) =0.65 , k (버킷계수) =0.7</v>
      </c>
      <c r="C1053" s="107"/>
      <c r="D1053" s="107"/>
      <c r="E1053" s="107"/>
      <c r="F1053" s="107"/>
      <c r="G1053" s="17" t="s">
        <v>1195</v>
      </c>
      <c r="Z1053" s="157">
        <v>1</v>
      </c>
      <c r="AA1053" s="34" t="s">
        <v>873</v>
      </c>
      <c r="AB1053" s="156">
        <v>1.1499999999999999</v>
      </c>
      <c r="AC1053" s="34" t="s">
        <v>871</v>
      </c>
      <c r="AD1053" s="158" t="str">
        <f>TEXT(ROUND(Z1053/AB1053,2),"#,0.00")</f>
        <v>0.87</v>
      </c>
      <c r="AE1053" s="159" t="s">
        <v>872</v>
      </c>
      <c r="AF1053" s="156">
        <v>0.65</v>
      </c>
      <c r="AG1053" s="34" t="s">
        <v>871</v>
      </c>
      <c r="AH1053" s="158">
        <f>AF1053</f>
        <v>0.65</v>
      </c>
      <c r="AI1053" s="159" t="s">
        <v>872</v>
      </c>
      <c r="AJ1053" s="156">
        <v>0.7</v>
      </c>
      <c r="AK1053" s="34" t="s">
        <v>871</v>
      </c>
      <c r="AL1053" s="158">
        <f>AJ1053</f>
        <v>0.7</v>
      </c>
      <c r="AM1053" s="155"/>
      <c r="AN1053" s="155"/>
      <c r="AO1053" s="155"/>
      <c r="AP1053" s="155"/>
      <c r="AQ1053" s="155"/>
      <c r="AR1053" s="155"/>
      <c r="AS1053" s="155"/>
    </row>
    <row r="1054" spans="1:45" ht="12.6" customHeight="1" x14ac:dyDescent="0.3">
      <c r="A1054" s="107"/>
      <c r="B1054" s="107"/>
      <c r="C1054" s="107"/>
      <c r="D1054" s="107"/>
      <c r="E1054" s="107"/>
      <c r="F1054" s="107"/>
      <c r="G1054" s="17" t="s">
        <v>848</v>
      </c>
      <c r="Z1054" s="155"/>
      <c r="AA1054" s="155"/>
      <c r="AB1054" s="155"/>
      <c r="AC1054" s="155"/>
      <c r="AD1054" s="155"/>
      <c r="AE1054" s="155"/>
      <c r="AF1054" s="155"/>
      <c r="AG1054" s="155"/>
      <c r="AH1054" s="155"/>
      <c r="AI1054" s="155"/>
      <c r="AJ1054" s="155"/>
      <c r="AK1054" s="155"/>
      <c r="AL1054" s="155"/>
      <c r="AM1054" s="155"/>
      <c r="AN1054" s="155"/>
      <c r="AO1054" s="155"/>
      <c r="AP1054" s="155"/>
      <c r="AQ1054" s="155"/>
      <c r="AR1054" s="155"/>
      <c r="AS1054" s="155"/>
    </row>
    <row r="1055" spans="1:45" ht="12.6" customHeight="1" x14ac:dyDescent="0.3">
      <c r="A1055" s="84"/>
      <c r="B1055" s="41" t="str">
        <f>" Cm1 = "&amp;Z1055&amp;"  sec(90˚) "</f>
        <v xml:space="preserve"> Cm1 = 18  sec(90˚) </v>
      </c>
      <c r="C1055" s="107"/>
      <c r="D1055" s="107"/>
      <c r="E1055" s="107"/>
      <c r="F1055" s="107"/>
      <c r="G1055" s="17" t="s">
        <v>1170</v>
      </c>
      <c r="Z1055" s="157">
        <v>18</v>
      </c>
      <c r="AA1055" s="34" t="s">
        <v>871</v>
      </c>
      <c r="AB1055" s="158">
        <f>Z1055</f>
        <v>18</v>
      </c>
      <c r="AC1055" s="155"/>
      <c r="AD1055" s="155"/>
      <c r="AE1055" s="155"/>
      <c r="AF1055" s="155"/>
      <c r="AG1055" s="155"/>
      <c r="AH1055" s="155"/>
      <c r="AI1055" s="155"/>
      <c r="AJ1055" s="155"/>
      <c r="AK1055" s="155"/>
      <c r="AL1055" s="155"/>
      <c r="AM1055" s="155"/>
      <c r="AN1055" s="155"/>
      <c r="AO1055" s="155"/>
      <c r="AP1055" s="155"/>
      <c r="AQ1055" s="155"/>
      <c r="AR1055" s="155"/>
      <c r="AS1055" s="155"/>
    </row>
    <row r="1056" spans="1:45" ht="12.6" customHeight="1" x14ac:dyDescent="0.3">
      <c r="A1056" s="107"/>
      <c r="B1056" s="107"/>
      <c r="C1056" s="107"/>
      <c r="D1056" s="107"/>
      <c r="E1056" s="107"/>
      <c r="F1056" s="107"/>
      <c r="G1056" s="17" t="s">
        <v>848</v>
      </c>
      <c r="Z1056" s="155"/>
      <c r="AA1056" s="155"/>
      <c r="AB1056" s="155"/>
      <c r="AC1056" s="155"/>
      <c r="AD1056" s="155"/>
      <c r="AE1056" s="155"/>
      <c r="AF1056" s="155"/>
      <c r="AG1056" s="155"/>
      <c r="AH1056" s="155"/>
      <c r="AI1056" s="155"/>
      <c r="AJ1056" s="155"/>
      <c r="AK1056" s="155"/>
      <c r="AL1056" s="155"/>
      <c r="AM1056" s="155"/>
      <c r="AN1056" s="155"/>
      <c r="AO1056" s="155"/>
      <c r="AP1056" s="155"/>
      <c r="AQ1056" s="155"/>
      <c r="AR1056" s="155"/>
      <c r="AS1056" s="155"/>
    </row>
    <row r="1057" spans="1:45" ht="12.6" customHeight="1" x14ac:dyDescent="0.3">
      <c r="A1057" s="84"/>
      <c r="B1057" s="41" t="str">
        <f>" Q (시간당작업량) = "&amp;Z1057&amp;" * q2 * k *f *E / Cm1 = "&amp;AL1057&amp;" m3/hr "</f>
        <v xml:space="preserve"> Q (시간당작업량) = 3600 * q2 * k *f *E / Cm1 = 55.42 m3/hr </v>
      </c>
      <c r="C1057" s="107"/>
      <c r="D1057" s="107"/>
      <c r="E1057" s="107"/>
      <c r="F1057" s="107"/>
      <c r="G1057" s="17" t="s">
        <v>1171</v>
      </c>
      <c r="Z1057" s="157">
        <v>3600</v>
      </c>
      <c r="AA1057" s="34" t="s">
        <v>876</v>
      </c>
      <c r="AB1057" s="158">
        <f>AB1051</f>
        <v>0.7</v>
      </c>
      <c r="AC1057" s="34" t="s">
        <v>876</v>
      </c>
      <c r="AD1057" s="158">
        <f>AL1053</f>
        <v>0.7</v>
      </c>
      <c r="AE1057" s="34" t="s">
        <v>876</v>
      </c>
      <c r="AF1057" s="158" t="str">
        <f>AD1053</f>
        <v>0.87</v>
      </c>
      <c r="AG1057" s="34" t="s">
        <v>876</v>
      </c>
      <c r="AH1057" s="158">
        <f>AH1053</f>
        <v>0.65</v>
      </c>
      <c r="AI1057" s="34" t="s">
        <v>873</v>
      </c>
      <c r="AJ1057" s="158">
        <f>AB1055</f>
        <v>18</v>
      </c>
      <c r="AK1057" s="34" t="s">
        <v>871</v>
      </c>
      <c r="AL1057" s="158" t="str">
        <f>TEXT(ROUND(Z1057*AB1051*AL1053*AD1053*AH1053/AB1055,2),"#,0.00")</f>
        <v>55.42</v>
      </c>
      <c r="AM1057" s="155"/>
      <c r="AN1057" s="155"/>
      <c r="AO1057" s="155"/>
      <c r="AP1057" s="155"/>
      <c r="AQ1057" s="155"/>
      <c r="AR1057" s="155"/>
      <c r="AS1057" s="155"/>
    </row>
    <row r="1058" spans="1:45" ht="12.6" customHeight="1" x14ac:dyDescent="0.3">
      <c r="A1058" s="107"/>
      <c r="B1058" s="107"/>
      <c r="C1058" s="107"/>
      <c r="D1058" s="107"/>
      <c r="E1058" s="107"/>
      <c r="F1058" s="107"/>
      <c r="G1058" s="17" t="s">
        <v>848</v>
      </c>
      <c r="Z1058" s="155"/>
      <c r="AA1058" s="155"/>
      <c r="AB1058" s="155"/>
      <c r="AC1058" s="155"/>
      <c r="AD1058" s="155"/>
      <c r="AE1058" s="155"/>
      <c r="AF1058" s="155"/>
      <c r="AG1058" s="155"/>
      <c r="AH1058" s="155"/>
      <c r="AI1058" s="155"/>
      <c r="AJ1058" s="155"/>
      <c r="AK1058" s="155"/>
      <c r="AL1058" s="155"/>
      <c r="AM1058" s="155"/>
      <c r="AN1058" s="155"/>
      <c r="AO1058" s="155"/>
      <c r="AP1058" s="155"/>
      <c r="AQ1058" s="155"/>
      <c r="AR1058" s="155"/>
      <c r="AS1058" s="155"/>
    </row>
    <row r="1059" spans="1:45" ht="12.6" customHeight="1" x14ac:dyDescent="0.3">
      <c r="A1059" s="84" t="s">
        <v>1119</v>
      </c>
      <c r="B1059" s="146" t="str">
        <f>"  노 무 비  :   "&amp;TEXT(I1059,"#,##0"&amp;IF(I1059&lt;&gt;INT(I1059),".###",""))&amp;" / Q = "&amp;TEXT(C1059,"#,##0.0")&amp;""</f>
        <v xml:space="preserve">  노 무 비  :   57,077 / Q = 1,029.8</v>
      </c>
      <c r="C1059" s="148">
        <f>E1059+D1059+F1059</f>
        <v>1029.8</v>
      </c>
      <c r="D1059" s="148">
        <f>IF(H1059=0,0,ROUNDDOWN(J1059*H1059,1))</f>
        <v>1029.8</v>
      </c>
      <c r="E1059" s="148">
        <f>IF(H1059=0,0,ROUNDDOWN(K1059*H1059,1))</f>
        <v>0</v>
      </c>
      <c r="F1059" s="148">
        <f>IF(H1059=0,0,ROUNDDOWN(L1059*H1059,1))</f>
        <v>0</v>
      </c>
      <c r="G1059" s="17" t="s">
        <v>1172</v>
      </c>
      <c r="H1059" s="152">
        <f>ROUNDUP(AC1059,14-LEN(ABS(INT(AC1059))))</f>
        <v>1.8044027426999999E-2</v>
      </c>
      <c r="I1059" s="153">
        <f>K1059+J1059+L1059</f>
        <v>57077</v>
      </c>
      <c r="J1059" s="37">
        <f>중기목록표!F5</f>
        <v>57077</v>
      </c>
      <c r="M1059" s="34" t="s">
        <v>1120</v>
      </c>
      <c r="N1059" s="34" t="s">
        <v>886</v>
      </c>
      <c r="X1059" s="154" t="str">
        <f>중기목록표!B5&amp;" / "&amp;중기목록표!C5</f>
        <v>굴착기(무한궤도) / 0.7㎥</v>
      </c>
      <c r="Y1059" s="3" t="str">
        <f ca="1">HYPERLINK("#"&amp;중기목록표!J2&amp;"!A"&amp;ROW(중기목록표!A5),"X00005 →")</f>
        <v>X00005 →</v>
      </c>
      <c r="Z1059" s="34" t="s">
        <v>879</v>
      </c>
      <c r="AA1059" s="158" t="str">
        <f>AL1057</f>
        <v>55.42</v>
      </c>
      <c r="AB1059" s="34" t="s">
        <v>871</v>
      </c>
      <c r="AC1059" s="158">
        <f>1/AL1057</f>
        <v>1.804402742692169E-2</v>
      </c>
      <c r="AD1059" s="155"/>
      <c r="AE1059" s="155"/>
      <c r="AF1059" s="155"/>
      <c r="AG1059" s="155"/>
      <c r="AH1059" s="155"/>
      <c r="AI1059" s="155"/>
      <c r="AJ1059" s="155"/>
      <c r="AK1059" s="155"/>
      <c r="AL1059" s="155"/>
      <c r="AM1059" s="155"/>
      <c r="AN1059" s="155"/>
      <c r="AO1059" s="155"/>
      <c r="AP1059" s="155"/>
      <c r="AQ1059" s="155"/>
      <c r="AR1059" s="155"/>
      <c r="AS1059" s="155"/>
    </row>
    <row r="1060" spans="1:45" ht="12.6" customHeight="1" x14ac:dyDescent="0.3">
      <c r="A1060" s="107"/>
      <c r="B1060" s="107"/>
      <c r="C1060" s="107"/>
      <c r="D1060" s="107"/>
      <c r="E1060" s="107"/>
      <c r="F1060" s="107"/>
      <c r="G1060" s="17" t="s">
        <v>848</v>
      </c>
      <c r="Z1060" s="155"/>
      <c r="AA1060" s="155"/>
      <c r="AB1060" s="155"/>
      <c r="AC1060" s="155"/>
      <c r="AD1060" s="155"/>
      <c r="AE1060" s="155"/>
      <c r="AF1060" s="155"/>
      <c r="AG1060" s="155"/>
      <c r="AH1060" s="155"/>
      <c r="AI1060" s="155"/>
      <c r="AJ1060" s="155"/>
      <c r="AK1060" s="155"/>
      <c r="AL1060" s="155"/>
      <c r="AM1060" s="155"/>
      <c r="AN1060" s="155"/>
      <c r="AO1060" s="155"/>
      <c r="AP1060" s="155"/>
      <c r="AQ1060" s="155"/>
      <c r="AR1060" s="155"/>
      <c r="AS1060" s="155"/>
    </row>
    <row r="1061" spans="1:45" ht="12.6" customHeight="1" x14ac:dyDescent="0.3">
      <c r="A1061" s="84" t="s">
        <v>1122</v>
      </c>
      <c r="B1061" s="146" t="str">
        <f>"  재 료 비  :   "&amp;TEXT(I1061,"#,##0"&amp;IF(I1061&lt;&gt;INT(I1061),".###",""))&amp;" / Q = "&amp;TEXT(C1061,"#,##0.0")&amp;""</f>
        <v xml:space="preserve">  재 료 비  :   17,845 / Q = 321.9</v>
      </c>
      <c r="C1061" s="148">
        <f>E1061+D1061+F1061</f>
        <v>321.89999999999998</v>
      </c>
      <c r="D1061" s="148">
        <f>IF(H1061=0,0,ROUNDDOWN(J1061*H1061,1))</f>
        <v>0</v>
      </c>
      <c r="E1061" s="148">
        <f>IF(H1061=0,0,ROUNDDOWN(K1061*H1061,1))</f>
        <v>321.89999999999998</v>
      </c>
      <c r="F1061" s="148">
        <f>IF(H1061=0,0,ROUNDDOWN(L1061*H1061,1))</f>
        <v>0</v>
      </c>
      <c r="G1061" s="17" t="s">
        <v>1173</v>
      </c>
      <c r="H1061" s="152">
        <f>ROUNDUP(AC1061,14-LEN(ABS(INT(AC1061))))</f>
        <v>1.8044027426999999E-2</v>
      </c>
      <c r="I1061" s="153">
        <f>K1061+J1061+L1061</f>
        <v>17845</v>
      </c>
      <c r="K1061" s="37">
        <f>중기목록표!G5</f>
        <v>17845</v>
      </c>
      <c r="M1061" s="34" t="s">
        <v>1120</v>
      </c>
      <c r="N1061" s="34" t="s">
        <v>886</v>
      </c>
      <c r="X1061" s="154" t="str">
        <f>중기목록표!B5&amp;" / "&amp;중기목록표!C5</f>
        <v>굴착기(무한궤도) / 0.7㎥</v>
      </c>
      <c r="Y1061" s="3" t="str">
        <f ca="1">HYPERLINK("#"&amp;중기목록표!J2&amp;"!A"&amp;ROW(중기목록표!A5),"X00005 →")</f>
        <v>X00005 →</v>
      </c>
      <c r="Z1061" s="34" t="s">
        <v>879</v>
      </c>
      <c r="AA1061" s="158" t="str">
        <f>AL1057</f>
        <v>55.42</v>
      </c>
      <c r="AB1061" s="34" t="s">
        <v>871</v>
      </c>
      <c r="AC1061" s="158">
        <f>1/AL1057</f>
        <v>1.804402742692169E-2</v>
      </c>
      <c r="AD1061" s="155"/>
      <c r="AE1061" s="155"/>
      <c r="AF1061" s="155"/>
      <c r="AG1061" s="155"/>
      <c r="AH1061" s="155"/>
      <c r="AI1061" s="155"/>
      <c r="AJ1061" s="155"/>
      <c r="AK1061" s="155"/>
      <c r="AL1061" s="155"/>
      <c r="AM1061" s="155"/>
      <c r="AN1061" s="155"/>
      <c r="AO1061" s="155"/>
      <c r="AP1061" s="155"/>
      <c r="AQ1061" s="155"/>
      <c r="AR1061" s="155"/>
      <c r="AS1061" s="155"/>
    </row>
    <row r="1062" spans="1:45" ht="12.6" customHeight="1" x14ac:dyDescent="0.3">
      <c r="A1062" s="107"/>
      <c r="B1062" s="107"/>
      <c r="C1062" s="107"/>
      <c r="D1062" s="107"/>
      <c r="E1062" s="107"/>
      <c r="F1062" s="107"/>
      <c r="G1062" s="17" t="s">
        <v>848</v>
      </c>
      <c r="Z1062" s="155"/>
      <c r="AA1062" s="155"/>
      <c r="AB1062" s="155"/>
      <c r="AC1062" s="155"/>
      <c r="AD1062" s="155"/>
      <c r="AE1062" s="155"/>
      <c r="AF1062" s="155"/>
      <c r="AG1062" s="155"/>
      <c r="AH1062" s="155"/>
      <c r="AI1062" s="155"/>
      <c r="AJ1062" s="155"/>
      <c r="AK1062" s="155"/>
      <c r="AL1062" s="155"/>
      <c r="AM1062" s="155"/>
      <c r="AN1062" s="155"/>
      <c r="AO1062" s="155"/>
      <c r="AP1062" s="155"/>
      <c r="AQ1062" s="155"/>
      <c r="AR1062" s="155"/>
      <c r="AS1062" s="155"/>
    </row>
    <row r="1063" spans="1:45" ht="12.6" customHeight="1" x14ac:dyDescent="0.3">
      <c r="A1063" s="84" t="s">
        <v>1124</v>
      </c>
      <c r="B1063" s="146" t="str">
        <f>"  경    비  :   "&amp;TEXT(I1063,"#,##0"&amp;IF(I1063&lt;&gt;INT(I1063),".###",""))&amp;" / Q = "&amp;TEXT(C1063,"#,##0.0")&amp;""</f>
        <v xml:space="preserve">  경    비  :   24,001 / Q = 433.0</v>
      </c>
      <c r="C1063" s="148">
        <f>E1063+D1063+F1063</f>
        <v>433</v>
      </c>
      <c r="D1063" s="148">
        <f>IF(H1063=0,0,ROUNDDOWN(J1063*H1063,1))</f>
        <v>0</v>
      </c>
      <c r="E1063" s="148">
        <f>IF(H1063=0,0,ROUNDDOWN(K1063*H1063,1))</f>
        <v>0</v>
      </c>
      <c r="F1063" s="148">
        <f>IF(H1063=0,0,ROUNDDOWN(L1063*H1063,1))</f>
        <v>433</v>
      </c>
      <c r="G1063" s="17" t="s">
        <v>1174</v>
      </c>
      <c r="H1063" s="152">
        <f>ROUNDUP(AC1063,14-LEN(ABS(INT(AC1063))))</f>
        <v>1.8044027426999999E-2</v>
      </c>
      <c r="I1063" s="153">
        <f>K1063+J1063+L1063</f>
        <v>24001</v>
      </c>
      <c r="L1063" s="37">
        <f>중기목록표!H5</f>
        <v>24001</v>
      </c>
      <c r="M1063" s="34" t="s">
        <v>1120</v>
      </c>
      <c r="N1063" s="34" t="s">
        <v>886</v>
      </c>
      <c r="X1063" s="154" t="str">
        <f>중기목록표!B5&amp;" / "&amp;중기목록표!C5</f>
        <v>굴착기(무한궤도) / 0.7㎥</v>
      </c>
      <c r="Y1063" s="3" t="str">
        <f ca="1">HYPERLINK("#"&amp;중기목록표!J2&amp;"!A"&amp;ROW(중기목록표!A5),"X00005 →")</f>
        <v>X00005 →</v>
      </c>
      <c r="Z1063" s="34" t="s">
        <v>879</v>
      </c>
      <c r="AA1063" s="158" t="str">
        <f>AL1057</f>
        <v>55.42</v>
      </c>
      <c r="AB1063" s="34" t="s">
        <v>871</v>
      </c>
      <c r="AC1063" s="158">
        <f>1/AL1057</f>
        <v>1.804402742692169E-2</v>
      </c>
      <c r="AD1063" s="155"/>
      <c r="AE1063" s="155"/>
      <c r="AF1063" s="155"/>
      <c r="AG1063" s="155"/>
      <c r="AH1063" s="155"/>
      <c r="AI1063" s="155"/>
      <c r="AJ1063" s="155"/>
      <c r="AK1063" s="155"/>
      <c r="AL1063" s="155"/>
      <c r="AM1063" s="155"/>
      <c r="AN1063" s="155"/>
      <c r="AO1063" s="155"/>
      <c r="AP1063" s="155"/>
      <c r="AQ1063" s="155"/>
      <c r="AR1063" s="155"/>
      <c r="AS1063" s="155"/>
    </row>
    <row r="1064" spans="1:45" ht="12.6" customHeight="1" x14ac:dyDescent="0.3">
      <c r="A1064" s="107"/>
      <c r="B1064" s="107"/>
      <c r="C1064" s="107"/>
      <c r="D1064" s="107"/>
      <c r="E1064" s="107"/>
      <c r="F1064" s="107"/>
      <c r="G1064" s="17" t="s">
        <v>848</v>
      </c>
      <c r="Z1064" s="155"/>
      <c r="AA1064" s="155"/>
      <c r="AB1064" s="155"/>
      <c r="AC1064" s="155"/>
      <c r="AD1064" s="155"/>
      <c r="AE1064" s="155"/>
      <c r="AF1064" s="155"/>
      <c r="AG1064" s="155"/>
      <c r="AH1064" s="155"/>
      <c r="AI1064" s="155"/>
      <c r="AJ1064" s="155"/>
      <c r="AK1064" s="155"/>
      <c r="AL1064" s="155"/>
      <c r="AM1064" s="155"/>
      <c r="AN1064" s="155"/>
      <c r="AO1064" s="155"/>
      <c r="AP1064" s="155"/>
      <c r="AQ1064" s="155"/>
      <c r="AR1064" s="155"/>
      <c r="AS1064" s="155"/>
    </row>
    <row r="1065" spans="1:45" ht="12.6" customHeight="1" x14ac:dyDescent="0.3">
      <c r="A1065" s="84"/>
      <c r="B1065" s="41" t="s">
        <v>885</v>
      </c>
      <c r="C1065" s="149">
        <f>E1065+D1065+F1065</f>
        <v>1784.6999999999998</v>
      </c>
      <c r="D1065" s="149">
        <f>SUMIF(N1045:N1064,M1065,D1045:D1064)</f>
        <v>1029.8</v>
      </c>
      <c r="E1065" s="149">
        <f>SUMIF(N1045:N1064,M1065,E1045:E1064)</f>
        <v>321.89999999999998</v>
      </c>
      <c r="F1065" s="149">
        <f>SUMIF(N1045:N1064,M1065,F1045:F1064)</f>
        <v>433</v>
      </c>
      <c r="G1065" s="17" t="s">
        <v>884</v>
      </c>
      <c r="M1065" s="34" t="s">
        <v>886</v>
      </c>
      <c r="N1065" s="34" t="s">
        <v>891</v>
      </c>
      <c r="Z1065" s="155"/>
      <c r="AA1065" s="155"/>
      <c r="AB1065" s="155"/>
      <c r="AC1065" s="155"/>
      <c r="AD1065" s="155"/>
      <c r="AE1065" s="155"/>
      <c r="AF1065" s="155"/>
      <c r="AG1065" s="155"/>
      <c r="AH1065" s="155"/>
      <c r="AI1065" s="155"/>
      <c r="AJ1065" s="155"/>
      <c r="AK1065" s="155"/>
      <c r="AL1065" s="155"/>
      <c r="AM1065" s="155"/>
      <c r="AN1065" s="155"/>
      <c r="AO1065" s="155"/>
      <c r="AP1065" s="155"/>
      <c r="AQ1065" s="155"/>
      <c r="AR1065" s="155"/>
      <c r="AS1065" s="155"/>
    </row>
    <row r="1066" spans="1:45" ht="12.6" customHeight="1" x14ac:dyDescent="0.3">
      <c r="A1066" s="107"/>
      <c r="B1066" s="107"/>
      <c r="C1066" s="147"/>
      <c r="D1066" s="147"/>
      <c r="E1066" s="147"/>
      <c r="F1066" s="147"/>
      <c r="G1066" s="17" t="s">
        <v>848</v>
      </c>
      <c r="Z1066" s="155"/>
      <c r="AA1066" s="155"/>
      <c r="AB1066" s="155"/>
      <c r="AC1066" s="155"/>
      <c r="AD1066" s="155"/>
      <c r="AE1066" s="155"/>
      <c r="AF1066" s="155"/>
      <c r="AG1066" s="155"/>
      <c r="AH1066" s="155"/>
      <c r="AI1066" s="155"/>
      <c r="AJ1066" s="155"/>
      <c r="AK1066" s="155"/>
      <c r="AL1066" s="155"/>
      <c r="AM1066" s="155"/>
      <c r="AN1066" s="155"/>
      <c r="AO1066" s="155"/>
      <c r="AP1066" s="155"/>
      <c r="AQ1066" s="155"/>
      <c r="AR1066" s="155"/>
      <c r="AS1066" s="155"/>
    </row>
    <row r="1067" spans="1:45" ht="12.6" customHeight="1" x14ac:dyDescent="0.3">
      <c r="A1067" s="84"/>
      <c r="B1067" s="41" t="s">
        <v>1176</v>
      </c>
      <c r="C1067" s="107"/>
      <c r="D1067" s="107"/>
      <c r="E1067" s="107"/>
      <c r="F1067" s="107"/>
      <c r="G1067" s="17" t="s">
        <v>1175</v>
      </c>
      <c r="Z1067" s="155"/>
      <c r="AA1067" s="155"/>
      <c r="AB1067" s="155"/>
      <c r="AC1067" s="155"/>
      <c r="AD1067" s="155"/>
      <c r="AE1067" s="155"/>
      <c r="AF1067" s="155"/>
      <c r="AG1067" s="155"/>
      <c r="AH1067" s="155"/>
      <c r="AI1067" s="155"/>
      <c r="AJ1067" s="155"/>
      <c r="AK1067" s="155"/>
      <c r="AL1067" s="155"/>
      <c r="AM1067" s="155"/>
      <c r="AN1067" s="155"/>
      <c r="AO1067" s="155"/>
      <c r="AP1067" s="155"/>
      <c r="AQ1067" s="155"/>
      <c r="AR1067" s="155"/>
      <c r="AS1067" s="155"/>
    </row>
    <row r="1068" spans="1:45" ht="12.6" customHeight="1" x14ac:dyDescent="0.3">
      <c r="A1068" s="107"/>
      <c r="B1068" s="107"/>
      <c r="C1068" s="107"/>
      <c r="D1068" s="107"/>
      <c r="E1068" s="107"/>
      <c r="F1068" s="107"/>
      <c r="G1068" s="17" t="s">
        <v>848</v>
      </c>
      <c r="Z1068" s="155"/>
      <c r="AA1068" s="155"/>
      <c r="AB1068" s="155"/>
      <c r="AC1068" s="155"/>
      <c r="AD1068" s="155"/>
      <c r="AE1068" s="155"/>
      <c r="AF1068" s="155"/>
      <c r="AG1068" s="155"/>
      <c r="AH1068" s="155"/>
      <c r="AI1068" s="155"/>
      <c r="AJ1068" s="155"/>
      <c r="AK1068" s="155"/>
      <c r="AL1068" s="155"/>
      <c r="AM1068" s="155"/>
      <c r="AN1068" s="155"/>
      <c r="AO1068" s="155"/>
      <c r="AP1068" s="155"/>
      <c r="AQ1068" s="155"/>
      <c r="AR1068" s="155"/>
      <c r="AS1068" s="155"/>
    </row>
    <row r="1069" spans="1:45" ht="12.6" customHeight="1" x14ac:dyDescent="0.3">
      <c r="A1069" s="84"/>
      <c r="B1069" s="41" t="str">
        <f>"L (운반거리)  = "&amp;Z1069&amp;"  Km ,E (작업효율)  = "&amp;AD1069&amp;" , f (환산계수)  = "&amp;AH1069&amp;"/"&amp;AJ1069&amp;" = "&amp;AL1069&amp;""</f>
        <v>L (운반거리)  = 0.1  Km ,E (작업효율)  = 0.9 , f (환산계수)  = 1/1.15 = 0.87</v>
      </c>
      <c r="C1069" s="107"/>
      <c r="D1069" s="107"/>
      <c r="E1069" s="107"/>
      <c r="F1069" s="107"/>
      <c r="G1069" s="17" t="s">
        <v>1177</v>
      </c>
      <c r="Z1069" s="156">
        <v>0.1</v>
      </c>
      <c r="AA1069" s="34" t="s">
        <v>871</v>
      </c>
      <c r="AB1069" s="158">
        <f>Z1069</f>
        <v>0.1</v>
      </c>
      <c r="AC1069" s="159" t="s">
        <v>872</v>
      </c>
      <c r="AD1069" s="156">
        <v>0.9</v>
      </c>
      <c r="AE1069" s="34" t="s">
        <v>871</v>
      </c>
      <c r="AF1069" s="158">
        <f>AD1069</f>
        <v>0.9</v>
      </c>
      <c r="AG1069" s="159" t="s">
        <v>872</v>
      </c>
      <c r="AH1069" s="157">
        <v>1</v>
      </c>
      <c r="AI1069" s="34" t="s">
        <v>873</v>
      </c>
      <c r="AJ1069" s="156">
        <v>1.1499999999999999</v>
      </c>
      <c r="AK1069" s="34" t="s">
        <v>871</v>
      </c>
      <c r="AL1069" s="158" t="str">
        <f>TEXT(ROUND(AH1069/AJ1069,2),"#,0.00")</f>
        <v>0.87</v>
      </c>
      <c r="AM1069" s="155"/>
      <c r="AN1069" s="155"/>
      <c r="AO1069" s="155"/>
      <c r="AP1069" s="155"/>
      <c r="AQ1069" s="155"/>
      <c r="AR1069" s="155"/>
      <c r="AS1069" s="155"/>
    </row>
    <row r="1070" spans="1:45" ht="12.6" customHeight="1" x14ac:dyDescent="0.3">
      <c r="A1070" s="107"/>
      <c r="B1070" s="107"/>
      <c r="C1070" s="107"/>
      <c r="D1070" s="107"/>
      <c r="E1070" s="107"/>
      <c r="F1070" s="107"/>
      <c r="G1070" s="17" t="s">
        <v>848</v>
      </c>
      <c r="Z1070" s="155"/>
      <c r="AA1070" s="155"/>
      <c r="AB1070" s="155"/>
      <c r="AC1070" s="155"/>
      <c r="AD1070" s="155"/>
      <c r="AE1070" s="155"/>
      <c r="AF1070" s="155"/>
      <c r="AG1070" s="155"/>
      <c r="AH1070" s="155"/>
      <c r="AI1070" s="155"/>
      <c r="AJ1070" s="155"/>
      <c r="AK1070" s="155"/>
      <c r="AL1070" s="155"/>
      <c r="AM1070" s="155"/>
      <c r="AN1070" s="155"/>
      <c r="AO1070" s="155"/>
      <c r="AP1070" s="155"/>
      <c r="AQ1070" s="155"/>
      <c r="AR1070" s="155"/>
      <c r="AS1070" s="155"/>
    </row>
    <row r="1071" spans="1:45" ht="12.6" customHeight="1" x14ac:dyDescent="0.3">
      <c r="A1071" s="84"/>
      <c r="B1071" s="41" t="str">
        <f>"q1 (덤프트럭1회적재량)  = ("&amp;AA1071&amp;"/"&amp;AC1071&amp;") * "&amp;AE1071&amp;" = "&amp;AG1071&amp;""</f>
        <v>q1 (덤프트럭1회적재량)  = (4.5/1.7) * 1.15 = 3.04</v>
      </c>
      <c r="C1071" s="107"/>
      <c r="D1071" s="107"/>
      <c r="E1071" s="107"/>
      <c r="F1071" s="107"/>
      <c r="G1071" s="17" t="s">
        <v>1196</v>
      </c>
      <c r="Z1071" s="34" t="s">
        <v>998</v>
      </c>
      <c r="AA1071" s="156">
        <v>4.5</v>
      </c>
      <c r="AB1071" s="34" t="s">
        <v>873</v>
      </c>
      <c r="AC1071" s="156">
        <v>1.7</v>
      </c>
      <c r="AD1071" s="34" t="s">
        <v>1000</v>
      </c>
      <c r="AE1071" s="156">
        <v>1.1499999999999999</v>
      </c>
      <c r="AF1071" s="34" t="s">
        <v>871</v>
      </c>
      <c r="AG1071" s="158" t="str">
        <f>TEXT(ROUND((AA1071/AC1071)*AE1071,2),"#,0.00")</f>
        <v>3.04</v>
      </c>
      <c r="AH1071" s="155"/>
      <c r="AI1071" s="155"/>
      <c r="AJ1071" s="155"/>
      <c r="AK1071" s="155"/>
      <c r="AL1071" s="155"/>
      <c r="AM1071" s="155"/>
      <c r="AN1071" s="155"/>
      <c r="AO1071" s="155"/>
      <c r="AP1071" s="155"/>
      <c r="AQ1071" s="155"/>
      <c r="AR1071" s="155"/>
      <c r="AS1071" s="155"/>
    </row>
    <row r="1072" spans="1:45" ht="12.6" customHeight="1" x14ac:dyDescent="0.3">
      <c r="A1072" s="107"/>
      <c r="B1072" s="107"/>
      <c r="C1072" s="107"/>
      <c r="D1072" s="107"/>
      <c r="E1072" s="107"/>
      <c r="F1072" s="107"/>
      <c r="G1072" s="17" t="s">
        <v>848</v>
      </c>
      <c r="Z1072" s="155"/>
      <c r="AA1072" s="155"/>
      <c r="AB1072" s="155"/>
      <c r="AC1072" s="155"/>
      <c r="AD1072" s="155"/>
      <c r="AE1072" s="155"/>
      <c r="AF1072" s="155"/>
      <c r="AG1072" s="155"/>
      <c r="AH1072" s="155"/>
      <c r="AI1072" s="155"/>
      <c r="AJ1072" s="155"/>
      <c r="AK1072" s="155"/>
      <c r="AL1072" s="155"/>
      <c r="AM1072" s="155"/>
      <c r="AN1072" s="155"/>
      <c r="AO1072" s="155"/>
      <c r="AP1072" s="155"/>
      <c r="AQ1072" s="155"/>
      <c r="AR1072" s="155"/>
      <c r="AS1072" s="155"/>
    </row>
    <row r="1073" spans="1:45" ht="12.6" customHeight="1" x14ac:dyDescent="0.3">
      <c r="A1073" s="84"/>
      <c r="B1073" s="41" t="str">
        <f>"n =q1 / ("&amp;AB1073&amp;" * k) = "&amp;AG1073&amp;"  회 "</f>
        <v xml:space="preserve">n =q1 / (1.34 * k) = 3.24  회 </v>
      </c>
      <c r="C1073" s="107"/>
      <c r="D1073" s="107"/>
      <c r="E1073" s="107"/>
      <c r="F1073" s="107"/>
      <c r="G1073" s="17" t="s">
        <v>1197</v>
      </c>
      <c r="Z1073" s="158" t="str">
        <f>AG1071</f>
        <v>3.04</v>
      </c>
      <c r="AA1073" s="34" t="s">
        <v>990</v>
      </c>
      <c r="AB1073" s="156">
        <v>1.34</v>
      </c>
      <c r="AC1073" s="34" t="s">
        <v>876</v>
      </c>
      <c r="AD1073" s="158">
        <f>AL1053</f>
        <v>0.7</v>
      </c>
      <c r="AE1073" s="34" t="s">
        <v>991</v>
      </c>
      <c r="AF1073" s="34" t="s">
        <v>871</v>
      </c>
      <c r="AG1073" s="158" t="str">
        <f>TEXT(ROUND(AG1071/(AB1073*AL1053),2),"#,0.00")</f>
        <v>3.24</v>
      </c>
      <c r="AH1073" s="155"/>
      <c r="AI1073" s="155"/>
      <c r="AJ1073" s="155"/>
      <c r="AK1073" s="155"/>
      <c r="AL1073" s="155"/>
      <c r="AM1073" s="155"/>
      <c r="AN1073" s="155"/>
      <c r="AO1073" s="155"/>
      <c r="AP1073" s="155"/>
      <c r="AQ1073" s="155"/>
      <c r="AR1073" s="155"/>
      <c r="AS1073" s="155"/>
    </row>
    <row r="1074" spans="1:45" ht="12.6" customHeight="1" x14ac:dyDescent="0.3">
      <c r="A1074" s="107"/>
      <c r="B1074" s="107"/>
      <c r="C1074" s="107"/>
      <c r="D1074" s="107"/>
      <c r="E1074" s="107"/>
      <c r="F1074" s="107"/>
      <c r="G1074" s="17" t="s">
        <v>848</v>
      </c>
      <c r="Z1074" s="155"/>
      <c r="AA1074" s="155"/>
      <c r="AB1074" s="155"/>
      <c r="AC1074" s="155"/>
      <c r="AD1074" s="155"/>
      <c r="AE1074" s="155"/>
      <c r="AF1074" s="155"/>
      <c r="AG1074" s="155"/>
      <c r="AH1074" s="155"/>
      <c r="AI1074" s="155"/>
      <c r="AJ1074" s="155"/>
      <c r="AK1074" s="155"/>
      <c r="AL1074" s="155"/>
      <c r="AM1074" s="155"/>
      <c r="AN1074" s="155"/>
      <c r="AO1074" s="155"/>
      <c r="AP1074" s="155"/>
      <c r="AQ1074" s="155"/>
      <c r="AR1074" s="155"/>
      <c r="AS1074" s="155"/>
    </row>
    <row r="1075" spans="1:45" ht="12.6" customHeight="1" x14ac:dyDescent="0.3">
      <c r="A1075" s="84"/>
      <c r="B1075" s="41" t="str">
        <f>"t1 = Cm1 * n / ("&amp;AD1075&amp;" * "&amp;AF1075&amp;") = "&amp;AI1075&amp;" 분 "</f>
        <v xml:space="preserve">t1 = Cm1 * n / (60 * 0.7) = 1.39 분 </v>
      </c>
      <c r="C1075" s="107"/>
      <c r="D1075" s="107"/>
      <c r="E1075" s="107"/>
      <c r="F1075" s="107"/>
      <c r="G1075" s="17" t="s">
        <v>1180</v>
      </c>
      <c r="Z1075" s="158">
        <f>AB1055</f>
        <v>18</v>
      </c>
      <c r="AA1075" s="34" t="s">
        <v>876</v>
      </c>
      <c r="AB1075" s="158" t="str">
        <f>AG1073</f>
        <v>3.24</v>
      </c>
      <c r="AC1075" s="34" t="s">
        <v>990</v>
      </c>
      <c r="AD1075" s="157">
        <v>60</v>
      </c>
      <c r="AE1075" s="34" t="s">
        <v>876</v>
      </c>
      <c r="AF1075" s="156">
        <v>0.7</v>
      </c>
      <c r="AG1075" s="34" t="s">
        <v>991</v>
      </c>
      <c r="AH1075" s="34" t="s">
        <v>871</v>
      </c>
      <c r="AI1075" s="158" t="str">
        <f>TEXT(ROUND(AB1055*AG1073/(AD1075*AF1075),2),"#,0.00")</f>
        <v>1.39</v>
      </c>
      <c r="AJ1075" s="155"/>
      <c r="AK1075" s="155"/>
      <c r="AL1075" s="155"/>
      <c r="AM1075" s="155"/>
      <c r="AN1075" s="155"/>
      <c r="AO1075" s="155"/>
      <c r="AP1075" s="155"/>
      <c r="AQ1075" s="155"/>
      <c r="AR1075" s="155"/>
      <c r="AS1075" s="155"/>
    </row>
    <row r="1076" spans="1:45" ht="12.6" customHeight="1" x14ac:dyDescent="0.3">
      <c r="A1076" s="107"/>
      <c r="B1076" s="107"/>
      <c r="C1076" s="107"/>
      <c r="D1076" s="107"/>
      <c r="E1076" s="107"/>
      <c r="F1076" s="107"/>
      <c r="G1076" s="17" t="s">
        <v>848</v>
      </c>
      <c r="Z1076" s="155"/>
      <c r="AA1076" s="155"/>
      <c r="AB1076" s="155"/>
      <c r="AC1076" s="155"/>
      <c r="AD1076" s="155"/>
      <c r="AE1076" s="155"/>
      <c r="AF1076" s="155"/>
      <c r="AG1076" s="155"/>
      <c r="AH1076" s="155"/>
      <c r="AI1076" s="155"/>
      <c r="AJ1076" s="155"/>
      <c r="AK1076" s="155"/>
      <c r="AL1076" s="155"/>
      <c r="AM1076" s="155"/>
      <c r="AN1076" s="155"/>
      <c r="AO1076" s="155"/>
      <c r="AP1076" s="155"/>
      <c r="AQ1076" s="155"/>
      <c r="AR1076" s="155"/>
      <c r="AS1076" s="155"/>
    </row>
    <row r="1077" spans="1:45" ht="12.6" customHeight="1" x14ac:dyDescent="0.3">
      <c r="A1077" s="84"/>
      <c r="B1077" s="41" t="str">
        <f>"t2 =(L/"&amp;AC1077&amp;"+L/"&amp;AG1077&amp;")* "&amp;AI1077&amp;" = "&amp;AK1077&amp;" 분 "</f>
        <v xml:space="preserve">t2 =(L/7+L/8)* 60 = 1.61 분 </v>
      </c>
      <c r="C1077" s="107"/>
      <c r="D1077" s="107"/>
      <c r="E1077" s="107"/>
      <c r="F1077" s="107"/>
      <c r="G1077" s="17" t="s">
        <v>1181</v>
      </c>
      <c r="Z1077" s="34" t="s">
        <v>998</v>
      </c>
      <c r="AA1077" s="158">
        <f>AB1069</f>
        <v>0.1</v>
      </c>
      <c r="AB1077" s="34" t="s">
        <v>873</v>
      </c>
      <c r="AC1077" s="157">
        <v>7</v>
      </c>
      <c r="AD1077" s="34" t="s">
        <v>999</v>
      </c>
      <c r="AE1077" s="158">
        <f>AB1069</f>
        <v>0.1</v>
      </c>
      <c r="AF1077" s="34" t="s">
        <v>873</v>
      </c>
      <c r="AG1077" s="157">
        <v>8</v>
      </c>
      <c r="AH1077" s="34" t="s">
        <v>1000</v>
      </c>
      <c r="AI1077" s="157">
        <v>60</v>
      </c>
      <c r="AJ1077" s="34" t="s">
        <v>871</v>
      </c>
      <c r="AK1077" s="158" t="str">
        <f>TEXT(ROUND((AB1069/AC1077+AB1069/AG1077)*AI1077,2),"#,0.00")</f>
        <v>1.61</v>
      </c>
      <c r="AL1077" s="155"/>
      <c r="AM1077" s="155"/>
      <c r="AN1077" s="155"/>
      <c r="AO1077" s="155"/>
      <c r="AP1077" s="155"/>
      <c r="AQ1077" s="155"/>
      <c r="AR1077" s="155"/>
      <c r="AS1077" s="155"/>
    </row>
    <row r="1078" spans="1:45" ht="12.6" customHeight="1" x14ac:dyDescent="0.3">
      <c r="A1078" s="107"/>
      <c r="B1078" s="107"/>
      <c r="C1078" s="107"/>
      <c r="D1078" s="107"/>
      <c r="E1078" s="107"/>
      <c r="F1078" s="107"/>
      <c r="G1078" s="17" t="s">
        <v>848</v>
      </c>
      <c r="Z1078" s="155"/>
      <c r="AA1078" s="155"/>
      <c r="AB1078" s="155"/>
      <c r="AC1078" s="155"/>
      <c r="AD1078" s="155"/>
      <c r="AE1078" s="155"/>
      <c r="AF1078" s="155"/>
      <c r="AG1078" s="155"/>
      <c r="AH1078" s="155"/>
      <c r="AI1078" s="155"/>
      <c r="AJ1078" s="155"/>
      <c r="AK1078" s="155"/>
      <c r="AL1078" s="155"/>
      <c r="AM1078" s="155"/>
      <c r="AN1078" s="155"/>
      <c r="AO1078" s="155"/>
      <c r="AP1078" s="155"/>
      <c r="AQ1078" s="155"/>
      <c r="AR1078" s="155"/>
      <c r="AS1078" s="155"/>
    </row>
    <row r="1079" spans="1:45" ht="12.6" customHeight="1" x14ac:dyDescent="0.3">
      <c r="A1079" s="84"/>
      <c r="B1079" s="41" t="str">
        <f>"t3 = "&amp;Z1079&amp;" 분 , t4 = "&amp;AD1079&amp;" 분 "</f>
        <v xml:space="preserve">t3 = 1.1 분 , t4 = 0.7 분 </v>
      </c>
      <c r="C1079" s="107"/>
      <c r="D1079" s="107"/>
      <c r="E1079" s="107"/>
      <c r="F1079" s="107"/>
      <c r="G1079" s="17" t="s">
        <v>1036</v>
      </c>
      <c r="Z1079" s="156">
        <v>1.1000000000000001</v>
      </c>
      <c r="AA1079" s="34" t="s">
        <v>871</v>
      </c>
      <c r="AB1079" s="158">
        <f>Z1079</f>
        <v>1.1000000000000001</v>
      </c>
      <c r="AC1079" s="159" t="s">
        <v>872</v>
      </c>
      <c r="AD1079" s="156">
        <v>0.7</v>
      </c>
      <c r="AE1079" s="34" t="s">
        <v>871</v>
      </c>
      <c r="AF1079" s="158">
        <f>AD1079</f>
        <v>0.7</v>
      </c>
      <c r="AG1079" s="155"/>
      <c r="AH1079" s="155"/>
      <c r="AI1079" s="155"/>
      <c r="AJ1079" s="155"/>
      <c r="AK1079" s="155"/>
      <c r="AL1079" s="155"/>
      <c r="AM1079" s="155"/>
      <c r="AN1079" s="155"/>
      <c r="AO1079" s="155"/>
      <c r="AP1079" s="155"/>
      <c r="AQ1079" s="155"/>
      <c r="AR1079" s="155"/>
      <c r="AS1079" s="155"/>
    </row>
    <row r="1080" spans="1:45" ht="12.6" customHeight="1" x14ac:dyDescent="0.3">
      <c r="A1080" s="107"/>
      <c r="B1080" s="107"/>
      <c r="C1080" s="107"/>
      <c r="D1080" s="107"/>
      <c r="E1080" s="107"/>
      <c r="F1080" s="107"/>
      <c r="G1080" s="17" t="s">
        <v>848</v>
      </c>
      <c r="Z1080" s="155"/>
      <c r="AA1080" s="155"/>
      <c r="AB1080" s="155"/>
      <c r="AC1080" s="155"/>
      <c r="AD1080" s="155"/>
      <c r="AE1080" s="155"/>
      <c r="AF1080" s="155"/>
      <c r="AG1080" s="155"/>
      <c r="AH1080" s="155"/>
      <c r="AI1080" s="155"/>
      <c r="AJ1080" s="155"/>
      <c r="AK1080" s="155"/>
      <c r="AL1080" s="155"/>
      <c r="AM1080" s="155"/>
      <c r="AN1080" s="155"/>
      <c r="AO1080" s="155"/>
      <c r="AP1080" s="155"/>
      <c r="AQ1080" s="155"/>
      <c r="AR1080" s="155"/>
      <c r="AS1080" s="155"/>
    </row>
    <row r="1081" spans="1:45" ht="12.6" customHeight="1" x14ac:dyDescent="0.3">
      <c r="A1081" s="84"/>
      <c r="B1081" s="41" t="str">
        <f>"Cm = t1 + t2 + t3 + t4 = "&amp;AH1081&amp;" 분 "</f>
        <v xml:space="preserve">Cm = t1 + t2 + t3 + t4 = 4.80 분 </v>
      </c>
      <c r="C1081" s="107"/>
      <c r="D1081" s="107"/>
      <c r="E1081" s="107"/>
      <c r="F1081" s="107"/>
      <c r="G1081" s="17" t="s">
        <v>1037</v>
      </c>
      <c r="Z1081" s="158" t="str">
        <f>AI1075</f>
        <v>1.39</v>
      </c>
      <c r="AA1081" s="34" t="s">
        <v>999</v>
      </c>
      <c r="AB1081" s="158" t="str">
        <f>AK1077</f>
        <v>1.61</v>
      </c>
      <c r="AC1081" s="34" t="s">
        <v>999</v>
      </c>
      <c r="AD1081" s="158">
        <f>AB1079</f>
        <v>1.1000000000000001</v>
      </c>
      <c r="AE1081" s="34" t="s">
        <v>999</v>
      </c>
      <c r="AF1081" s="158">
        <f>AF1079</f>
        <v>0.7</v>
      </c>
      <c r="AG1081" s="34" t="s">
        <v>871</v>
      </c>
      <c r="AH1081" s="158" t="str">
        <f>TEXT(ROUND(AI1075+AK1077+AB1079+AF1079,2),"#,0.00")</f>
        <v>4.80</v>
      </c>
      <c r="AI1081" s="155"/>
      <c r="AJ1081" s="155"/>
      <c r="AK1081" s="155"/>
      <c r="AL1081" s="155"/>
      <c r="AM1081" s="155"/>
      <c r="AN1081" s="155"/>
      <c r="AO1081" s="155"/>
      <c r="AP1081" s="155"/>
      <c r="AQ1081" s="155"/>
      <c r="AR1081" s="155"/>
      <c r="AS1081" s="155"/>
    </row>
    <row r="1082" spans="1:45" ht="12.6" customHeight="1" x14ac:dyDescent="0.3">
      <c r="A1082" s="107"/>
      <c r="B1082" s="107"/>
      <c r="C1082" s="107"/>
      <c r="D1082" s="107"/>
      <c r="E1082" s="107"/>
      <c r="F1082" s="107"/>
      <c r="G1082" s="17" t="s">
        <v>848</v>
      </c>
      <c r="Z1082" s="155"/>
      <c r="AA1082" s="155"/>
      <c r="AB1082" s="155"/>
      <c r="AC1082" s="155"/>
      <c r="AD1082" s="155"/>
      <c r="AE1082" s="155"/>
      <c r="AF1082" s="155"/>
      <c r="AG1082" s="155"/>
      <c r="AH1082" s="155"/>
      <c r="AI1082" s="155"/>
      <c r="AJ1082" s="155"/>
      <c r="AK1082" s="155"/>
      <c r="AL1082" s="155"/>
      <c r="AM1082" s="155"/>
      <c r="AN1082" s="155"/>
      <c r="AO1082" s="155"/>
      <c r="AP1082" s="155"/>
      <c r="AQ1082" s="155"/>
      <c r="AR1082" s="155"/>
      <c r="AS1082" s="155"/>
    </row>
    <row r="1083" spans="1:45" ht="12.6" customHeight="1" x14ac:dyDescent="0.3">
      <c r="A1083" s="84"/>
      <c r="B1083" s="41" t="str">
        <f>"Q1 = "&amp;Z1083&amp;" * q1 * f * E / Cm = "&amp;AJ1083&amp;" m3/hr "</f>
        <v xml:space="preserve">Q1 = 60 * q1 * f * E / Cm = 29.75 m3/hr </v>
      </c>
      <c r="C1083" s="107"/>
      <c r="D1083" s="107"/>
      <c r="E1083" s="107"/>
      <c r="F1083" s="107"/>
      <c r="G1083" s="17" t="s">
        <v>1182</v>
      </c>
      <c r="Z1083" s="157">
        <v>60</v>
      </c>
      <c r="AA1083" s="34" t="s">
        <v>876</v>
      </c>
      <c r="AB1083" s="158" t="str">
        <f>AG1071</f>
        <v>3.04</v>
      </c>
      <c r="AC1083" s="34" t="s">
        <v>876</v>
      </c>
      <c r="AD1083" s="158" t="str">
        <f>AL1069</f>
        <v>0.87</v>
      </c>
      <c r="AE1083" s="34" t="s">
        <v>876</v>
      </c>
      <c r="AF1083" s="158">
        <f>AF1069</f>
        <v>0.9</v>
      </c>
      <c r="AG1083" s="34" t="s">
        <v>873</v>
      </c>
      <c r="AH1083" s="158" t="str">
        <f>AH1081</f>
        <v>4.80</v>
      </c>
      <c r="AI1083" s="34" t="s">
        <v>871</v>
      </c>
      <c r="AJ1083" s="158" t="str">
        <f>TEXT(ROUND(Z1083*AG1071*AL1069*AF1069/AH1081,2),"#,0.00")</f>
        <v>29.75</v>
      </c>
      <c r="AK1083" s="155"/>
      <c r="AL1083" s="155"/>
      <c r="AM1083" s="155"/>
      <c r="AN1083" s="155"/>
      <c r="AO1083" s="155"/>
      <c r="AP1083" s="155"/>
      <c r="AQ1083" s="155"/>
      <c r="AR1083" s="155"/>
      <c r="AS1083" s="155"/>
    </row>
    <row r="1084" spans="1:45" ht="12.6" customHeight="1" x14ac:dyDescent="0.3">
      <c r="A1084" s="107"/>
      <c r="B1084" s="107"/>
      <c r="C1084" s="107"/>
      <c r="D1084" s="107"/>
      <c r="E1084" s="107"/>
      <c r="F1084" s="107"/>
      <c r="G1084" s="17" t="s">
        <v>848</v>
      </c>
      <c r="Z1084" s="155"/>
      <c r="AA1084" s="155"/>
      <c r="AB1084" s="155"/>
      <c r="AC1084" s="155"/>
      <c r="AD1084" s="155"/>
      <c r="AE1084" s="155"/>
      <c r="AF1084" s="155"/>
      <c r="AG1084" s="155"/>
      <c r="AH1084" s="155"/>
      <c r="AI1084" s="155"/>
      <c r="AJ1084" s="155"/>
      <c r="AK1084" s="155"/>
      <c r="AL1084" s="155"/>
      <c r="AM1084" s="155"/>
      <c r="AN1084" s="155"/>
      <c r="AO1084" s="155"/>
      <c r="AP1084" s="155"/>
      <c r="AQ1084" s="155"/>
      <c r="AR1084" s="155"/>
      <c r="AS1084" s="155"/>
    </row>
    <row r="1085" spans="1:45" ht="12.6" customHeight="1" x14ac:dyDescent="0.3">
      <c r="A1085" s="84" t="s">
        <v>1184</v>
      </c>
      <c r="B1085" s="146" t="str">
        <f>" 노 무 비  :   "&amp;TEXT(I1085,"#,##0"&amp;IF(I1085&lt;&gt;INT(I1085),".###",""))&amp;" / Q1 = "&amp;TEXT(C1085,"#,##0.0")&amp;""</f>
        <v xml:space="preserve"> 노 무 비  :   49,479 / Q1 = 1,663.1</v>
      </c>
      <c r="C1085" s="148">
        <f>E1085+D1085+F1085</f>
        <v>1663.1</v>
      </c>
      <c r="D1085" s="148">
        <f>IF(H1085=0,0,ROUNDDOWN(J1085*H1085,1))</f>
        <v>1663.1</v>
      </c>
      <c r="E1085" s="148">
        <f>IF(H1085=0,0,ROUNDDOWN(K1085*H1085,1))</f>
        <v>0</v>
      </c>
      <c r="F1085" s="148">
        <f>IF(H1085=0,0,ROUNDDOWN(L1085*H1085,1))</f>
        <v>0</v>
      </c>
      <c r="G1085" s="17" t="s">
        <v>1183</v>
      </c>
      <c r="H1085" s="152">
        <f>ROUNDUP(AC1085,14-LEN(ABS(INT(AC1085))))</f>
        <v>3.3613445378200005E-2</v>
      </c>
      <c r="I1085" s="153">
        <f>K1085+J1085+L1085</f>
        <v>49479</v>
      </c>
      <c r="J1085" s="37">
        <f>중기목록표!F8</f>
        <v>49479</v>
      </c>
      <c r="M1085" s="34" t="s">
        <v>1185</v>
      </c>
      <c r="N1085" s="34" t="s">
        <v>886</v>
      </c>
      <c r="X1085" s="154" t="str">
        <f>중기목록표!B8&amp;" / "&amp;중기목록표!C8</f>
        <v>덤프트럭 / 4.5톤</v>
      </c>
      <c r="Y1085" s="3" t="str">
        <f ca="1">HYPERLINK("#"&amp;중기목록표!J2&amp;"!A"&amp;ROW(중기목록표!A8),"X00024 →")</f>
        <v>X00024 →</v>
      </c>
      <c r="Z1085" s="34" t="s">
        <v>879</v>
      </c>
      <c r="AA1085" s="158" t="str">
        <f>AJ1083</f>
        <v>29.75</v>
      </c>
      <c r="AB1085" s="34" t="s">
        <v>871</v>
      </c>
      <c r="AC1085" s="158">
        <f>1/AJ1083</f>
        <v>3.3613445378151259E-2</v>
      </c>
      <c r="AD1085" s="155"/>
      <c r="AE1085" s="155"/>
      <c r="AF1085" s="155"/>
      <c r="AG1085" s="155"/>
      <c r="AH1085" s="155"/>
      <c r="AI1085" s="155"/>
      <c r="AJ1085" s="155"/>
      <c r="AK1085" s="155"/>
      <c r="AL1085" s="155"/>
      <c r="AM1085" s="155"/>
      <c r="AN1085" s="155"/>
      <c r="AO1085" s="155"/>
      <c r="AP1085" s="155"/>
      <c r="AQ1085" s="155"/>
      <c r="AR1085" s="155"/>
      <c r="AS1085" s="155"/>
    </row>
    <row r="1086" spans="1:45" ht="12.6" customHeight="1" x14ac:dyDescent="0.3">
      <c r="A1086" s="107"/>
      <c r="B1086" s="107"/>
      <c r="C1086" s="107"/>
      <c r="D1086" s="107"/>
      <c r="E1086" s="107"/>
      <c r="F1086" s="107"/>
      <c r="G1086" s="17" t="s">
        <v>848</v>
      </c>
      <c r="Z1086" s="155"/>
      <c r="AA1086" s="155"/>
      <c r="AB1086" s="155"/>
      <c r="AC1086" s="155"/>
      <c r="AD1086" s="155"/>
      <c r="AE1086" s="155"/>
      <c r="AF1086" s="155"/>
      <c r="AG1086" s="155"/>
      <c r="AH1086" s="155"/>
      <c r="AI1086" s="155"/>
      <c r="AJ1086" s="155"/>
      <c r="AK1086" s="155"/>
      <c r="AL1086" s="155"/>
      <c r="AM1086" s="155"/>
      <c r="AN1086" s="155"/>
      <c r="AO1086" s="155"/>
      <c r="AP1086" s="155"/>
      <c r="AQ1086" s="155"/>
      <c r="AR1086" s="155"/>
      <c r="AS1086" s="155"/>
    </row>
    <row r="1087" spans="1:45" ht="12.6" customHeight="1" x14ac:dyDescent="0.3">
      <c r="A1087" s="84" t="s">
        <v>1187</v>
      </c>
      <c r="B1087" s="146" t="str">
        <f>" 재 료 비  :   "&amp;TEXT(I1087,"#,##0"&amp;IF(I1087&lt;&gt;INT(I1087),".###",""))&amp;" / Q1 = "&amp;TEXT(C1087,"#,##0.0")&amp;""</f>
        <v xml:space="preserve"> 재 료 비  :   8,700 / Q1 = 292.4</v>
      </c>
      <c r="C1087" s="148">
        <f>E1087+D1087+F1087</f>
        <v>292.39999999999998</v>
      </c>
      <c r="D1087" s="148">
        <f>IF(H1087=0,0,ROUNDDOWN(J1087*H1087,1))</f>
        <v>0</v>
      </c>
      <c r="E1087" s="148">
        <f>IF(H1087=0,0,ROUNDDOWN(K1087*H1087,1))</f>
        <v>292.39999999999998</v>
      </c>
      <c r="F1087" s="148">
        <f>IF(H1087=0,0,ROUNDDOWN(L1087*H1087,1))</f>
        <v>0</v>
      </c>
      <c r="G1087" s="17" t="s">
        <v>1186</v>
      </c>
      <c r="H1087" s="152">
        <f>ROUNDUP(AC1087,14-LEN(ABS(INT(AC1087))))</f>
        <v>3.3613445378200005E-2</v>
      </c>
      <c r="I1087" s="153">
        <f>K1087+J1087+L1087</f>
        <v>8700</v>
      </c>
      <c r="K1087" s="37">
        <f>중기목록표!G8</f>
        <v>8700</v>
      </c>
      <c r="M1087" s="34" t="s">
        <v>1185</v>
      </c>
      <c r="N1087" s="34" t="s">
        <v>886</v>
      </c>
      <c r="X1087" s="154" t="str">
        <f>중기목록표!B8&amp;" / "&amp;중기목록표!C8</f>
        <v>덤프트럭 / 4.5톤</v>
      </c>
      <c r="Y1087" s="3" t="str">
        <f ca="1">HYPERLINK("#"&amp;중기목록표!J2&amp;"!A"&amp;ROW(중기목록표!A8),"X00024 →")</f>
        <v>X00024 →</v>
      </c>
      <c r="Z1087" s="34" t="s">
        <v>879</v>
      </c>
      <c r="AA1087" s="158" t="str">
        <f>AJ1083</f>
        <v>29.75</v>
      </c>
      <c r="AB1087" s="34" t="s">
        <v>871</v>
      </c>
      <c r="AC1087" s="158">
        <f>1/AJ1083</f>
        <v>3.3613445378151259E-2</v>
      </c>
      <c r="AD1087" s="155"/>
      <c r="AE1087" s="155"/>
      <c r="AF1087" s="155"/>
      <c r="AG1087" s="155"/>
      <c r="AH1087" s="155"/>
      <c r="AI1087" s="155"/>
      <c r="AJ1087" s="155"/>
      <c r="AK1087" s="155"/>
      <c r="AL1087" s="155"/>
      <c r="AM1087" s="155"/>
      <c r="AN1087" s="155"/>
      <c r="AO1087" s="155"/>
      <c r="AP1087" s="155"/>
      <c r="AQ1087" s="155"/>
      <c r="AR1087" s="155"/>
      <c r="AS1087" s="155"/>
    </row>
    <row r="1088" spans="1:45" ht="12.6" customHeight="1" x14ac:dyDescent="0.3">
      <c r="A1088" s="107"/>
      <c r="B1088" s="107"/>
      <c r="C1088" s="107"/>
      <c r="D1088" s="107"/>
      <c r="E1088" s="107"/>
      <c r="F1088" s="107"/>
      <c r="G1088" s="17" t="s">
        <v>848</v>
      </c>
      <c r="Z1088" s="155"/>
      <c r="AA1088" s="155"/>
      <c r="AB1088" s="155"/>
      <c r="AC1088" s="155"/>
      <c r="AD1088" s="155"/>
      <c r="AE1088" s="155"/>
      <c r="AF1088" s="155"/>
      <c r="AG1088" s="155"/>
      <c r="AH1088" s="155"/>
      <c r="AI1088" s="155"/>
      <c r="AJ1088" s="155"/>
      <c r="AK1088" s="155"/>
      <c r="AL1088" s="155"/>
      <c r="AM1088" s="155"/>
      <c r="AN1088" s="155"/>
      <c r="AO1088" s="155"/>
      <c r="AP1088" s="155"/>
      <c r="AQ1088" s="155"/>
      <c r="AR1088" s="155"/>
      <c r="AS1088" s="155"/>
    </row>
    <row r="1089" spans="1:45" ht="12.6" customHeight="1" x14ac:dyDescent="0.3">
      <c r="A1089" s="84" t="s">
        <v>1189</v>
      </c>
      <c r="B1089" s="146" t="str">
        <f>" 경    비  :   "&amp;TEXT(I1089,"#,##0"&amp;IF(I1089&lt;&gt;INT(I1089),".###",""))&amp;" / Q1 = "&amp;TEXT(C1089,"#,##0.0")&amp;""</f>
        <v xml:space="preserve"> 경    비  :   7,472 / Q1 = 251.1</v>
      </c>
      <c r="C1089" s="148">
        <f>E1089+D1089+F1089</f>
        <v>251.1</v>
      </c>
      <c r="D1089" s="148">
        <f>IF(H1089=0,0,ROUNDDOWN(J1089*H1089,1))</f>
        <v>0</v>
      </c>
      <c r="E1089" s="148">
        <f>IF(H1089=0,0,ROUNDDOWN(K1089*H1089,1))</f>
        <v>0</v>
      </c>
      <c r="F1089" s="148">
        <f>IF(H1089=0,0,ROUNDDOWN(L1089*H1089,1))</f>
        <v>251.1</v>
      </c>
      <c r="G1089" s="17" t="s">
        <v>1188</v>
      </c>
      <c r="H1089" s="152">
        <f>ROUNDUP(AC1089,14-LEN(ABS(INT(AC1089))))</f>
        <v>3.3613445378200005E-2</v>
      </c>
      <c r="I1089" s="153">
        <f>K1089+J1089+L1089</f>
        <v>7472</v>
      </c>
      <c r="L1089" s="37">
        <f>중기목록표!H8</f>
        <v>7472</v>
      </c>
      <c r="M1089" s="34" t="s">
        <v>1185</v>
      </c>
      <c r="N1089" s="34" t="s">
        <v>886</v>
      </c>
      <c r="X1089" s="154" t="str">
        <f>중기목록표!B8&amp;" / "&amp;중기목록표!C8</f>
        <v>덤프트럭 / 4.5톤</v>
      </c>
      <c r="Y1089" s="3" t="str">
        <f ca="1">HYPERLINK("#"&amp;중기목록표!J2&amp;"!A"&amp;ROW(중기목록표!A8),"X00024 →")</f>
        <v>X00024 →</v>
      </c>
      <c r="Z1089" s="34" t="s">
        <v>879</v>
      </c>
      <c r="AA1089" s="158" t="str">
        <f>AJ1083</f>
        <v>29.75</v>
      </c>
      <c r="AB1089" s="34" t="s">
        <v>871</v>
      </c>
      <c r="AC1089" s="158">
        <f>1/AJ1083</f>
        <v>3.3613445378151259E-2</v>
      </c>
      <c r="AD1089" s="155"/>
      <c r="AE1089" s="155"/>
      <c r="AF1089" s="155"/>
      <c r="AG1089" s="155"/>
      <c r="AH1089" s="155"/>
      <c r="AI1089" s="155"/>
      <c r="AJ1089" s="155"/>
      <c r="AK1089" s="155"/>
      <c r="AL1089" s="155"/>
      <c r="AM1089" s="155"/>
      <c r="AN1089" s="155"/>
      <c r="AO1089" s="155"/>
      <c r="AP1089" s="155"/>
      <c r="AQ1089" s="155"/>
      <c r="AR1089" s="155"/>
      <c r="AS1089" s="155"/>
    </row>
    <row r="1090" spans="1:45" ht="12.6" customHeight="1" x14ac:dyDescent="0.3">
      <c r="A1090" s="107"/>
      <c r="B1090" s="107"/>
      <c r="C1090" s="107"/>
      <c r="D1090" s="107"/>
      <c r="E1090" s="107"/>
      <c r="F1090" s="107"/>
      <c r="G1090" s="17" t="s">
        <v>848</v>
      </c>
      <c r="Z1090" s="155"/>
      <c r="AA1090" s="155"/>
      <c r="AB1090" s="155"/>
      <c r="AC1090" s="155"/>
      <c r="AD1090" s="155"/>
      <c r="AE1090" s="155"/>
      <c r="AF1090" s="155"/>
      <c r="AG1090" s="155"/>
      <c r="AH1090" s="155"/>
      <c r="AI1090" s="155"/>
      <c r="AJ1090" s="155"/>
      <c r="AK1090" s="155"/>
      <c r="AL1090" s="155"/>
      <c r="AM1090" s="155"/>
      <c r="AN1090" s="155"/>
      <c r="AO1090" s="155"/>
      <c r="AP1090" s="155"/>
      <c r="AQ1090" s="155"/>
      <c r="AR1090" s="155"/>
      <c r="AS1090" s="155"/>
    </row>
    <row r="1091" spans="1:45" ht="12.6" customHeight="1" x14ac:dyDescent="0.3">
      <c r="A1091" s="84"/>
      <c r="B1091" s="41" t="s">
        <v>885</v>
      </c>
      <c r="C1091" s="149">
        <f>E1091+D1091+F1091</f>
        <v>2206.6</v>
      </c>
      <c r="D1091" s="149">
        <f>SUMIF(N1066:N1090,M1091,D1066:D1090)</f>
        <v>1663.1</v>
      </c>
      <c r="E1091" s="149">
        <f>SUMIF(N1066:N1090,M1091,E1066:E1090)</f>
        <v>292.39999999999998</v>
      </c>
      <c r="F1091" s="149">
        <f>SUMIF(N1066:N1090,M1091,F1066:F1090)</f>
        <v>251.1</v>
      </c>
      <c r="G1091" s="17" t="s">
        <v>884</v>
      </c>
      <c r="M1091" s="34" t="s">
        <v>886</v>
      </c>
      <c r="N1091" s="34" t="s">
        <v>891</v>
      </c>
      <c r="Z1091" s="155"/>
      <c r="AA1091" s="155"/>
      <c r="AB1091" s="155"/>
      <c r="AC1091" s="155"/>
      <c r="AD1091" s="155"/>
      <c r="AE1091" s="155"/>
      <c r="AF1091" s="155"/>
      <c r="AG1091" s="155"/>
      <c r="AH1091" s="155"/>
      <c r="AI1091" s="155"/>
      <c r="AJ1091" s="155"/>
      <c r="AK1091" s="155"/>
      <c r="AL1091" s="155"/>
      <c r="AM1091" s="155"/>
      <c r="AN1091" s="155"/>
      <c r="AO1091" s="155"/>
      <c r="AP1091" s="155"/>
      <c r="AQ1091" s="155"/>
      <c r="AR1091" s="155"/>
      <c r="AS1091" s="155"/>
    </row>
    <row r="1092" spans="1:45" ht="12.6" customHeight="1" x14ac:dyDescent="0.3">
      <c r="A1092" s="107"/>
      <c r="B1092" s="107"/>
      <c r="C1092" s="147"/>
      <c r="D1092" s="147"/>
      <c r="E1092" s="147"/>
      <c r="F1092" s="147"/>
      <c r="G1092" s="17" t="s">
        <v>848</v>
      </c>
      <c r="Z1092" s="155"/>
      <c r="AA1092" s="155"/>
      <c r="AB1092" s="155"/>
      <c r="AC1092" s="155"/>
      <c r="AD1092" s="155"/>
      <c r="AE1092" s="155"/>
      <c r="AF1092" s="155"/>
      <c r="AG1092" s="155"/>
      <c r="AH1092" s="155"/>
      <c r="AI1092" s="155"/>
      <c r="AJ1092" s="155"/>
      <c r="AK1092" s="155"/>
      <c r="AL1092" s="155"/>
      <c r="AM1092" s="155"/>
      <c r="AN1092" s="155"/>
      <c r="AO1092" s="155"/>
      <c r="AP1092" s="155"/>
      <c r="AQ1092" s="155"/>
      <c r="AR1092" s="155"/>
      <c r="AS1092" s="155"/>
    </row>
    <row r="1093" spans="1:45" ht="12.6" customHeight="1" x14ac:dyDescent="0.3">
      <c r="A1093" s="84"/>
      <c r="B1093" s="41" t="s">
        <v>769</v>
      </c>
      <c r="C1093" s="149">
        <f>E1093+D1093+F1093</f>
        <v>3991.2999999999997</v>
      </c>
      <c r="D1093" s="149">
        <f>SUMIF(N1045:N1092,M1093,D1045:D1092)</f>
        <v>2692.8999999999996</v>
      </c>
      <c r="E1093" s="149">
        <f>SUMIF(N1045:N1092,M1093,E1045:E1092)</f>
        <v>614.29999999999995</v>
      </c>
      <c r="F1093" s="149">
        <f>SUMIF(N1045:N1092,M1093,F1045:F1092)</f>
        <v>684.1</v>
      </c>
      <c r="G1093" s="17" t="s">
        <v>890</v>
      </c>
      <c r="M1093" s="34" t="s">
        <v>891</v>
      </c>
      <c r="N1093" s="34" t="s">
        <v>768</v>
      </c>
      <c r="Z1093" s="155"/>
      <c r="AA1093" s="155"/>
      <c r="AB1093" s="155"/>
      <c r="AC1093" s="155"/>
      <c r="AD1093" s="155"/>
      <c r="AE1093" s="155"/>
      <c r="AF1093" s="155"/>
      <c r="AG1093" s="155"/>
      <c r="AH1093" s="155"/>
      <c r="AI1093" s="155"/>
      <c r="AJ1093" s="155"/>
      <c r="AK1093" s="155"/>
      <c r="AL1093" s="155"/>
      <c r="AM1093" s="155"/>
      <c r="AN1093" s="155"/>
      <c r="AO1093" s="155"/>
      <c r="AP1093" s="155"/>
      <c r="AQ1093" s="155"/>
      <c r="AR1093" s="155"/>
      <c r="AS1093" s="155"/>
    </row>
    <row r="1094" spans="1:45" ht="12.6" customHeight="1" x14ac:dyDescent="0.3">
      <c r="A1094" s="107"/>
      <c r="B1094" s="107"/>
      <c r="C1094" s="147"/>
      <c r="D1094" s="147"/>
      <c r="E1094" s="147"/>
      <c r="F1094" s="147"/>
      <c r="Z1094" s="155"/>
      <c r="AA1094" s="155"/>
      <c r="AB1094" s="155"/>
      <c r="AC1094" s="155"/>
      <c r="AD1094" s="155"/>
      <c r="AE1094" s="155"/>
      <c r="AF1094" s="155"/>
      <c r="AG1094" s="155"/>
      <c r="AH1094" s="155"/>
      <c r="AI1094" s="155"/>
      <c r="AJ1094" s="155"/>
      <c r="AK1094" s="155"/>
      <c r="AL1094" s="155"/>
      <c r="AM1094" s="155"/>
      <c r="AN1094" s="155"/>
      <c r="AO1094" s="155"/>
      <c r="AP1094" s="155"/>
      <c r="AQ1094" s="155"/>
      <c r="AR1094" s="155"/>
      <c r="AS1094" s="155"/>
    </row>
    <row r="1095" spans="1:45" ht="12.6" customHeight="1" x14ac:dyDescent="0.3">
      <c r="A1095" s="107"/>
      <c r="B1095" s="107"/>
      <c r="C1095" s="107"/>
      <c r="D1095" s="107"/>
      <c r="E1095" s="107"/>
      <c r="F1095" s="107"/>
      <c r="Z1095" s="155"/>
      <c r="AA1095" s="155"/>
      <c r="AB1095" s="155"/>
      <c r="AC1095" s="155"/>
      <c r="AD1095" s="155"/>
      <c r="AE1095" s="155"/>
      <c r="AF1095" s="155"/>
      <c r="AG1095" s="155"/>
      <c r="AH1095" s="155"/>
      <c r="AI1095" s="155"/>
      <c r="AJ1095" s="155"/>
      <c r="AK1095" s="155"/>
      <c r="AL1095" s="155"/>
      <c r="AM1095" s="155"/>
      <c r="AN1095" s="155"/>
      <c r="AO1095" s="155"/>
      <c r="AP1095" s="155"/>
      <c r="AQ1095" s="155"/>
      <c r="AR1095" s="155"/>
      <c r="AS1095" s="155"/>
    </row>
    <row r="1096" spans="1:45" ht="12.6" customHeight="1" x14ac:dyDescent="0.3">
      <c r="A1096" s="107"/>
      <c r="B1096" s="107"/>
      <c r="C1096" s="107"/>
      <c r="D1096" s="107"/>
      <c r="E1096" s="107"/>
      <c r="F1096" s="107"/>
      <c r="Z1096" s="155"/>
      <c r="AA1096" s="155"/>
      <c r="AB1096" s="155"/>
      <c r="AC1096" s="155"/>
      <c r="AD1096" s="155"/>
      <c r="AE1096" s="155"/>
      <c r="AF1096" s="155"/>
      <c r="AG1096" s="155"/>
      <c r="AH1096" s="155"/>
      <c r="AI1096" s="155"/>
      <c r="AJ1096" s="155"/>
      <c r="AK1096" s="155"/>
      <c r="AL1096" s="155"/>
      <c r="AM1096" s="155"/>
      <c r="AN1096" s="155"/>
      <c r="AO1096" s="155"/>
      <c r="AP1096" s="155"/>
      <c r="AQ1096" s="155"/>
      <c r="AR1096" s="155"/>
      <c r="AS1096" s="155"/>
    </row>
    <row r="1097" spans="1:45" ht="12.6" customHeight="1" x14ac:dyDescent="0.3">
      <c r="A1097" s="107"/>
      <c r="B1097" s="107"/>
      <c r="C1097" s="107"/>
      <c r="D1097" s="107"/>
      <c r="E1097" s="107"/>
      <c r="F1097" s="107"/>
      <c r="Z1097" s="155"/>
      <c r="AA1097" s="155"/>
      <c r="AB1097" s="155"/>
      <c r="AC1097" s="155"/>
      <c r="AD1097" s="155"/>
      <c r="AE1097" s="155"/>
      <c r="AF1097" s="155"/>
      <c r="AG1097" s="155"/>
      <c r="AH1097" s="155"/>
      <c r="AI1097" s="155"/>
      <c r="AJ1097" s="155"/>
      <c r="AK1097" s="155"/>
      <c r="AL1097" s="155"/>
      <c r="AM1097" s="155"/>
      <c r="AN1097" s="155"/>
      <c r="AO1097" s="155"/>
      <c r="AP1097" s="155"/>
      <c r="AQ1097" s="155"/>
      <c r="AR1097" s="155"/>
      <c r="AS1097" s="155"/>
    </row>
    <row r="1098" spans="1:45" ht="12.6" customHeight="1" x14ac:dyDescent="0.3">
      <c r="A1098" s="107"/>
      <c r="B1098" s="107"/>
      <c r="C1098" s="107"/>
      <c r="D1098" s="107"/>
      <c r="E1098" s="107"/>
      <c r="F1098" s="107"/>
      <c r="Z1098" s="155"/>
      <c r="AA1098" s="155"/>
      <c r="AB1098" s="155"/>
      <c r="AC1098" s="155"/>
      <c r="AD1098" s="155"/>
      <c r="AE1098" s="155"/>
      <c r="AF1098" s="155"/>
      <c r="AG1098" s="155"/>
      <c r="AH1098" s="155"/>
      <c r="AI1098" s="155"/>
      <c r="AJ1098" s="155"/>
      <c r="AK1098" s="155"/>
      <c r="AL1098" s="155"/>
      <c r="AM1098" s="155"/>
      <c r="AN1098" s="155"/>
      <c r="AO1098" s="155"/>
      <c r="AP1098" s="155"/>
      <c r="AQ1098" s="155"/>
      <c r="AR1098" s="155"/>
      <c r="AS1098" s="155"/>
    </row>
    <row r="1099" spans="1:45" ht="12.6" customHeight="1" x14ac:dyDescent="0.3">
      <c r="A1099" s="107"/>
      <c r="B1099" s="107"/>
      <c r="C1099" s="107"/>
      <c r="D1099" s="107"/>
      <c r="E1099" s="107"/>
      <c r="F1099" s="107"/>
      <c r="Z1099" s="155"/>
      <c r="AA1099" s="155"/>
      <c r="AB1099" s="155"/>
      <c r="AC1099" s="155"/>
      <c r="AD1099" s="155"/>
      <c r="AE1099" s="155"/>
      <c r="AF1099" s="155"/>
      <c r="AG1099" s="155"/>
      <c r="AH1099" s="155"/>
      <c r="AI1099" s="155"/>
      <c r="AJ1099" s="155"/>
      <c r="AK1099" s="155"/>
      <c r="AL1099" s="155"/>
      <c r="AM1099" s="155"/>
      <c r="AN1099" s="155"/>
      <c r="AO1099" s="155"/>
      <c r="AP1099" s="155"/>
      <c r="AQ1099" s="155"/>
      <c r="AR1099" s="155"/>
      <c r="AS1099" s="155"/>
    </row>
    <row r="1100" spans="1:45" ht="12.6" customHeight="1" x14ac:dyDescent="0.3">
      <c r="A1100" s="107"/>
      <c r="B1100" s="107"/>
      <c r="C1100" s="107"/>
      <c r="D1100" s="107"/>
      <c r="E1100" s="107"/>
      <c r="F1100" s="107"/>
      <c r="Z1100" s="155"/>
      <c r="AA1100" s="155"/>
      <c r="AB1100" s="155"/>
      <c r="AC1100" s="155"/>
      <c r="AD1100" s="155"/>
      <c r="AE1100" s="155"/>
      <c r="AF1100" s="155"/>
      <c r="AG1100" s="155"/>
      <c r="AH1100" s="155"/>
      <c r="AI1100" s="155"/>
      <c r="AJ1100" s="155"/>
      <c r="AK1100" s="155"/>
      <c r="AL1100" s="155"/>
      <c r="AM1100" s="155"/>
      <c r="AN1100" s="155"/>
      <c r="AO1100" s="155"/>
      <c r="AP1100" s="155"/>
      <c r="AQ1100" s="155"/>
      <c r="AR1100" s="155"/>
      <c r="AS1100" s="155"/>
    </row>
    <row r="1101" spans="1:45" ht="12.6" customHeight="1" x14ac:dyDescent="0.3">
      <c r="A1101" s="107"/>
      <c r="B1101" s="107"/>
      <c r="C1101" s="107"/>
      <c r="D1101" s="107"/>
      <c r="E1101" s="107"/>
      <c r="F1101" s="107"/>
      <c r="Z1101" s="155"/>
      <c r="AA1101" s="155"/>
      <c r="AB1101" s="155"/>
      <c r="AC1101" s="155"/>
      <c r="AD1101" s="155"/>
      <c r="AE1101" s="155"/>
      <c r="AF1101" s="155"/>
      <c r="AG1101" s="155"/>
      <c r="AH1101" s="155"/>
      <c r="AI1101" s="155"/>
      <c r="AJ1101" s="155"/>
      <c r="AK1101" s="155"/>
      <c r="AL1101" s="155"/>
      <c r="AM1101" s="155"/>
      <c r="AN1101" s="155"/>
      <c r="AO1101" s="155"/>
      <c r="AP1101" s="155"/>
      <c r="AQ1101" s="155"/>
      <c r="AR1101" s="155"/>
      <c r="AS1101" s="155"/>
    </row>
    <row r="1102" spans="1:45" ht="12.6" customHeight="1" x14ac:dyDescent="0.3">
      <c r="A1102" s="107"/>
      <c r="B1102" s="107"/>
      <c r="C1102" s="107"/>
      <c r="D1102" s="107"/>
      <c r="E1102" s="107"/>
      <c r="F1102" s="107"/>
      <c r="Z1102" s="155"/>
      <c r="AA1102" s="155"/>
      <c r="AB1102" s="155"/>
      <c r="AC1102" s="155"/>
      <c r="AD1102" s="155"/>
      <c r="AE1102" s="155"/>
      <c r="AF1102" s="155"/>
      <c r="AG1102" s="155"/>
      <c r="AH1102" s="155"/>
      <c r="AI1102" s="155"/>
      <c r="AJ1102" s="155"/>
      <c r="AK1102" s="155"/>
      <c r="AL1102" s="155"/>
      <c r="AM1102" s="155"/>
      <c r="AN1102" s="155"/>
      <c r="AO1102" s="155"/>
      <c r="AP1102" s="155"/>
      <c r="AQ1102" s="155"/>
      <c r="AR1102" s="155"/>
      <c r="AS1102" s="155"/>
    </row>
    <row r="1103" spans="1:45" ht="12.6" customHeight="1" x14ac:dyDescent="0.3">
      <c r="A1103" s="107"/>
      <c r="B1103" s="107"/>
      <c r="C1103" s="107"/>
      <c r="D1103" s="107"/>
      <c r="E1103" s="107"/>
      <c r="F1103" s="107"/>
      <c r="Z1103" s="155"/>
      <c r="AA1103" s="155"/>
      <c r="AB1103" s="155"/>
      <c r="AC1103" s="155"/>
      <c r="AD1103" s="155"/>
      <c r="AE1103" s="155"/>
      <c r="AF1103" s="155"/>
      <c r="AG1103" s="155"/>
      <c r="AH1103" s="155"/>
      <c r="AI1103" s="155"/>
      <c r="AJ1103" s="155"/>
      <c r="AK1103" s="155"/>
      <c r="AL1103" s="155"/>
      <c r="AM1103" s="155"/>
      <c r="AN1103" s="155"/>
      <c r="AO1103" s="155"/>
      <c r="AP1103" s="155"/>
      <c r="AQ1103" s="155"/>
      <c r="AR1103" s="155"/>
      <c r="AS1103" s="155"/>
    </row>
    <row r="1104" spans="1:45" ht="12.6" customHeight="1" x14ac:dyDescent="0.3">
      <c r="A1104" s="107"/>
      <c r="B1104" s="107"/>
      <c r="C1104" s="107"/>
      <c r="D1104" s="107"/>
      <c r="E1104" s="107"/>
      <c r="F1104" s="107"/>
      <c r="Z1104" s="155"/>
      <c r="AA1104" s="155"/>
      <c r="AB1104" s="155"/>
      <c r="AC1104" s="155"/>
      <c r="AD1104" s="155"/>
      <c r="AE1104" s="155"/>
      <c r="AF1104" s="155"/>
      <c r="AG1104" s="155"/>
      <c r="AH1104" s="155"/>
      <c r="AI1104" s="155"/>
      <c r="AJ1104" s="155"/>
      <c r="AK1104" s="155"/>
      <c r="AL1104" s="155"/>
      <c r="AM1104" s="155"/>
      <c r="AN1104" s="155"/>
      <c r="AO1104" s="155"/>
      <c r="AP1104" s="155"/>
      <c r="AQ1104" s="155"/>
      <c r="AR1104" s="155"/>
      <c r="AS1104" s="155"/>
    </row>
    <row r="1105" spans="1:45" ht="12.6" customHeight="1" x14ac:dyDescent="0.3">
      <c r="A1105" s="107"/>
      <c r="B1105" s="107"/>
      <c r="C1105" s="107"/>
      <c r="D1105" s="107"/>
      <c r="E1105" s="107"/>
      <c r="F1105" s="107"/>
      <c r="Z1105" s="155"/>
      <c r="AA1105" s="155"/>
      <c r="AB1105" s="155"/>
      <c r="AC1105" s="155"/>
      <c r="AD1105" s="155"/>
      <c r="AE1105" s="155"/>
      <c r="AF1105" s="155"/>
      <c r="AG1105" s="155"/>
      <c r="AH1105" s="155"/>
      <c r="AI1105" s="155"/>
      <c r="AJ1105" s="155"/>
      <c r="AK1105" s="155"/>
      <c r="AL1105" s="155"/>
      <c r="AM1105" s="155"/>
      <c r="AN1105" s="155"/>
      <c r="AO1105" s="155"/>
      <c r="AP1105" s="155"/>
      <c r="AQ1105" s="155"/>
      <c r="AR1105" s="155"/>
      <c r="AS1105" s="155"/>
    </row>
    <row r="1106" spans="1:45" ht="12.6" customHeight="1" x14ac:dyDescent="0.3">
      <c r="A1106" s="107"/>
      <c r="B1106" s="107"/>
      <c r="C1106" s="107"/>
      <c r="D1106" s="107"/>
      <c r="E1106" s="107"/>
      <c r="F1106" s="107"/>
      <c r="Z1106" s="155"/>
      <c r="AA1106" s="155"/>
      <c r="AB1106" s="155"/>
      <c r="AC1106" s="155"/>
      <c r="AD1106" s="155"/>
      <c r="AE1106" s="155"/>
      <c r="AF1106" s="155"/>
      <c r="AG1106" s="155"/>
      <c r="AH1106" s="155"/>
      <c r="AI1106" s="155"/>
      <c r="AJ1106" s="155"/>
      <c r="AK1106" s="155"/>
      <c r="AL1106" s="155"/>
      <c r="AM1106" s="155"/>
      <c r="AN1106" s="155"/>
      <c r="AO1106" s="155"/>
      <c r="AP1106" s="155"/>
      <c r="AQ1106" s="155"/>
      <c r="AR1106" s="155"/>
      <c r="AS1106" s="155"/>
    </row>
    <row r="1107" spans="1:45" ht="12.6" customHeight="1" x14ac:dyDescent="0.3">
      <c r="A1107" s="107"/>
      <c r="B1107" s="107"/>
      <c r="C1107" s="107"/>
      <c r="D1107" s="107"/>
      <c r="E1107" s="107"/>
      <c r="F1107" s="107"/>
      <c r="Z1107" s="155"/>
      <c r="AA1107" s="155"/>
      <c r="AB1107" s="155"/>
      <c r="AC1107" s="155"/>
      <c r="AD1107" s="155"/>
      <c r="AE1107" s="155"/>
      <c r="AF1107" s="155"/>
      <c r="AG1107" s="155"/>
      <c r="AH1107" s="155"/>
      <c r="AI1107" s="155"/>
      <c r="AJ1107" s="155"/>
      <c r="AK1107" s="155"/>
      <c r="AL1107" s="155"/>
      <c r="AM1107" s="155"/>
      <c r="AN1107" s="155"/>
      <c r="AO1107" s="155"/>
      <c r="AP1107" s="155"/>
      <c r="AQ1107" s="155"/>
      <c r="AR1107" s="155"/>
      <c r="AS1107" s="155"/>
    </row>
    <row r="1108" spans="1:45" ht="12.6" customHeight="1" x14ac:dyDescent="0.3">
      <c r="A1108" s="107"/>
      <c r="B1108" s="107"/>
      <c r="C1108" s="107"/>
      <c r="D1108" s="107"/>
      <c r="E1108" s="107"/>
      <c r="F1108" s="107"/>
      <c r="Z1108" s="155"/>
      <c r="AA1108" s="155"/>
      <c r="AB1108" s="155"/>
      <c r="AC1108" s="155"/>
      <c r="AD1108" s="155"/>
      <c r="AE1108" s="155"/>
      <c r="AF1108" s="155"/>
      <c r="AG1108" s="155"/>
      <c r="AH1108" s="155"/>
      <c r="AI1108" s="155"/>
      <c r="AJ1108" s="155"/>
      <c r="AK1108" s="155"/>
      <c r="AL1108" s="155"/>
      <c r="AM1108" s="155"/>
      <c r="AN1108" s="155"/>
      <c r="AO1108" s="155"/>
      <c r="AP1108" s="155"/>
      <c r="AQ1108" s="155"/>
      <c r="AR1108" s="155"/>
      <c r="AS1108" s="155"/>
    </row>
    <row r="1109" spans="1:45" ht="12.6" customHeight="1" x14ac:dyDescent="0.3">
      <c r="A1109" s="123"/>
      <c r="B1109" s="123"/>
      <c r="C1109" s="123"/>
      <c r="D1109" s="123"/>
      <c r="E1109" s="123"/>
      <c r="F1109" s="123"/>
      <c r="Z1109" s="155"/>
      <c r="AA1109" s="155"/>
      <c r="AB1109" s="155"/>
      <c r="AC1109" s="155"/>
      <c r="AD1109" s="155"/>
      <c r="AE1109" s="155"/>
      <c r="AF1109" s="155"/>
      <c r="AG1109" s="155"/>
      <c r="AH1109" s="155"/>
      <c r="AI1109" s="155"/>
      <c r="AJ1109" s="155"/>
      <c r="AK1109" s="155"/>
      <c r="AL1109" s="155"/>
      <c r="AM1109" s="155"/>
      <c r="AN1109" s="155"/>
      <c r="AO1109" s="155"/>
      <c r="AP1109" s="155"/>
      <c r="AQ1109" s="155"/>
      <c r="AR1109" s="155"/>
      <c r="AS1109" s="155"/>
    </row>
    <row r="1110" spans="1:45" ht="12.6" customHeight="1" x14ac:dyDescent="0.3">
      <c r="A1110" s="193" t="s">
        <v>1107</v>
      </c>
      <c r="B1110" s="194"/>
      <c r="C1110" s="99">
        <f>E1110+D1110+F1110</f>
        <v>3990</v>
      </c>
      <c r="D1110" s="12">
        <v>0</v>
      </c>
      <c r="E1110" s="13">
        <v>0</v>
      </c>
      <c r="F1110" s="99">
        <f>ROUNDDOWN(SUMIF(N1045:N1093,M1110,E1045:E1093),0)+ROUNDDOWN(SUMIF(N1045:N1093,M1110,D1045:D1093),0)+ROUNDDOWN(SUMIF(N1045:N1093,M1110,F1045:F1093),0)</f>
        <v>3990</v>
      </c>
      <c r="M1110" s="34" t="s">
        <v>768</v>
      </c>
      <c r="N1110" s="34" t="s">
        <v>770</v>
      </c>
      <c r="Z1110" s="155"/>
      <c r="AA1110" s="155"/>
      <c r="AB1110" s="155"/>
      <c r="AC1110" s="155"/>
      <c r="AD1110" s="155"/>
      <c r="AE1110" s="155"/>
      <c r="AF1110" s="155"/>
      <c r="AG1110" s="155"/>
      <c r="AH1110" s="155"/>
      <c r="AI1110" s="155"/>
      <c r="AJ1110" s="155"/>
      <c r="AK1110" s="155"/>
      <c r="AL1110" s="155"/>
      <c r="AM1110" s="155"/>
      <c r="AN1110" s="155"/>
      <c r="AO1110" s="155"/>
      <c r="AP1110" s="155"/>
      <c r="AQ1110" s="155"/>
      <c r="AR1110" s="155"/>
      <c r="AS1110" s="155"/>
    </row>
    <row r="1111" spans="1:45" ht="12.6" customHeight="1" x14ac:dyDescent="0.3">
      <c r="A1111" s="193" t="s">
        <v>1046</v>
      </c>
      <c r="B1111" s="194"/>
      <c r="C1111" s="99">
        <f>E1111+D1111+F1111</f>
        <v>3511</v>
      </c>
      <c r="D1111" s="121">
        <f>ROUNDDOWN(D1110*H1111/100,0)</f>
        <v>0</v>
      </c>
      <c r="E1111" s="120">
        <f>ROUNDDOWN(E1110*H1111/100,0)</f>
        <v>0</v>
      </c>
      <c r="F1111" s="99">
        <f>ROUNDDOWN(F1110*H1111/100,0)</f>
        <v>3511</v>
      </c>
      <c r="H1111" s="35">
        <v>88</v>
      </c>
      <c r="M1111" s="34" t="s">
        <v>770</v>
      </c>
      <c r="Z1111" s="155"/>
      <c r="AA1111" s="155"/>
      <c r="AB1111" s="155"/>
      <c r="AC1111" s="155"/>
      <c r="AD1111" s="155"/>
      <c r="AE1111" s="155"/>
      <c r="AF1111" s="155"/>
      <c r="AG1111" s="155"/>
      <c r="AH1111" s="155"/>
      <c r="AI1111" s="155"/>
      <c r="AJ1111" s="155"/>
      <c r="AK1111" s="155"/>
      <c r="AL1111" s="155"/>
      <c r="AM1111" s="155"/>
      <c r="AN1111" s="155"/>
      <c r="AO1111" s="155"/>
      <c r="AP1111" s="155"/>
      <c r="AQ1111" s="155"/>
      <c r="AR1111" s="155"/>
      <c r="AS1111" s="155"/>
    </row>
  </sheetData>
  <mergeCells count="96">
    <mergeCell ref="A1110:B1110"/>
    <mergeCell ref="A1111:B1111"/>
    <mergeCell ref="C1008:C1009"/>
    <mergeCell ref="D1008:D1009"/>
    <mergeCell ref="E1008:E1009"/>
    <mergeCell ref="F1008:F1009"/>
    <mergeCell ref="A1042:B1042"/>
    <mergeCell ref="C1043:C1044"/>
    <mergeCell ref="D1043:D1044"/>
    <mergeCell ref="E1043:E1044"/>
    <mergeCell ref="F1043:F1044"/>
    <mergeCell ref="C939:C940"/>
    <mergeCell ref="D939:D940"/>
    <mergeCell ref="E939:E940"/>
    <mergeCell ref="F939:F940"/>
    <mergeCell ref="A1006:B1006"/>
    <mergeCell ref="A1007:B1007"/>
    <mergeCell ref="C870:C871"/>
    <mergeCell ref="D870:D871"/>
    <mergeCell ref="E870:E871"/>
    <mergeCell ref="F870:F871"/>
    <mergeCell ref="A937:B937"/>
    <mergeCell ref="A938:B938"/>
    <mergeCell ref="C801:C802"/>
    <mergeCell ref="D801:D802"/>
    <mergeCell ref="E801:E802"/>
    <mergeCell ref="F801:F802"/>
    <mergeCell ref="A868:B868"/>
    <mergeCell ref="A869:B869"/>
    <mergeCell ref="C732:C733"/>
    <mergeCell ref="D732:D733"/>
    <mergeCell ref="E732:E733"/>
    <mergeCell ref="F732:F733"/>
    <mergeCell ref="A799:B799"/>
    <mergeCell ref="A800:B800"/>
    <mergeCell ref="C698:C699"/>
    <mergeCell ref="D698:D699"/>
    <mergeCell ref="E698:E699"/>
    <mergeCell ref="F698:F699"/>
    <mergeCell ref="A730:B730"/>
    <mergeCell ref="A731:B731"/>
    <mergeCell ref="C629:C630"/>
    <mergeCell ref="D629:D630"/>
    <mergeCell ref="E629:E630"/>
    <mergeCell ref="F629:F630"/>
    <mergeCell ref="A696:B696"/>
    <mergeCell ref="A697:B697"/>
    <mergeCell ref="C595:C596"/>
    <mergeCell ref="D595:D596"/>
    <mergeCell ref="E595:E596"/>
    <mergeCell ref="F595:F596"/>
    <mergeCell ref="A627:B627"/>
    <mergeCell ref="A628:B628"/>
    <mergeCell ref="C456:C457"/>
    <mergeCell ref="D456:D457"/>
    <mergeCell ref="E456:E457"/>
    <mergeCell ref="F456:F457"/>
    <mergeCell ref="A593:B593"/>
    <mergeCell ref="A594:B594"/>
    <mergeCell ref="C317:C318"/>
    <mergeCell ref="D317:D318"/>
    <mergeCell ref="E317:E318"/>
    <mergeCell ref="F317:F318"/>
    <mergeCell ref="A454:B454"/>
    <mergeCell ref="A455:B455"/>
    <mergeCell ref="C178:C179"/>
    <mergeCell ref="D178:D179"/>
    <mergeCell ref="E178:E179"/>
    <mergeCell ref="F178:F179"/>
    <mergeCell ref="A315:B315"/>
    <mergeCell ref="A316:B316"/>
    <mergeCell ref="C144:C145"/>
    <mergeCell ref="D144:D145"/>
    <mergeCell ref="E144:E145"/>
    <mergeCell ref="F144:F145"/>
    <mergeCell ref="A176:B176"/>
    <mergeCell ref="A177:B177"/>
    <mergeCell ref="C75:C76"/>
    <mergeCell ref="D75:D76"/>
    <mergeCell ref="E75:E76"/>
    <mergeCell ref="F75:F76"/>
    <mergeCell ref="A142:B142"/>
    <mergeCell ref="A143:B143"/>
    <mergeCell ref="Z3:AS4"/>
    <mergeCell ref="C5:C6"/>
    <mergeCell ref="D5:D6"/>
    <mergeCell ref="E5:E6"/>
    <mergeCell ref="F5:F6"/>
    <mergeCell ref="A74:B74"/>
    <mergeCell ref="A1:F1"/>
    <mergeCell ref="A3:A4"/>
    <mergeCell ref="B3:B4"/>
    <mergeCell ref="C3:C4"/>
    <mergeCell ref="D3:D4"/>
    <mergeCell ref="E3:E4"/>
    <mergeCell ref="F3:F4"/>
  </mergeCells>
  <phoneticPr fontId="25" type="noConversion"/>
  <conditionalFormatting sqref="C5:F1111">
    <cfRule type="expression" dxfId="1" priority="1" stopIfTrue="1">
      <formula>AND(C5&lt;&gt;0,INT(C5)=C5)</formula>
    </cfRule>
  </conditionalFormatting>
  <hyperlinks>
    <hyperlink ref="Y1" r:id="rId1" tooltip="설계예산시스템(STmate w25.05)으로 작성 하였으며,_x000a_엑셀 인쇄품질 600 dpi에 최적화 되어 있습니다._x000a_경영정보(주) http://www.stma.co.kr_x000a_Tel) 070-4350-0040_x000a_Fax) 0505-300-3948"/>
    <hyperlink ref="G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fitToWidth="0" fitToHeight="0" orientation="landscape" r:id="rId3"/>
  <headerFooter alignWithMargins="0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ySplit="3" topLeftCell="A4" activePane="bottomLeft" state="frozenSplit"/>
      <selection pane="bottomLeft" activeCell="A4" sqref="A4:A5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9" width="13" style="6" customWidth="1"/>
    <col min="10" max="10" width="10" style="6" customWidth="1"/>
    <col min="11" max="11" width="9.125" style="6" hidden="1" customWidth="1"/>
    <col min="12" max="12" width="9.125" style="18" customWidth="1"/>
    <col min="13" max="16384" width="9.125" style="6"/>
  </cols>
  <sheetData>
    <row r="1" spans="1:12" ht="24.95" customHeight="1" x14ac:dyDescent="0.3">
      <c r="A1" s="183" t="s">
        <v>1250</v>
      </c>
      <c r="B1" s="182"/>
      <c r="C1" s="182"/>
      <c r="D1" s="182"/>
      <c r="E1" s="182"/>
      <c r="F1" s="182"/>
      <c r="G1" s="182"/>
      <c r="H1" s="182"/>
      <c r="I1" s="182"/>
      <c r="J1" s="182"/>
      <c r="K1" s="5" t="s">
        <v>47</v>
      </c>
      <c r="L1" s="19" t="s">
        <v>47</v>
      </c>
    </row>
    <row r="2" spans="1:12" ht="24.95" customHeight="1" x14ac:dyDescent="0.3">
      <c r="A2" s="1" t="s">
        <v>1</v>
      </c>
      <c r="K2" s="20" t="str">
        <f ca="1">MID(CELL("filename",$A$1),FIND("]",CELL("filename",$A$1))+1,LEN(CELL("filename",$A$1)))</f>
        <v>단가산출근거수량금액집계표</v>
      </c>
    </row>
    <row r="3" spans="1:12" ht="24.95" customHeight="1" x14ac:dyDescent="0.3">
      <c r="A3" s="8" t="s">
        <v>2</v>
      </c>
      <c r="B3" s="8" t="s">
        <v>3</v>
      </c>
      <c r="C3" s="8" t="s">
        <v>4</v>
      </c>
      <c r="D3" s="8" t="s">
        <v>255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4" t="s">
        <v>10</v>
      </c>
      <c r="L3" s="3" t="str">
        <f>HYPERLINK("#'〓 목 차 〓'!B2","목차 →")</f>
        <v>목차 →</v>
      </c>
    </row>
    <row r="4" spans="1:12" ht="24.95" customHeight="1" x14ac:dyDescent="0.3">
      <c r="A4" s="227" t="s">
        <v>1251</v>
      </c>
      <c r="B4" s="228" t="s">
        <v>50</v>
      </c>
      <c r="C4" s="228" t="s">
        <v>51</v>
      </c>
      <c r="D4" s="70">
        <v>0</v>
      </c>
      <c r="E4" s="229" t="s">
        <v>52</v>
      </c>
      <c r="F4" s="58">
        <f t="shared" ref="F4:F33" si="0">H4+G4+I4</f>
        <v>0</v>
      </c>
      <c r="G4" s="54">
        <f>ROUND(D4*단가산출근거목록표!F4,0)</f>
        <v>0</v>
      </c>
      <c r="H4" s="85">
        <f>ROUND(D4*단가산출근거목록표!G4,0)</f>
        <v>0</v>
      </c>
      <c r="I4" s="58">
        <f>ROUND(D4*단가산출근거목록표!H4,0)</f>
        <v>0</v>
      </c>
      <c r="J4" s="230" t="s">
        <v>1251</v>
      </c>
      <c r="L4" s="3" t="str">
        <f ca="1">HYPERLINK("#"&amp;단가산출근거목록표!J2&amp;"!A"&amp;ROW(단가산출근거목록표!A4),"D00150 →")</f>
        <v>D00150 →</v>
      </c>
    </row>
    <row r="5" spans="1:12" ht="24.95" customHeight="1" x14ac:dyDescent="0.3">
      <c r="A5" s="217"/>
      <c r="B5" s="217"/>
      <c r="C5" s="217"/>
      <c r="D5" s="142">
        <v>0.92</v>
      </c>
      <c r="E5" s="202"/>
      <c r="F5" s="59">
        <f t="shared" si="0"/>
        <v>19136</v>
      </c>
      <c r="G5" s="55">
        <f>ROUND(D5*단가산출근거목록표!F4,0)</f>
        <v>13626</v>
      </c>
      <c r="H5" s="86">
        <f>ROUND(D5*단가산출근거목록표!G4,0)</f>
        <v>1821</v>
      </c>
      <c r="I5" s="59">
        <f>ROUND(D5*단가산출근거목록표!H4,0)</f>
        <v>3689</v>
      </c>
      <c r="J5" s="203"/>
    </row>
    <row r="6" spans="1:12" ht="24.95" customHeight="1" x14ac:dyDescent="0.3">
      <c r="A6" s="227" t="s">
        <v>837</v>
      </c>
      <c r="B6" s="228" t="s">
        <v>50</v>
      </c>
      <c r="C6" s="228" t="s">
        <v>51</v>
      </c>
      <c r="D6" s="70">
        <v>0</v>
      </c>
      <c r="E6" s="229" t="s">
        <v>52</v>
      </c>
      <c r="F6" s="58">
        <f t="shared" si="0"/>
        <v>0</v>
      </c>
      <c r="G6" s="54">
        <f>ROUND(D6*단가산출근거목록표!F5,0)</f>
        <v>0</v>
      </c>
      <c r="H6" s="85">
        <f>ROUND(D6*단가산출근거목록표!G5,0)</f>
        <v>0</v>
      </c>
      <c r="I6" s="58">
        <f>ROUND(D6*단가산출근거목록표!H5,0)</f>
        <v>0</v>
      </c>
      <c r="J6" s="230" t="s">
        <v>837</v>
      </c>
      <c r="L6" s="3" t="str">
        <f ca="1">HYPERLINK("#"&amp;단가산출근거목록표!J2&amp;"!A"&amp;ROW(단가산출근거목록표!A5),"D01425 →")</f>
        <v>D01425 →</v>
      </c>
    </row>
    <row r="7" spans="1:12" ht="24.95" customHeight="1" x14ac:dyDescent="0.3">
      <c r="A7" s="217"/>
      <c r="B7" s="217"/>
      <c r="C7" s="217"/>
      <c r="D7" s="142">
        <v>57.03</v>
      </c>
      <c r="E7" s="202"/>
      <c r="F7" s="59">
        <f t="shared" si="0"/>
        <v>1043763</v>
      </c>
      <c r="G7" s="55">
        <f>ROUND(D7*단가산출근거목록표!F5,0)</f>
        <v>743272</v>
      </c>
      <c r="H7" s="86">
        <f>ROUND(D7*단가산출근거목록표!G5,0)</f>
        <v>99289</v>
      </c>
      <c r="I7" s="59">
        <f>ROUND(D7*단가산출근거목록표!H5,0)</f>
        <v>201202</v>
      </c>
      <c r="J7" s="203"/>
    </row>
    <row r="8" spans="1:12" ht="24.95" customHeight="1" x14ac:dyDescent="0.3">
      <c r="A8" s="227" t="s">
        <v>1252</v>
      </c>
      <c r="B8" s="228" t="s">
        <v>56</v>
      </c>
      <c r="C8" s="228" t="s">
        <v>57</v>
      </c>
      <c r="D8" s="70">
        <v>0</v>
      </c>
      <c r="E8" s="229" t="s">
        <v>52</v>
      </c>
      <c r="F8" s="58">
        <f t="shared" si="0"/>
        <v>0</v>
      </c>
      <c r="G8" s="54">
        <f>ROUND(D8*단가산출근거목록표!F6,0)</f>
        <v>0</v>
      </c>
      <c r="H8" s="85">
        <f>ROUND(D8*단가산출근거목록표!G6,0)</f>
        <v>0</v>
      </c>
      <c r="I8" s="58">
        <f>ROUND(D8*단가산출근거목록표!H6,0)</f>
        <v>0</v>
      </c>
      <c r="J8" s="230" t="s">
        <v>1252</v>
      </c>
      <c r="L8" s="3" t="str">
        <f ca="1">HYPERLINK("#"&amp;단가산출근거목록표!J2&amp;"!A"&amp;ROW(단가산출근거목록표!A6),"D01426 →")</f>
        <v>D01426 →</v>
      </c>
    </row>
    <row r="9" spans="1:12" ht="24.95" customHeight="1" x14ac:dyDescent="0.3">
      <c r="A9" s="217"/>
      <c r="B9" s="217"/>
      <c r="C9" s="217"/>
      <c r="D9" s="142">
        <v>22.2</v>
      </c>
      <c r="E9" s="202"/>
      <c r="F9" s="59">
        <f t="shared" si="0"/>
        <v>180419</v>
      </c>
      <c r="G9" s="55">
        <f>ROUND(D9*단가산출근거목록표!F6,0)</f>
        <v>150583</v>
      </c>
      <c r="H9" s="86">
        <f>ROUND(D9*단가산출근거목록표!G6,0)</f>
        <v>10811</v>
      </c>
      <c r="I9" s="59">
        <f>ROUND(D9*단가산출근거목록표!H6,0)</f>
        <v>19025</v>
      </c>
      <c r="J9" s="203"/>
    </row>
    <row r="10" spans="1:12" ht="24.95" customHeight="1" x14ac:dyDescent="0.3">
      <c r="A10" s="227" t="s">
        <v>1253</v>
      </c>
      <c r="B10" s="228" t="s">
        <v>60</v>
      </c>
      <c r="C10" s="228" t="s">
        <v>61</v>
      </c>
      <c r="D10" s="70">
        <v>0</v>
      </c>
      <c r="E10" s="229" t="s">
        <v>14</v>
      </c>
      <c r="F10" s="58">
        <f t="shared" si="0"/>
        <v>0</v>
      </c>
      <c r="G10" s="54">
        <f>ROUND(D10*단가산출근거목록표!F7,0)</f>
        <v>0</v>
      </c>
      <c r="H10" s="85">
        <f>ROUND(D10*단가산출근거목록표!G7,0)</f>
        <v>0</v>
      </c>
      <c r="I10" s="58">
        <f>ROUND(D10*단가산출근거목록표!H7,0)</f>
        <v>0</v>
      </c>
      <c r="J10" s="230" t="s">
        <v>1253</v>
      </c>
      <c r="L10" s="3" t="str">
        <f ca="1">HYPERLINK("#"&amp;단가산출근거목록표!J2&amp;"!A"&amp;ROW(단가산출근거목록표!A7),"D01427 →")</f>
        <v>D01427 →</v>
      </c>
    </row>
    <row r="11" spans="1:12" ht="24.95" customHeight="1" x14ac:dyDescent="0.3">
      <c r="A11" s="217"/>
      <c r="B11" s="217"/>
      <c r="C11" s="217"/>
      <c r="D11" s="142">
        <v>73.81</v>
      </c>
      <c r="E11" s="202"/>
      <c r="F11" s="59">
        <f t="shared" si="0"/>
        <v>1321346</v>
      </c>
      <c r="G11" s="55">
        <f>ROUND(D11*단가산출근거목록표!F7,0)</f>
        <v>781574</v>
      </c>
      <c r="H11" s="86">
        <f>ROUND(D11*단가산출근거목록표!G7,0)</f>
        <v>179358</v>
      </c>
      <c r="I11" s="59">
        <f>ROUND(D11*단가산출근거목록표!H7,0)</f>
        <v>360414</v>
      </c>
      <c r="J11" s="203"/>
    </row>
    <row r="12" spans="1:12" ht="24.95" customHeight="1" x14ac:dyDescent="0.3">
      <c r="A12" s="227" t="s">
        <v>1254</v>
      </c>
      <c r="B12" s="228" t="s">
        <v>60</v>
      </c>
      <c r="C12" s="228" t="s">
        <v>64</v>
      </c>
      <c r="D12" s="70">
        <v>0</v>
      </c>
      <c r="E12" s="229" t="s">
        <v>14</v>
      </c>
      <c r="F12" s="58">
        <f t="shared" si="0"/>
        <v>0</v>
      </c>
      <c r="G12" s="54">
        <f>ROUND(D12*단가산출근거목록표!F8,0)</f>
        <v>0</v>
      </c>
      <c r="H12" s="85">
        <f>ROUND(D12*단가산출근거목록표!G8,0)</f>
        <v>0</v>
      </c>
      <c r="I12" s="58">
        <f>ROUND(D12*단가산출근거목록표!H8,0)</f>
        <v>0</v>
      </c>
      <c r="J12" s="230" t="s">
        <v>1254</v>
      </c>
      <c r="L12" s="3" t="str">
        <f ca="1">HYPERLINK("#"&amp;단가산출근거목록표!J2&amp;"!A"&amp;ROW(단가산출근거목록표!A8),"D01438 →")</f>
        <v>D01438 →</v>
      </c>
    </row>
    <row r="13" spans="1:12" ht="24.95" customHeight="1" x14ac:dyDescent="0.3">
      <c r="A13" s="217"/>
      <c r="B13" s="217"/>
      <c r="C13" s="217"/>
      <c r="D13" s="142">
        <v>41.96</v>
      </c>
      <c r="E13" s="202"/>
      <c r="F13" s="59">
        <f t="shared" si="0"/>
        <v>808108</v>
      </c>
      <c r="G13" s="55">
        <f>ROUND(D13*단가산출근거목록표!F8,0)</f>
        <v>516863</v>
      </c>
      <c r="H13" s="86">
        <f>ROUND(D13*단가산출근거목록표!G8,0)</f>
        <v>114509</v>
      </c>
      <c r="I13" s="59">
        <f>ROUND(D13*단가산출근거목록표!H8,0)</f>
        <v>176736</v>
      </c>
      <c r="J13" s="203"/>
    </row>
    <row r="14" spans="1:12" ht="24.95" customHeight="1" x14ac:dyDescent="0.3">
      <c r="A14" s="227" t="s">
        <v>1255</v>
      </c>
      <c r="B14" s="228" t="s">
        <v>67</v>
      </c>
      <c r="C14" s="228" t="s">
        <v>68</v>
      </c>
      <c r="D14" s="70">
        <v>0</v>
      </c>
      <c r="E14" s="229" t="s">
        <v>52</v>
      </c>
      <c r="F14" s="58">
        <f t="shared" si="0"/>
        <v>0</v>
      </c>
      <c r="G14" s="54">
        <f>ROUND(D14*단가산출근거목록표!F9,0)</f>
        <v>0</v>
      </c>
      <c r="H14" s="85">
        <f>ROUND(D14*단가산출근거목록표!G9,0)</f>
        <v>0</v>
      </c>
      <c r="I14" s="58">
        <f>ROUND(D14*단가산출근거목록표!H9,0)</f>
        <v>0</v>
      </c>
      <c r="J14" s="230" t="s">
        <v>1255</v>
      </c>
      <c r="L14" s="3" t="str">
        <f ca="1">HYPERLINK("#"&amp;단가산출근거목록표!J2&amp;"!A"&amp;ROW(단가산출근거목록표!A9),"D01439 →")</f>
        <v>D01439 →</v>
      </c>
    </row>
    <row r="15" spans="1:12" ht="24.95" customHeight="1" x14ac:dyDescent="0.3">
      <c r="A15" s="217"/>
      <c r="B15" s="217"/>
      <c r="C15" s="217"/>
      <c r="D15" s="142">
        <v>32</v>
      </c>
      <c r="E15" s="202"/>
      <c r="F15" s="59">
        <f t="shared" si="0"/>
        <v>530176</v>
      </c>
      <c r="G15" s="55">
        <f>ROUND(D15*단가산출근거목록표!F9,0)</f>
        <v>0</v>
      </c>
      <c r="H15" s="86">
        <f>ROUND(D15*단가산출근거목록표!G9,0)</f>
        <v>0</v>
      </c>
      <c r="I15" s="59">
        <f>ROUND(D15*단가산출근거목록표!H9,0)</f>
        <v>530176</v>
      </c>
      <c r="J15" s="203"/>
    </row>
    <row r="16" spans="1:12" ht="24.95" customHeight="1" x14ac:dyDescent="0.3">
      <c r="A16" s="227" t="s">
        <v>1256</v>
      </c>
      <c r="B16" s="228" t="s">
        <v>71</v>
      </c>
      <c r="C16" s="228"/>
      <c r="D16" s="70">
        <v>0</v>
      </c>
      <c r="E16" s="229" t="s">
        <v>14</v>
      </c>
      <c r="F16" s="58">
        <f t="shared" si="0"/>
        <v>0</v>
      </c>
      <c r="G16" s="54">
        <f>ROUND(D16*단가산출근거목록표!F10,0)</f>
        <v>0</v>
      </c>
      <c r="H16" s="85">
        <f>ROUND(D16*단가산출근거목록표!G10,0)</f>
        <v>0</v>
      </c>
      <c r="I16" s="58">
        <f>ROUND(D16*단가산출근거목록표!H10,0)</f>
        <v>0</v>
      </c>
      <c r="J16" s="230" t="s">
        <v>1256</v>
      </c>
      <c r="L16" s="3" t="str">
        <f ca="1">HYPERLINK("#"&amp;단가산출근거목록표!J2&amp;"!A"&amp;ROW(단가산출근거목록표!A10),"D01441 →")</f>
        <v>D01441 →</v>
      </c>
    </row>
    <row r="17" spans="1:12" ht="24.95" customHeight="1" x14ac:dyDescent="0.3">
      <c r="A17" s="217"/>
      <c r="B17" s="217"/>
      <c r="C17" s="217"/>
      <c r="D17" s="142">
        <v>350</v>
      </c>
      <c r="E17" s="202"/>
      <c r="F17" s="59">
        <f t="shared" si="0"/>
        <v>47950</v>
      </c>
      <c r="G17" s="55">
        <f>ROUND(D17*단가산출근거목록표!F10,0)</f>
        <v>28000</v>
      </c>
      <c r="H17" s="86">
        <f>ROUND(D17*단가산출근거목록표!G10,0)</f>
        <v>8400</v>
      </c>
      <c r="I17" s="59">
        <f>ROUND(D17*단가산출근거목록표!H10,0)</f>
        <v>11550</v>
      </c>
      <c r="J17" s="203"/>
    </row>
    <row r="18" spans="1:12" ht="24.95" customHeight="1" x14ac:dyDescent="0.3">
      <c r="A18" s="227" t="s">
        <v>1257</v>
      </c>
      <c r="B18" s="228" t="s">
        <v>74</v>
      </c>
      <c r="C18" s="228" t="s">
        <v>75</v>
      </c>
      <c r="D18" s="70">
        <v>0</v>
      </c>
      <c r="E18" s="229" t="s">
        <v>52</v>
      </c>
      <c r="F18" s="58">
        <f t="shared" si="0"/>
        <v>0</v>
      </c>
      <c r="G18" s="54">
        <f>ROUND(D18*단가산출근거목록표!F11,0)</f>
        <v>0</v>
      </c>
      <c r="H18" s="85">
        <f>ROUND(D18*단가산출근거목록표!G11,0)</f>
        <v>0</v>
      </c>
      <c r="I18" s="58">
        <f>ROUND(D18*단가산출근거목록표!H11,0)</f>
        <v>0</v>
      </c>
      <c r="J18" s="230" t="s">
        <v>1257</v>
      </c>
      <c r="L18" s="3" t="str">
        <f ca="1">HYPERLINK("#"&amp;단가산출근거목록표!J2&amp;"!A"&amp;ROW(단가산출근거목록표!A11),"D01442 →")</f>
        <v>D01442 →</v>
      </c>
    </row>
    <row r="19" spans="1:12" ht="24.95" customHeight="1" x14ac:dyDescent="0.3">
      <c r="A19" s="217"/>
      <c r="B19" s="217"/>
      <c r="C19" s="217"/>
      <c r="D19" s="142">
        <v>30.8</v>
      </c>
      <c r="E19" s="202"/>
      <c r="F19" s="59">
        <f t="shared" si="0"/>
        <v>167614</v>
      </c>
      <c r="G19" s="55">
        <f>ROUND(D19*단가산출근거목록표!F11,0)</f>
        <v>94279</v>
      </c>
      <c r="H19" s="86">
        <f>ROUND(D19*단가산출근거목록표!G11,0)</f>
        <v>32525</v>
      </c>
      <c r="I19" s="59">
        <f>ROUND(D19*단가산출근거목록표!H11,0)</f>
        <v>40810</v>
      </c>
      <c r="J19" s="203"/>
    </row>
    <row r="20" spans="1:12" ht="24.95" customHeight="1" x14ac:dyDescent="0.3">
      <c r="A20" s="227" t="s">
        <v>1258</v>
      </c>
      <c r="B20" s="228" t="s">
        <v>78</v>
      </c>
      <c r="C20" s="228"/>
      <c r="D20" s="70">
        <v>0</v>
      </c>
      <c r="E20" s="229" t="s">
        <v>29</v>
      </c>
      <c r="F20" s="58">
        <f t="shared" si="0"/>
        <v>0</v>
      </c>
      <c r="G20" s="54">
        <f>ROUND(D20*단가산출근거목록표!F12,0)</f>
        <v>0</v>
      </c>
      <c r="H20" s="85">
        <f>ROUND(D20*단가산출근거목록표!G12,0)</f>
        <v>0</v>
      </c>
      <c r="I20" s="58">
        <f>ROUND(D20*단가산출근거목록표!H12,0)</f>
        <v>0</v>
      </c>
      <c r="J20" s="230" t="s">
        <v>1258</v>
      </c>
      <c r="L20" s="3" t="str">
        <f ca="1">HYPERLINK("#"&amp;단가산출근거목록표!J2&amp;"!A"&amp;ROW(단가산출근거목록표!A12),"D01443 →")</f>
        <v>D01443 →</v>
      </c>
    </row>
    <row r="21" spans="1:12" ht="24.95" customHeight="1" x14ac:dyDescent="0.3">
      <c r="A21" s="217"/>
      <c r="B21" s="217"/>
      <c r="C21" s="217"/>
      <c r="D21" s="142">
        <v>270</v>
      </c>
      <c r="E21" s="202"/>
      <c r="F21" s="59">
        <f t="shared" si="0"/>
        <v>300780</v>
      </c>
      <c r="G21" s="55">
        <f>ROUND(D21*단가산출근거목록표!F12,0)</f>
        <v>173880</v>
      </c>
      <c r="H21" s="86">
        <f>ROUND(D21*단가산출근거목록표!G12,0)</f>
        <v>54000</v>
      </c>
      <c r="I21" s="59">
        <f>ROUND(D21*단가산출근거목록표!H12,0)</f>
        <v>72900</v>
      </c>
      <c r="J21" s="203"/>
    </row>
    <row r="22" spans="1:12" ht="24.95" customHeight="1" x14ac:dyDescent="0.3">
      <c r="A22" s="227" t="s">
        <v>1259</v>
      </c>
      <c r="B22" s="228" t="s">
        <v>81</v>
      </c>
      <c r="C22" s="228" t="s">
        <v>82</v>
      </c>
      <c r="D22" s="70">
        <v>0</v>
      </c>
      <c r="E22" s="229" t="s">
        <v>52</v>
      </c>
      <c r="F22" s="58">
        <f t="shared" si="0"/>
        <v>0</v>
      </c>
      <c r="G22" s="54">
        <f>ROUND(D22*단가산출근거목록표!F13,0)</f>
        <v>0</v>
      </c>
      <c r="H22" s="85">
        <f>ROUND(D22*단가산출근거목록표!G13,0)</f>
        <v>0</v>
      </c>
      <c r="I22" s="58">
        <f>ROUND(D22*단가산출근거목록표!H13,0)</f>
        <v>0</v>
      </c>
      <c r="J22" s="230" t="s">
        <v>1259</v>
      </c>
      <c r="L22" s="3" t="str">
        <f ca="1">HYPERLINK("#"&amp;단가산출근거목록표!J2&amp;"!A"&amp;ROW(단가산출근거목록표!A13),"D01445 →")</f>
        <v>D01445 →</v>
      </c>
    </row>
    <row r="23" spans="1:12" ht="24.95" customHeight="1" x14ac:dyDescent="0.3">
      <c r="A23" s="217"/>
      <c r="B23" s="217"/>
      <c r="C23" s="217"/>
      <c r="D23" s="142">
        <v>13</v>
      </c>
      <c r="E23" s="202"/>
      <c r="F23" s="59">
        <f t="shared" si="0"/>
        <v>42484</v>
      </c>
      <c r="G23" s="55">
        <f>ROUND(D23*단가산출근거목록표!F13,0)</f>
        <v>0</v>
      </c>
      <c r="H23" s="86">
        <f>ROUND(D23*단가산출근거목록표!G13,0)</f>
        <v>0</v>
      </c>
      <c r="I23" s="59">
        <f>ROUND(D23*단가산출근거목록표!H13,0)</f>
        <v>42484</v>
      </c>
      <c r="J23" s="203"/>
    </row>
    <row r="24" spans="1:12" ht="24.95" customHeight="1" x14ac:dyDescent="0.3">
      <c r="A24" s="227" t="s">
        <v>1260</v>
      </c>
      <c r="B24" s="228" t="s">
        <v>85</v>
      </c>
      <c r="C24" s="228" t="s">
        <v>82</v>
      </c>
      <c r="D24" s="70">
        <v>0</v>
      </c>
      <c r="E24" s="229" t="s">
        <v>52</v>
      </c>
      <c r="F24" s="58">
        <f t="shared" si="0"/>
        <v>0</v>
      </c>
      <c r="G24" s="54">
        <f>ROUND(D24*단가산출근거목록표!F14,0)</f>
        <v>0</v>
      </c>
      <c r="H24" s="85">
        <f>ROUND(D24*단가산출근거목록표!G14,0)</f>
        <v>0</v>
      </c>
      <c r="I24" s="58">
        <f>ROUND(D24*단가산출근거목록표!H14,0)</f>
        <v>0</v>
      </c>
      <c r="J24" s="230" t="s">
        <v>1260</v>
      </c>
      <c r="L24" s="3" t="str">
        <f ca="1">HYPERLINK("#"&amp;단가산출근거목록표!J2&amp;"!A"&amp;ROW(단가산출근거목록표!A14),"D01446 →")</f>
        <v>D01446 →</v>
      </c>
    </row>
    <row r="25" spans="1:12" ht="24.95" customHeight="1" x14ac:dyDescent="0.3">
      <c r="A25" s="217"/>
      <c r="B25" s="217"/>
      <c r="C25" s="217"/>
      <c r="D25" s="142">
        <v>14</v>
      </c>
      <c r="E25" s="202"/>
      <c r="F25" s="59">
        <f t="shared" si="0"/>
        <v>49154</v>
      </c>
      <c r="G25" s="55">
        <f>ROUND(D25*단가산출근거목록표!F14,0)</f>
        <v>0</v>
      </c>
      <c r="H25" s="86">
        <f>ROUND(D25*단가산출근거목록표!G14,0)</f>
        <v>0</v>
      </c>
      <c r="I25" s="59">
        <f>ROUND(D25*단가산출근거목록표!H14,0)</f>
        <v>49154</v>
      </c>
      <c r="J25" s="203"/>
    </row>
    <row r="26" spans="1:12" ht="24.95" customHeight="1" x14ac:dyDescent="0.3">
      <c r="A26" s="227" t="s">
        <v>1261</v>
      </c>
      <c r="B26" s="228" t="s">
        <v>88</v>
      </c>
      <c r="C26" s="228" t="s">
        <v>82</v>
      </c>
      <c r="D26" s="70">
        <v>0</v>
      </c>
      <c r="E26" s="229" t="s">
        <v>52</v>
      </c>
      <c r="F26" s="58">
        <f t="shared" si="0"/>
        <v>0</v>
      </c>
      <c r="G26" s="54">
        <f>ROUND(D26*단가산출근거목록표!F15,0)</f>
        <v>0</v>
      </c>
      <c r="H26" s="85">
        <f>ROUND(D26*단가산출근거목록표!G15,0)</f>
        <v>0</v>
      </c>
      <c r="I26" s="58">
        <f>ROUND(D26*단가산출근거목록표!H15,0)</f>
        <v>0</v>
      </c>
      <c r="J26" s="230" t="s">
        <v>1261</v>
      </c>
      <c r="L26" s="3" t="str">
        <f ca="1">HYPERLINK("#"&amp;단가산출근거목록표!J2&amp;"!A"&amp;ROW(단가산출근거목록표!A15),"D01447 →")</f>
        <v>D01447 →</v>
      </c>
    </row>
    <row r="27" spans="1:12" ht="24.95" customHeight="1" x14ac:dyDescent="0.3">
      <c r="A27" s="217"/>
      <c r="B27" s="217"/>
      <c r="C27" s="217"/>
      <c r="D27" s="142">
        <v>53</v>
      </c>
      <c r="E27" s="202"/>
      <c r="F27" s="59">
        <f t="shared" si="0"/>
        <v>232193</v>
      </c>
      <c r="G27" s="55">
        <f>ROUND(D27*단가산출근거목록표!F15,0)</f>
        <v>0</v>
      </c>
      <c r="H27" s="86">
        <f>ROUND(D27*단가산출근거목록표!G15,0)</f>
        <v>0</v>
      </c>
      <c r="I27" s="59">
        <f>ROUND(D27*단가산출근거목록표!H15,0)</f>
        <v>232193</v>
      </c>
      <c r="J27" s="203"/>
    </row>
    <row r="28" spans="1:12" ht="24.95" customHeight="1" x14ac:dyDescent="0.3">
      <c r="A28" s="227" t="s">
        <v>1262</v>
      </c>
      <c r="B28" s="228" t="s">
        <v>91</v>
      </c>
      <c r="C28" s="228" t="s">
        <v>82</v>
      </c>
      <c r="D28" s="70">
        <v>0</v>
      </c>
      <c r="E28" s="229" t="s">
        <v>92</v>
      </c>
      <c r="F28" s="58">
        <f t="shared" si="0"/>
        <v>0</v>
      </c>
      <c r="G28" s="54">
        <f>ROUND(D28*단가산출근거목록표!F16,0)</f>
        <v>0</v>
      </c>
      <c r="H28" s="85">
        <f>ROUND(D28*단가산출근거목록표!G16,0)</f>
        <v>0</v>
      </c>
      <c r="I28" s="58">
        <f>ROUND(D28*단가산출근거목록표!H16,0)</f>
        <v>0</v>
      </c>
      <c r="J28" s="230" t="s">
        <v>1262</v>
      </c>
      <c r="L28" s="3" t="str">
        <f ca="1">HYPERLINK("#"&amp;단가산출근거목록표!J2&amp;"!A"&amp;ROW(단가산출근거목록표!A16),"D01448 →")</f>
        <v>D01448 →</v>
      </c>
    </row>
    <row r="29" spans="1:12" ht="24.95" customHeight="1" x14ac:dyDescent="0.3">
      <c r="A29" s="217"/>
      <c r="B29" s="217"/>
      <c r="C29" s="217"/>
      <c r="D29" s="142">
        <v>460</v>
      </c>
      <c r="E29" s="202"/>
      <c r="F29" s="59">
        <f t="shared" si="0"/>
        <v>1480740</v>
      </c>
      <c r="G29" s="55">
        <f>ROUND(D29*단가산출근거목록표!F16,0)</f>
        <v>0</v>
      </c>
      <c r="H29" s="86">
        <f>ROUND(D29*단가산출근거목록표!G16,0)</f>
        <v>0</v>
      </c>
      <c r="I29" s="59">
        <f>ROUND(D29*단가산출근거목록표!H16,0)</f>
        <v>1480740</v>
      </c>
      <c r="J29" s="203"/>
    </row>
    <row r="30" spans="1:12" ht="24.95" customHeight="1" x14ac:dyDescent="0.3">
      <c r="A30" s="227" t="s">
        <v>1263</v>
      </c>
      <c r="B30" s="228" t="s">
        <v>95</v>
      </c>
      <c r="C30" s="228" t="s">
        <v>96</v>
      </c>
      <c r="D30" s="70">
        <v>0</v>
      </c>
      <c r="E30" s="229" t="s">
        <v>92</v>
      </c>
      <c r="F30" s="58">
        <f t="shared" si="0"/>
        <v>0</v>
      </c>
      <c r="G30" s="54">
        <f>ROUND(D30*단가산출근거목록표!F17,0)</f>
        <v>0</v>
      </c>
      <c r="H30" s="85">
        <f>ROUND(D30*단가산출근거목록표!G17,0)</f>
        <v>0</v>
      </c>
      <c r="I30" s="58">
        <f>ROUND(D30*단가산출근거목록표!H17,0)</f>
        <v>0</v>
      </c>
      <c r="J30" s="230" t="s">
        <v>1263</v>
      </c>
      <c r="L30" s="3" t="str">
        <f ca="1">HYPERLINK("#"&amp;단가산출근거목록표!J2&amp;"!A"&amp;ROW(단가산출근거목록표!A17),"D01453 →")</f>
        <v>D01453 →</v>
      </c>
    </row>
    <row r="31" spans="1:12" ht="24.95" customHeight="1" x14ac:dyDescent="0.3">
      <c r="A31" s="217"/>
      <c r="B31" s="217"/>
      <c r="C31" s="217"/>
      <c r="D31" s="71">
        <v>0</v>
      </c>
      <c r="E31" s="202"/>
      <c r="F31" s="59">
        <f t="shared" si="0"/>
        <v>0</v>
      </c>
      <c r="G31" s="55">
        <f>ROUND(D31*단가산출근거목록표!F17,0)</f>
        <v>0</v>
      </c>
      <c r="H31" s="86">
        <f>ROUND(D31*단가산출근거목록표!G17,0)</f>
        <v>0</v>
      </c>
      <c r="I31" s="59">
        <f>ROUND(D31*단가산출근거목록표!H17,0)</f>
        <v>0</v>
      </c>
      <c r="J31" s="203"/>
    </row>
    <row r="32" spans="1:12" ht="24.95" customHeight="1" x14ac:dyDescent="0.3">
      <c r="A32" s="227" t="s">
        <v>1264</v>
      </c>
      <c r="B32" s="228" t="s">
        <v>99</v>
      </c>
      <c r="C32" s="228" t="s">
        <v>82</v>
      </c>
      <c r="D32" s="70">
        <v>0</v>
      </c>
      <c r="E32" s="229" t="s">
        <v>52</v>
      </c>
      <c r="F32" s="58">
        <f t="shared" si="0"/>
        <v>0</v>
      </c>
      <c r="G32" s="54">
        <f>ROUND(D32*단가산출근거목록표!F18,0)</f>
        <v>0</v>
      </c>
      <c r="H32" s="85">
        <f>ROUND(D32*단가산출근거목록표!G18,0)</f>
        <v>0</v>
      </c>
      <c r="I32" s="58">
        <f>ROUND(D32*단가산출근거목록표!H18,0)</f>
        <v>0</v>
      </c>
      <c r="J32" s="230" t="s">
        <v>1264</v>
      </c>
      <c r="L32" s="3" t="str">
        <f ca="1">HYPERLINK("#"&amp;단가산출근거목록표!J2&amp;"!A"&amp;ROW(단가산출근거목록표!A18),"D01455 →")</f>
        <v>D01455 →</v>
      </c>
    </row>
    <row r="33" spans="1:10" ht="24.95" customHeight="1" x14ac:dyDescent="0.3">
      <c r="A33" s="217"/>
      <c r="B33" s="217"/>
      <c r="C33" s="217"/>
      <c r="D33" s="142">
        <v>32</v>
      </c>
      <c r="E33" s="202"/>
      <c r="F33" s="59">
        <f t="shared" si="0"/>
        <v>112352</v>
      </c>
      <c r="G33" s="55">
        <f>ROUND(D33*단가산출근거목록표!F18,0)</f>
        <v>0</v>
      </c>
      <c r="H33" s="86">
        <f>ROUND(D33*단가산출근거목록표!G18,0)</f>
        <v>0</v>
      </c>
      <c r="I33" s="59">
        <f>ROUND(D33*단가산출근거목록표!H18,0)</f>
        <v>112352</v>
      </c>
      <c r="J33" s="203"/>
    </row>
  </sheetData>
  <mergeCells count="76">
    <mergeCell ref="A30:A31"/>
    <mergeCell ref="B30:B31"/>
    <mergeCell ref="C30:C31"/>
    <mergeCell ref="E30:E31"/>
    <mergeCell ref="J30:J31"/>
    <mergeCell ref="A32:A33"/>
    <mergeCell ref="B32:B33"/>
    <mergeCell ref="C32:C33"/>
    <mergeCell ref="E32:E33"/>
    <mergeCell ref="J32:J33"/>
    <mergeCell ref="A26:A27"/>
    <mergeCell ref="B26:B27"/>
    <mergeCell ref="C26:C27"/>
    <mergeCell ref="E26:E27"/>
    <mergeCell ref="J26:J27"/>
    <mergeCell ref="A28:A29"/>
    <mergeCell ref="B28:B29"/>
    <mergeCell ref="C28:C29"/>
    <mergeCell ref="E28:E29"/>
    <mergeCell ref="J28:J29"/>
    <mergeCell ref="A22:A23"/>
    <mergeCell ref="B22:B23"/>
    <mergeCell ref="C22:C23"/>
    <mergeCell ref="E22:E23"/>
    <mergeCell ref="J22:J23"/>
    <mergeCell ref="A24:A25"/>
    <mergeCell ref="B24:B25"/>
    <mergeCell ref="C24:C25"/>
    <mergeCell ref="E24:E25"/>
    <mergeCell ref="J24:J25"/>
    <mergeCell ref="A18:A19"/>
    <mergeCell ref="B18:B19"/>
    <mergeCell ref="C18:C19"/>
    <mergeCell ref="E18:E19"/>
    <mergeCell ref="J18:J19"/>
    <mergeCell ref="A20:A21"/>
    <mergeCell ref="B20:B21"/>
    <mergeCell ref="C20:C21"/>
    <mergeCell ref="E20:E21"/>
    <mergeCell ref="J20:J21"/>
    <mergeCell ref="A14:A15"/>
    <mergeCell ref="B14:B15"/>
    <mergeCell ref="C14:C15"/>
    <mergeCell ref="E14:E15"/>
    <mergeCell ref="J14:J15"/>
    <mergeCell ref="A16:A17"/>
    <mergeCell ref="B16:B17"/>
    <mergeCell ref="C16:C17"/>
    <mergeCell ref="E16:E17"/>
    <mergeCell ref="J16:J17"/>
    <mergeCell ref="A10:A11"/>
    <mergeCell ref="B10:B11"/>
    <mergeCell ref="C10:C11"/>
    <mergeCell ref="E10:E11"/>
    <mergeCell ref="J10:J11"/>
    <mergeCell ref="A12:A13"/>
    <mergeCell ref="B12:B13"/>
    <mergeCell ref="C12:C13"/>
    <mergeCell ref="E12:E13"/>
    <mergeCell ref="J12:J13"/>
    <mergeCell ref="A6:A7"/>
    <mergeCell ref="B6:B7"/>
    <mergeCell ref="C6:C7"/>
    <mergeCell ref="E6:E7"/>
    <mergeCell ref="J6:J7"/>
    <mergeCell ref="A8:A9"/>
    <mergeCell ref="B8:B9"/>
    <mergeCell ref="C8:C9"/>
    <mergeCell ref="E8:E9"/>
    <mergeCell ref="J8:J9"/>
    <mergeCell ref="A1:J1"/>
    <mergeCell ref="A4:A5"/>
    <mergeCell ref="B4:B5"/>
    <mergeCell ref="C4:C5"/>
    <mergeCell ref="E4:E5"/>
    <mergeCell ref="J4:J5"/>
  </mergeCells>
  <phoneticPr fontId="25" type="noConversion"/>
  <hyperlinks>
    <hyperlink ref="L1" r:id="rId1" tooltip="설계예산시스템(STmate w25.05)으로 작성 하였으며,_x000a_엑셀 인쇄품질 600 dpi에 최적화 되어 있습니다._x000a_경영정보(주) http://www.stma.co.kr_x000a_Tel) 070-4350-0040_x000a_Fax) 0505-300-3948"/>
    <hyperlink ref="K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87" fitToWidth="0" fitToHeight="0" orientation="landscape" r:id="rId3"/>
  <headerFooter alignWithMargins="0">
    <oddFooter>&amp;L&amp;"굴림체,"&amp;9 ( 상단:당초 , 하단:변경 )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workbookViewId="0">
      <selection sqref="A1:H1"/>
    </sheetView>
  </sheetViews>
  <sheetFormatPr defaultColWidth="9.125" defaultRowHeight="16.5" x14ac:dyDescent="0.3"/>
  <cols>
    <col min="1" max="1" width="4" style="6" customWidth="1"/>
    <col min="2" max="2" width="5.5" style="6" customWidth="1"/>
    <col min="3" max="4" width="16" style="6" customWidth="1"/>
    <col min="5" max="5" width="5.5" style="6" customWidth="1"/>
    <col min="6" max="6" width="16" style="6" customWidth="1"/>
    <col min="7" max="7" width="11.5" style="6" customWidth="1"/>
    <col min="8" max="8" width="10" style="6" customWidth="1"/>
    <col min="9" max="9" width="9.125" style="6" hidden="1" customWidth="1"/>
    <col min="10" max="10" width="9.125" style="18" customWidth="1"/>
    <col min="11" max="16384" width="9.125" style="6"/>
  </cols>
  <sheetData>
    <row r="1" spans="1:10" ht="25.35" customHeight="1" x14ac:dyDescent="0.3">
      <c r="A1" s="233" t="s">
        <v>218</v>
      </c>
      <c r="B1" s="182"/>
      <c r="C1" s="194"/>
      <c r="D1" s="194"/>
      <c r="E1" s="194"/>
      <c r="F1" s="194"/>
      <c r="G1" s="194"/>
      <c r="H1" s="194"/>
      <c r="I1" s="5" t="s">
        <v>47</v>
      </c>
      <c r="J1" s="19" t="s">
        <v>47</v>
      </c>
    </row>
    <row r="2" spans="1:10" ht="25.35" customHeight="1" x14ac:dyDescent="0.3">
      <c r="C2" s="25" t="s">
        <v>219</v>
      </c>
      <c r="D2" s="25" t="s">
        <v>220</v>
      </c>
      <c r="E2" s="225" t="s">
        <v>221</v>
      </c>
      <c r="F2" s="226"/>
      <c r="G2" s="225" t="s">
        <v>222</v>
      </c>
      <c r="H2" s="226"/>
      <c r="I2" s="20" t="str">
        <f ca="1">MID(CELL("filename",$A$1),FIND("]",CELL("filename",$A$1))+1,LEN(CELL("filename",$A$1)))</f>
        <v>환율및기초자료</v>
      </c>
    </row>
    <row r="3" spans="1:10" ht="25.35" customHeight="1" x14ac:dyDescent="0.3">
      <c r="C3" s="27">
        <v>1466</v>
      </c>
      <c r="D3" s="27">
        <v>1466</v>
      </c>
      <c r="E3" s="234">
        <v>1000</v>
      </c>
      <c r="F3" s="226"/>
      <c r="G3" s="235">
        <v>1000</v>
      </c>
      <c r="H3" s="226"/>
    </row>
    <row r="4" spans="1:10" ht="25.35" customHeight="1" x14ac:dyDescent="0.3">
      <c r="C4" s="26"/>
      <c r="D4" s="26"/>
      <c r="E4" s="26"/>
      <c r="F4" s="26"/>
      <c r="G4" s="26"/>
      <c r="H4" s="26"/>
    </row>
    <row r="5" spans="1:10" ht="25.35" customHeight="1" x14ac:dyDescent="0.3">
      <c r="A5" s="233" t="s">
        <v>223</v>
      </c>
      <c r="B5" s="182"/>
      <c r="C5" s="182"/>
      <c r="D5" s="182"/>
      <c r="E5" s="182"/>
      <c r="F5" s="182"/>
      <c r="G5" s="182"/>
      <c r="H5" s="182"/>
    </row>
    <row r="6" spans="1:10" ht="25.35" customHeight="1" x14ac:dyDescent="0.3">
      <c r="C6" s="28" t="s">
        <v>193</v>
      </c>
      <c r="D6" s="30">
        <f>노무비목록표!E8</f>
        <v>273971</v>
      </c>
      <c r="E6" s="236" t="s">
        <v>224</v>
      </c>
      <c r="F6" s="194"/>
      <c r="G6" s="30">
        <f>ROUNDDOWN(D6*0.20833333334,0)</f>
        <v>57077</v>
      </c>
      <c r="H6" s="32" t="s">
        <v>225</v>
      </c>
      <c r="J6" s="3" t="str">
        <f ca="1">HYPERLINK("#"&amp;노무비목록표!G2&amp;"!A"&amp;ROW(노무비목록표!A8),"L00024 →")</f>
        <v>L00024 →</v>
      </c>
    </row>
    <row r="7" spans="1:10" ht="25.35" customHeight="1" x14ac:dyDescent="0.3">
      <c r="C7" s="29" t="s">
        <v>195</v>
      </c>
      <c r="D7" s="31">
        <f>노무비목록표!E9</f>
        <v>237500</v>
      </c>
      <c r="E7" s="225" t="s">
        <v>224</v>
      </c>
      <c r="F7" s="226"/>
      <c r="G7" s="31">
        <f>ROUNDDOWN(D7*0.20833333334,0)</f>
        <v>49479</v>
      </c>
      <c r="H7" s="25" t="s">
        <v>226</v>
      </c>
      <c r="J7" s="3" t="str">
        <f ca="1">HYPERLINK("#"&amp;노무비목록표!G2&amp;"!A"&amp;ROW(노무비목록표!A9),"L00026 →")</f>
        <v>L00026 →</v>
      </c>
    </row>
    <row r="8" spans="1:10" ht="25.35" customHeight="1" x14ac:dyDescent="0.3">
      <c r="C8" s="29" t="s">
        <v>227</v>
      </c>
      <c r="D8" s="31">
        <v>170920</v>
      </c>
      <c r="E8" s="225" t="s">
        <v>224</v>
      </c>
      <c r="F8" s="226"/>
      <c r="G8" s="31">
        <v>35608</v>
      </c>
      <c r="H8" s="25" t="s">
        <v>228</v>
      </c>
    </row>
    <row r="9" spans="1:10" ht="25.35" customHeight="1" x14ac:dyDescent="0.3">
      <c r="C9" s="26"/>
      <c r="D9" s="26"/>
      <c r="E9" s="26"/>
      <c r="F9" s="26"/>
      <c r="G9" s="26"/>
      <c r="H9" s="26"/>
    </row>
    <row r="10" spans="1:10" ht="25.35" customHeight="1" x14ac:dyDescent="0.3">
      <c r="A10" s="233" t="s">
        <v>229</v>
      </c>
      <c r="B10" s="194"/>
      <c r="C10" s="194"/>
      <c r="D10" s="194"/>
      <c r="E10" s="194"/>
      <c r="F10" s="194"/>
      <c r="G10" s="194"/>
      <c r="H10" s="194"/>
    </row>
    <row r="11" spans="1:10" ht="25.35" customHeight="1" x14ac:dyDescent="0.3">
      <c r="B11" s="25" t="s">
        <v>230</v>
      </c>
      <c r="C11" s="25" t="s">
        <v>231</v>
      </c>
      <c r="D11" s="25" t="s">
        <v>232</v>
      </c>
      <c r="E11" s="25" t="s">
        <v>5</v>
      </c>
      <c r="F11" s="25" t="s">
        <v>233</v>
      </c>
      <c r="G11" s="25"/>
      <c r="H11" s="25" t="s">
        <v>10</v>
      </c>
    </row>
    <row r="12" spans="1:10" ht="25.35" customHeight="1" x14ac:dyDescent="0.3">
      <c r="B12" s="25" t="s">
        <v>102</v>
      </c>
      <c r="C12" s="29" t="s">
        <v>193</v>
      </c>
      <c r="D12" s="25"/>
      <c r="E12" s="25" t="s">
        <v>185</v>
      </c>
      <c r="F12" s="31">
        <f>노무비목록표!E8</f>
        <v>273971</v>
      </c>
      <c r="G12" s="29"/>
      <c r="H12" s="25" t="s">
        <v>225</v>
      </c>
      <c r="J12" s="3" t="str">
        <f ca="1">HYPERLINK("#"&amp;노무비목록표!G2&amp;"!A"&amp;ROW(노무비목록표!A8),"L00024 →")</f>
        <v>L00024 →</v>
      </c>
    </row>
    <row r="13" spans="1:10" ht="25.35" customHeight="1" x14ac:dyDescent="0.3">
      <c r="B13" s="25" t="s">
        <v>107</v>
      </c>
      <c r="C13" s="29" t="s">
        <v>195</v>
      </c>
      <c r="D13" s="25"/>
      <c r="E13" s="25" t="s">
        <v>185</v>
      </c>
      <c r="F13" s="31">
        <f>노무비목록표!E9</f>
        <v>237500</v>
      </c>
      <c r="G13" s="29"/>
      <c r="H13" s="25" t="s">
        <v>226</v>
      </c>
      <c r="J13" s="3" t="str">
        <f ca="1">HYPERLINK("#"&amp;노무비목록표!G2&amp;"!A"&amp;ROW(노무비목록표!A9),"L00026 →")</f>
        <v>L00026 →</v>
      </c>
    </row>
    <row r="14" spans="1:10" ht="25.35" customHeight="1" x14ac:dyDescent="0.3">
      <c r="B14" s="25" t="s">
        <v>110</v>
      </c>
      <c r="C14" s="29" t="s">
        <v>227</v>
      </c>
      <c r="D14" s="25"/>
      <c r="E14" s="25" t="s">
        <v>185</v>
      </c>
      <c r="F14" s="31">
        <v>170920</v>
      </c>
      <c r="G14" s="29"/>
      <c r="H14" s="25" t="s">
        <v>228</v>
      </c>
    </row>
    <row r="15" spans="1:10" ht="25.35" customHeight="1" x14ac:dyDescent="0.3">
      <c r="B15" s="25" t="s">
        <v>113</v>
      </c>
      <c r="C15" s="29" t="s">
        <v>157</v>
      </c>
      <c r="D15" s="25" t="s">
        <v>158</v>
      </c>
      <c r="E15" s="25" t="s">
        <v>159</v>
      </c>
      <c r="F15" s="31">
        <f>재료비목록표!E4</f>
        <v>1261</v>
      </c>
      <c r="G15" s="29"/>
      <c r="H15" s="25" t="s">
        <v>234</v>
      </c>
      <c r="J15" s="3" t="str">
        <f ca="1">HYPERLINK("#"&amp;재료비목록표!G2&amp;"!A"&amp;ROW(재료비목록표!A4),"M00758 →")</f>
        <v>M00758 →</v>
      </c>
    </row>
    <row r="16" spans="1:10" ht="25.35" customHeight="1" x14ac:dyDescent="0.3">
      <c r="B16" s="26"/>
      <c r="C16" s="26"/>
      <c r="D16" s="26"/>
      <c r="E16" s="26"/>
      <c r="F16" s="26"/>
      <c r="G16" s="26"/>
      <c r="H16" s="26"/>
    </row>
  </sheetData>
  <mergeCells count="10">
    <mergeCell ref="E6:F6"/>
    <mergeCell ref="E7:F7"/>
    <mergeCell ref="E8:F8"/>
    <mergeCell ref="A10:H10"/>
    <mergeCell ref="A1:H1"/>
    <mergeCell ref="E2:F2"/>
    <mergeCell ref="G2:H2"/>
    <mergeCell ref="E3:F3"/>
    <mergeCell ref="G3:H3"/>
    <mergeCell ref="A5:H5"/>
  </mergeCells>
  <phoneticPr fontId="25" type="noConversion"/>
  <hyperlinks>
    <hyperlink ref="J1" r:id="rId1" tooltip="설계예산시스템(STmate w25.05)으로 작성 하였으며,_x000a_엑셀 인쇄품질 600 dpi에 최적화 되어 있습니다._x000a_경영정보(주) http://www.stma.co.kr_x000a_Tel) 070-4350-0040_x000a_Fax) 0505-300-3948"/>
    <hyperlink ref="I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8" width="11.5" style="6" customWidth="1"/>
    <col min="9" max="9" width="10" style="6" customWidth="1"/>
    <col min="10" max="10" width="9.125" style="16" hidden="1" customWidth="1"/>
    <col min="11" max="11" width="9.125" style="18" customWidth="1"/>
    <col min="12" max="16384" width="9.125" style="6"/>
  </cols>
  <sheetData>
    <row r="1" spans="1:11" ht="24.95" customHeight="1" x14ac:dyDescent="0.3">
      <c r="A1" s="183" t="s">
        <v>101</v>
      </c>
      <c r="B1" s="182"/>
      <c r="C1" s="182"/>
      <c r="D1" s="182"/>
      <c r="E1" s="182"/>
      <c r="F1" s="182"/>
      <c r="G1" s="182"/>
      <c r="H1" s="182"/>
      <c r="I1" s="182"/>
      <c r="J1" s="5" t="s">
        <v>47</v>
      </c>
      <c r="K1" s="19" t="s">
        <v>47</v>
      </c>
    </row>
    <row r="2" spans="1:11" ht="22.35" customHeight="1" x14ac:dyDescent="0.3">
      <c r="A2" s="1" t="s">
        <v>1</v>
      </c>
      <c r="J2" s="20" t="str">
        <f ca="1">MID(CELL("filename",$A$1),FIND("]",CELL("filename",$A$1))+1,LEN(CELL("filename",$A$1)))</f>
        <v>중기목록표</v>
      </c>
    </row>
    <row r="3" spans="1:11" ht="22.3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K3" s="3" t="str">
        <f>HYPERLINK("#'〓 목 차 〓'!B2","목차 →")</f>
        <v>목차 →</v>
      </c>
    </row>
    <row r="4" spans="1:11" ht="22.35" customHeight="1" x14ac:dyDescent="0.3">
      <c r="A4" s="9" t="s">
        <v>102</v>
      </c>
      <c r="B4" s="10" t="s">
        <v>103</v>
      </c>
      <c r="C4" s="10" t="s">
        <v>104</v>
      </c>
      <c r="D4" s="9" t="s">
        <v>105</v>
      </c>
      <c r="E4" s="99">
        <f>중기사용료!F11</f>
        <v>78105</v>
      </c>
      <c r="F4" s="121">
        <f>중기사용료!H11</f>
        <v>57077</v>
      </c>
      <c r="G4" s="120">
        <f>중기사용료!J11</f>
        <v>7629</v>
      </c>
      <c r="H4" s="99">
        <f>중기사용료!L11</f>
        <v>13399</v>
      </c>
      <c r="I4" s="15" t="s">
        <v>102</v>
      </c>
      <c r="J4" s="17" t="str">
        <f>"_x0007_`COD|X00003_x0005_`QTY1|1_x0005_`BQC|_x0005_`EQC|03020100200_x0005_`JDC|00000201002000000_x0005_`WQC|_x0005_`EDT|2025_x0005_`ADJ|F_x0005_`RXX|0_x0005_`NAG|0_x0005_`UC|F_x0005_`DET|"&amp;ROW(중기사용료!A5)&amp;"_x0005_`"</f>
        <v>_x0007_`COD|X00003_x0005_`QTY1|1_x0005_`BQC|_x0005_`EQC|03020100200_x0005_`JDC|00000201002000000_x0005_`WQC|_x0005_`EDT|2025_x0005_`ADJ|F_x0005_`RXX|0_x0005_`NAG|0_x0005_`UC|F_x0005_`DET|5_x0005_`</v>
      </c>
      <c r="K4" s="3" t="str">
        <f ca="1">HYPERLINK("#"&amp;중기사용료!N2&amp;"!A"&amp;ROW(중기사용료!A5),"X00003 →")</f>
        <v>X00003 →</v>
      </c>
    </row>
    <row r="5" spans="1:11" ht="22.35" customHeight="1" x14ac:dyDescent="0.3">
      <c r="A5" s="9" t="s">
        <v>107</v>
      </c>
      <c r="B5" s="10" t="s">
        <v>103</v>
      </c>
      <c r="C5" s="10" t="s">
        <v>108</v>
      </c>
      <c r="D5" s="9" t="s">
        <v>105</v>
      </c>
      <c r="E5" s="99">
        <f>중기사용료!F18</f>
        <v>98923</v>
      </c>
      <c r="F5" s="121">
        <f>중기사용료!H18</f>
        <v>57077</v>
      </c>
      <c r="G5" s="120">
        <f>중기사용료!J18</f>
        <v>17845</v>
      </c>
      <c r="H5" s="99">
        <f>중기사용료!L18</f>
        <v>24001</v>
      </c>
      <c r="I5" s="15" t="s">
        <v>107</v>
      </c>
      <c r="J5" s="17" t="str">
        <f>"_x0007_`COD|X00005_x0005_`QTY1|1_x0005_`BQC|_x0005_`EQC|03020100700_x0005_`JDC|00000201007000000_x0005_`WQC|_x0005_`EDT|2025_x0005_`ADJ|F_x0005_`RXX|0_x0005_`NAG|0_x0005_`UC|F_x0005_`DET|"&amp;ROW(중기사용료!A12)&amp;"_x0005_`"</f>
        <v>_x0007_`COD|X00005_x0005_`QTY1|1_x0005_`BQC|_x0005_`EQC|03020100700_x0005_`JDC|00000201007000000_x0005_`WQC|_x0005_`EDT|2025_x0005_`ADJ|F_x0005_`RXX|0_x0005_`NAG|0_x0005_`UC|F_x0005_`DET|12_x0005_`</v>
      </c>
      <c r="K5" s="3" t="str">
        <f ca="1">HYPERLINK("#"&amp;중기사용료!N2&amp;"!A"&amp;ROW(중기사용료!A12),"X00005 →")</f>
        <v>X00005 →</v>
      </c>
    </row>
    <row r="6" spans="1:11" ht="22.35" customHeight="1" x14ac:dyDescent="0.3">
      <c r="A6" s="9" t="s">
        <v>110</v>
      </c>
      <c r="B6" s="10" t="s">
        <v>103</v>
      </c>
      <c r="C6" s="10" t="s">
        <v>111</v>
      </c>
      <c r="D6" s="9" t="s">
        <v>105</v>
      </c>
      <c r="E6" s="99">
        <f>중기사용료!F25</f>
        <v>80162</v>
      </c>
      <c r="F6" s="121">
        <f>중기사용료!H25</f>
        <v>57077</v>
      </c>
      <c r="G6" s="120">
        <f>중기사용료!J25</f>
        <v>7629</v>
      </c>
      <c r="H6" s="99">
        <f>중기사용료!L25</f>
        <v>15456</v>
      </c>
      <c r="I6" s="15" t="s">
        <v>110</v>
      </c>
      <c r="J6" s="17" t="str">
        <f>"_x0007_`COD|X00007_x0005_`QTY1|1_x0005_`BQC|_x0005_`EQC|03020100201_x0005_`JDC|_x0005_`WQC|_x0005_`EDT|2025_x0005_`ADJ|F_x0005_`RXX|0_x0005_`NAG|0_x0005_`UC|F_x0005_`DET|"&amp;ROW(중기사용료!A19)&amp;"_x0005_`"</f>
        <v>_x0007_`COD|X00007_x0005_`QTY1|1_x0005_`BQC|_x0005_`EQC|03020100201_x0005_`JDC|_x0005_`WQC|_x0005_`EDT|2025_x0005_`ADJ|F_x0005_`RXX|0_x0005_`NAG|0_x0005_`UC|F_x0005_`DET|19_x0005_`</v>
      </c>
      <c r="K6" s="3" t="str">
        <f ca="1">HYPERLINK("#"&amp;중기사용료!N2&amp;"!A"&amp;ROW(중기사용료!A19),"X00007 →")</f>
        <v>X00007 →</v>
      </c>
    </row>
    <row r="7" spans="1:11" ht="22.35" customHeight="1" x14ac:dyDescent="0.3">
      <c r="A7" s="9" t="s">
        <v>113</v>
      </c>
      <c r="B7" s="10" t="s">
        <v>103</v>
      </c>
      <c r="C7" s="10" t="s">
        <v>114</v>
      </c>
      <c r="D7" s="9" t="s">
        <v>105</v>
      </c>
      <c r="E7" s="99">
        <f>중기사용료!F32</f>
        <v>102607</v>
      </c>
      <c r="F7" s="121">
        <f>중기사용료!H32</f>
        <v>57077</v>
      </c>
      <c r="G7" s="120">
        <f>중기사용료!J32</f>
        <v>17845</v>
      </c>
      <c r="H7" s="99">
        <f>중기사용료!L32</f>
        <v>27685</v>
      </c>
      <c r="I7" s="15" t="s">
        <v>113</v>
      </c>
      <c r="J7" s="17" t="str">
        <f>"_x0007_`COD|X00009_x0005_`QTY1|1_x0005_`BQC|_x0005_`EQC|03020100701_x0005_`JDC|00000201007000001_x0005_`WQC|_x0005_`EDT|2025_x0005_`ADJ|F_x0005_`RXX|0_x0005_`NAG|0_x0005_`UC|F_x0005_`DET|"&amp;ROW(중기사용료!A26)&amp;"_x0005_`"</f>
        <v>_x0007_`COD|X00009_x0005_`QTY1|1_x0005_`BQC|_x0005_`EQC|03020100701_x0005_`JDC|00000201007000001_x0005_`WQC|_x0005_`EDT|2025_x0005_`ADJ|F_x0005_`RXX|0_x0005_`NAG|0_x0005_`UC|F_x0005_`DET|26_x0005_`</v>
      </c>
      <c r="K7" s="3" t="str">
        <f ca="1">HYPERLINK("#"&amp;중기사용료!N2&amp;"!A"&amp;ROW(중기사용료!A26),"X00009 →")</f>
        <v>X00009 →</v>
      </c>
    </row>
    <row r="8" spans="1:11" ht="22.35" customHeight="1" x14ac:dyDescent="0.3">
      <c r="A8" s="9" t="s">
        <v>116</v>
      </c>
      <c r="B8" s="10" t="s">
        <v>117</v>
      </c>
      <c r="C8" s="10" t="s">
        <v>118</v>
      </c>
      <c r="D8" s="9" t="s">
        <v>105</v>
      </c>
      <c r="E8" s="99">
        <f>중기사용료!F39</f>
        <v>65651</v>
      </c>
      <c r="F8" s="121">
        <f>중기사용료!H39</f>
        <v>49479</v>
      </c>
      <c r="G8" s="120">
        <f>중기사용료!J39</f>
        <v>8700</v>
      </c>
      <c r="H8" s="99">
        <f>중기사용료!L39</f>
        <v>7472</v>
      </c>
      <c r="I8" s="15" t="s">
        <v>116</v>
      </c>
      <c r="J8" s="17" t="str">
        <f>"_x0007_`COD|X00024_x0005_`QTY1|1_x0005_`BQC|_x0005_`EQC|03060200450_x0005_`JDC|00000602004500000_x0005_`WQC|_x0005_`EDT|2025_x0005_`ADJ|F_x0005_`RXX|0_x0005_`NAG|0_x0005_`UC|F_x0005_`DET|"&amp;ROW(중기사용료!A33)&amp;"_x0005_`"</f>
        <v>_x0007_`COD|X00024_x0005_`QTY1|1_x0005_`BQC|_x0005_`EQC|03060200450_x0005_`JDC|00000602004500000_x0005_`WQC|_x0005_`EDT|2025_x0005_`ADJ|F_x0005_`RXX|0_x0005_`NAG|0_x0005_`UC|F_x0005_`DET|33_x0005_`</v>
      </c>
      <c r="K8" s="3" t="str">
        <f ca="1">HYPERLINK("#"&amp;중기사용료!N2&amp;"!A"&amp;ROW(중기사용료!A33),"X00024 →")</f>
        <v>X00024 →</v>
      </c>
    </row>
    <row r="9" spans="1:11" ht="22.35" customHeight="1" x14ac:dyDescent="0.3">
      <c r="A9" s="9" t="s">
        <v>120</v>
      </c>
      <c r="B9" s="10" t="s">
        <v>117</v>
      </c>
      <c r="C9" s="10" t="s">
        <v>121</v>
      </c>
      <c r="D9" s="9" t="s">
        <v>105</v>
      </c>
      <c r="E9" s="99">
        <f>중기사용료!F46</f>
        <v>105021</v>
      </c>
      <c r="F9" s="121">
        <f>중기사용료!H46</f>
        <v>57077</v>
      </c>
      <c r="G9" s="120">
        <f>중기사용료!J46</f>
        <v>27668</v>
      </c>
      <c r="H9" s="99">
        <f>중기사용료!L46</f>
        <v>20276</v>
      </c>
      <c r="I9" s="15" t="s">
        <v>120</v>
      </c>
      <c r="J9" s="17" t="str">
        <f>"_x0007_`COD|X00028_x0005_`QTY1|1_x0005_`BQC|_x0005_`EQC|03060201500_x0005_`JDC|00000602015000000_x0005_`WQC|_x0005_`EDT|2025_x0005_`ADJ|F_x0005_`RXX|0_x0005_`NAG|0_x0005_`UC|F_x0005_`DET|"&amp;ROW(중기사용료!A40)&amp;"_x0005_`"</f>
        <v>_x0007_`COD|X00028_x0005_`QTY1|1_x0005_`BQC|_x0005_`EQC|03060201500_x0005_`JDC|00000602015000000_x0005_`WQC|_x0005_`EDT|2025_x0005_`ADJ|F_x0005_`RXX|0_x0005_`NAG|0_x0005_`UC|F_x0005_`DET|40_x0005_`</v>
      </c>
      <c r="K9" s="3" t="str">
        <f ca="1">HYPERLINK("#"&amp;중기사용료!N2&amp;"!A"&amp;ROW(중기사용료!A40),"X00028 →")</f>
        <v>X00028 →</v>
      </c>
    </row>
    <row r="10" spans="1:11" ht="22.35" customHeight="1" x14ac:dyDescent="0.3">
      <c r="A10" s="9" t="s">
        <v>123</v>
      </c>
      <c r="B10" s="10" t="s">
        <v>117</v>
      </c>
      <c r="C10" s="10" t="s">
        <v>124</v>
      </c>
      <c r="D10" s="9" t="s">
        <v>105</v>
      </c>
      <c r="E10" s="99">
        <f>중기사용료!F53</f>
        <v>108580</v>
      </c>
      <c r="F10" s="121">
        <f>중기사용료!H53</f>
        <v>57077</v>
      </c>
      <c r="G10" s="120">
        <f>중기사용료!J53</f>
        <v>27668</v>
      </c>
      <c r="H10" s="99">
        <f>중기사용료!L53</f>
        <v>23835</v>
      </c>
      <c r="I10" s="15" t="s">
        <v>123</v>
      </c>
      <c r="J10" s="17" t="str">
        <f>"_x0007_`COD|X00031_x0005_`QTY1|1_x0005_`BQC|_x0005_`EQC|03060201501_x0005_`JDC|00000602015000001_x0005_`WQC|_x0005_`EDT|2025_x0005_`ADJ|F_x0005_`RXX|0_x0005_`NAG|0_x0005_`UC|F_x0005_`DET|"&amp;ROW(중기사용료!A47)&amp;"_x0005_`"</f>
        <v>_x0007_`COD|X00031_x0005_`QTY1|1_x0005_`BQC|_x0005_`EQC|03060201501_x0005_`JDC|00000602015000001_x0005_`WQC|_x0005_`EDT|2025_x0005_`ADJ|F_x0005_`RXX|0_x0005_`NAG|0_x0005_`UC|F_x0005_`DET|47_x0005_`</v>
      </c>
      <c r="K10" s="3" t="str">
        <f ca="1">HYPERLINK("#"&amp;중기사용료!N2&amp;"!A"&amp;ROW(중기사용료!A47),"X00031 →")</f>
        <v>X00031 →</v>
      </c>
    </row>
    <row r="11" spans="1:11" ht="22.35" customHeight="1" x14ac:dyDescent="0.3">
      <c r="A11" s="9" t="s">
        <v>126</v>
      </c>
      <c r="B11" s="10" t="s">
        <v>127</v>
      </c>
      <c r="C11" s="10" t="s">
        <v>128</v>
      </c>
      <c r="D11" s="9" t="s">
        <v>105</v>
      </c>
      <c r="E11" s="99">
        <f>중기사용료!F57</f>
        <v>430</v>
      </c>
      <c r="F11" s="121">
        <f>중기사용료!H57</f>
        <v>0</v>
      </c>
      <c r="G11" s="120">
        <f>중기사용료!J57</f>
        <v>0</v>
      </c>
      <c r="H11" s="99">
        <f>중기사용료!L57</f>
        <v>430</v>
      </c>
      <c r="I11" s="15" t="s">
        <v>126</v>
      </c>
      <c r="J11" s="17" t="str">
        <f>"_x0007_`COD|X00032_x0005_`QTY1|1_x0005_`BQC|_x0005_`EQC|03061001500_x0005_`JDC|00000610015000000_x0005_`WQC|_x0005_`EDT|2025_x0005_`ADJ|F_x0005_`RXX|0_x0005_`NAG|0_x0005_`UC|F_x0005_`DET|"&amp;ROW(중기사용료!A54)&amp;"_x0005_`"</f>
        <v>_x0007_`COD|X00032_x0005_`QTY1|1_x0005_`BQC|_x0005_`EQC|03061001500_x0005_`JDC|00000610015000000_x0005_`WQC|_x0005_`EDT|2025_x0005_`ADJ|F_x0005_`RXX|0_x0005_`NAG|0_x0005_`UC|F_x0005_`DET|54_x0005_`</v>
      </c>
      <c r="K11" s="3" t="str">
        <f ca="1">HYPERLINK("#"&amp;중기사용료!N2&amp;"!A"&amp;ROW(중기사용료!A54),"X00032 →")</f>
        <v>X00032 →</v>
      </c>
    </row>
    <row r="12" spans="1:11" ht="22.35" customHeight="1" x14ac:dyDescent="0.3">
      <c r="A12" s="9" t="s">
        <v>130</v>
      </c>
      <c r="B12" s="10" t="s">
        <v>127</v>
      </c>
      <c r="C12" s="10" t="s">
        <v>131</v>
      </c>
      <c r="D12" s="9" t="s">
        <v>105</v>
      </c>
      <c r="E12" s="99">
        <f>중기사용료!F61</f>
        <v>499</v>
      </c>
      <c r="F12" s="121">
        <f>중기사용료!H61</f>
        <v>0</v>
      </c>
      <c r="G12" s="120">
        <f>중기사용료!J61</f>
        <v>0</v>
      </c>
      <c r="H12" s="99">
        <f>중기사용료!L61</f>
        <v>499</v>
      </c>
      <c r="I12" s="15" t="s">
        <v>130</v>
      </c>
      <c r="J12" s="17" t="str">
        <f>"_x0007_`COD|X00084_x0005_`QTY1|1_x0005_`BQC|11하' 신규_x0005_`EQC|03061002400_x0005_`JDC|00000610024000000_x0005_`WQC|_x0005_`EDT|2025_x0005_`ADJ|F_x0005_`RXX|0_x0005_`NAG|0_x0005_`UC|F_x0005_`DET|"&amp;ROW(중기사용료!A58)&amp;"_x0005_`"</f>
        <v>_x0007_`COD|X00084_x0005_`QTY1|1_x0005_`BQC|11하' 신규_x0005_`EQC|03061002400_x0005_`JDC|00000610024000000_x0005_`WQC|_x0005_`EDT|2025_x0005_`ADJ|F_x0005_`RXX|0_x0005_`NAG|0_x0005_`UC|F_x0005_`DET|58_x0005_`</v>
      </c>
      <c r="K12" s="3" t="str">
        <f ca="1">HYPERLINK("#"&amp;중기사용료!N2&amp;"!A"&amp;ROW(중기사용료!A58),"X00084 →")</f>
        <v>X00084 →</v>
      </c>
    </row>
    <row r="13" spans="1:11" ht="22.35" customHeight="1" x14ac:dyDescent="0.3">
      <c r="A13" s="9" t="s">
        <v>133</v>
      </c>
      <c r="B13" s="10" t="s">
        <v>117</v>
      </c>
      <c r="C13" s="10" t="s">
        <v>134</v>
      </c>
      <c r="D13" s="9" t="s">
        <v>105</v>
      </c>
      <c r="E13" s="99">
        <f>중기사용료!F68</f>
        <v>129424</v>
      </c>
      <c r="F13" s="121">
        <f>중기사용료!H68</f>
        <v>57077</v>
      </c>
      <c r="G13" s="120">
        <f>중기사용료!J68</f>
        <v>40024</v>
      </c>
      <c r="H13" s="99">
        <f>중기사용료!L68</f>
        <v>32323</v>
      </c>
      <c r="I13" s="15" t="s">
        <v>133</v>
      </c>
      <c r="J13" s="17" t="str">
        <f>"_x0007_`COD|X00085_x0005_`QTY1|1_x0005_`BQC|_x0005_`EQC|03060202400_x0005_`JDC|00000602024000000_x0005_`WQC|_x0005_`EDT|2025_x0005_`ADJ|F_x0005_`RXX|0_x0005_`NAG|0_x0005_`UC|F_x0005_`DET|"&amp;ROW(중기사용료!A62)&amp;"_x0005_`"</f>
        <v>_x0007_`COD|X00085_x0005_`QTY1|1_x0005_`BQC|_x0005_`EQC|03060202400_x0005_`JDC|00000602024000000_x0005_`WQC|_x0005_`EDT|2025_x0005_`ADJ|F_x0005_`RXX|0_x0005_`NAG|0_x0005_`UC|F_x0005_`DET|62_x0005_`</v>
      </c>
      <c r="K13" s="3" t="str">
        <f ca="1">HYPERLINK("#"&amp;중기사용료!N2&amp;"!A"&amp;ROW(중기사용료!A62),"X00085 →")</f>
        <v>X00085 →</v>
      </c>
    </row>
    <row r="14" spans="1:11" ht="22.35" customHeight="1" x14ac:dyDescent="0.3">
      <c r="A14" s="9" t="s">
        <v>136</v>
      </c>
      <c r="B14" s="10" t="s">
        <v>137</v>
      </c>
      <c r="C14" s="10" t="s">
        <v>138</v>
      </c>
      <c r="D14" s="9" t="s">
        <v>105</v>
      </c>
      <c r="E14" s="99">
        <f>중기사용료!F76</f>
        <v>107336</v>
      </c>
      <c r="F14" s="121">
        <f>중기사용료!H76</f>
        <v>57077</v>
      </c>
      <c r="G14" s="120">
        <f>중기사용료!J76</f>
        <v>18138</v>
      </c>
      <c r="H14" s="99">
        <f>중기사용료!L76</f>
        <v>32121</v>
      </c>
      <c r="I14" s="15" t="s">
        <v>136</v>
      </c>
      <c r="J14" s="17" t="str">
        <f>"_x0007_`COD|X00087_x0005_`QTY1|1_x0005_`BQC|_x0005_`EQC|03021100602_x0005_`JDC|_x0005_`WQC|_x0005_`EDT|2025_x0005_`ADJ|F_x0005_`RXX|0_x0005_`NAG|0_x0005_`UC|F_x0005_`DET|"&amp;ROW(중기사용료!A69)&amp;"_x0005_`"</f>
        <v>_x0007_`COD|X00087_x0005_`QTY1|1_x0005_`BQC|_x0005_`EQC|03021100602_x0005_`JDC|_x0005_`WQC|_x0005_`EDT|2025_x0005_`ADJ|F_x0005_`RXX|0_x0005_`NAG|0_x0005_`UC|F_x0005_`DET|69_x0005_`</v>
      </c>
      <c r="K14" s="3" t="str">
        <f ca="1">HYPERLINK("#"&amp;중기사용료!N2&amp;"!A"&amp;ROW(중기사용료!A69),"X00087 →")</f>
        <v>X00087 →</v>
      </c>
    </row>
    <row r="15" spans="1:11" ht="22.35" customHeight="1" x14ac:dyDescent="0.3">
      <c r="A15" s="9" t="s">
        <v>140</v>
      </c>
      <c r="B15" s="10" t="s">
        <v>141</v>
      </c>
      <c r="C15" s="10" t="s">
        <v>142</v>
      </c>
      <c r="D15" s="9" t="s">
        <v>105</v>
      </c>
      <c r="E15" s="99">
        <f>중기사용료!F83</f>
        <v>102607</v>
      </c>
      <c r="F15" s="121">
        <f>중기사용료!H83</f>
        <v>57077</v>
      </c>
      <c r="G15" s="120">
        <f>중기사용료!J83</f>
        <v>17845</v>
      </c>
      <c r="H15" s="99">
        <f>중기사용료!L83</f>
        <v>27685</v>
      </c>
      <c r="I15" s="15" t="s">
        <v>140</v>
      </c>
      <c r="J15" s="17" t="str">
        <f>"_x0007_`COD|X00088_x0005_`QTY1|1_x0005_`BQC|_x0005_`EQC|_x0005_`JDC|_x0005_`WQC|_x0005_`EDT|_x0005_`ADJ|F_x0005_`RXX|0_x0005_`NAG|0_x0005_`UC|F_x0005_`DET|"&amp;ROW(중기사용료!A77)&amp;"_x0005_`"</f>
        <v>_x0007_`COD|X00088_x0005_`QTY1|1_x0005_`BQC|_x0005_`EQC|_x0005_`JDC|_x0005_`WQC|_x0005_`EDT|_x0005_`ADJ|F_x0005_`RXX|0_x0005_`NAG|0_x0005_`UC|F_x0005_`DET|77_x0005_`</v>
      </c>
      <c r="K15" s="3" t="str">
        <f ca="1">HYPERLINK("#"&amp;중기사용료!N2&amp;"!A"&amp;ROW(중기사용료!A77),"X00088 →")</f>
        <v>X00088 →</v>
      </c>
    </row>
    <row r="16" spans="1:11" ht="22.35" customHeight="1" x14ac:dyDescent="0.3">
      <c r="A16" s="9" t="s">
        <v>144</v>
      </c>
      <c r="B16" s="10" t="s">
        <v>145</v>
      </c>
      <c r="C16" s="10" t="s">
        <v>146</v>
      </c>
      <c r="D16" s="9" t="s">
        <v>105</v>
      </c>
      <c r="E16" s="99">
        <f>중기사용료!F90</f>
        <v>62146</v>
      </c>
      <c r="F16" s="121">
        <f>중기사용료!H90</f>
        <v>49479</v>
      </c>
      <c r="G16" s="120">
        <f>중기사용료!J90</f>
        <v>5046</v>
      </c>
      <c r="H16" s="99">
        <f>중기사용료!L90</f>
        <v>7621</v>
      </c>
      <c r="I16" s="15" t="s">
        <v>144</v>
      </c>
      <c r="J16" s="17" t="str">
        <f>"_x0007_`COD|X00090_x0005_`QTY1|1_x0005_`BQC|_x0005_`EQC|_x0005_`JDC|_x0005_`WQC|_x0005_`EDT|_x0005_`ADJ|F_x0005_`RXX|0_x0005_`NAG|0_x0005_`UC|F_x0005_`DET|"&amp;ROW(중기사용료!A84)&amp;"_x0005_`"</f>
        <v>_x0007_`COD|X00090_x0005_`QTY1|1_x0005_`BQC|_x0005_`EQC|_x0005_`JDC|_x0005_`WQC|_x0005_`EDT|_x0005_`ADJ|F_x0005_`RXX|0_x0005_`NAG|0_x0005_`UC|F_x0005_`DET|84_x0005_`</v>
      </c>
      <c r="K16" s="3" t="str">
        <f ca="1">HYPERLINK("#"&amp;중기사용료!N2&amp;"!A"&amp;ROW(중기사용료!A84),"X00090 →")</f>
        <v>X00090 →</v>
      </c>
    </row>
    <row r="17" spans="1:11" ht="22.35" customHeight="1" x14ac:dyDescent="0.3">
      <c r="A17" s="9" t="s">
        <v>148</v>
      </c>
      <c r="B17" s="10" t="s">
        <v>117</v>
      </c>
      <c r="C17" s="10" t="s">
        <v>149</v>
      </c>
      <c r="D17" s="9" t="s">
        <v>105</v>
      </c>
      <c r="E17" s="99">
        <f>중기사용료!F97</f>
        <v>67076</v>
      </c>
      <c r="F17" s="121">
        <f>중기사용료!H97</f>
        <v>49479</v>
      </c>
      <c r="G17" s="120">
        <f>중기사용료!J97</f>
        <v>8700</v>
      </c>
      <c r="H17" s="99">
        <f>중기사용료!L97</f>
        <v>8897</v>
      </c>
      <c r="I17" s="15" t="s">
        <v>148</v>
      </c>
      <c r="J17" s="17" t="str">
        <f>"_x0007_`COD|X00092_x0005_`QTY1|1_x0005_`BQC|_x0005_`EQC|03060200451_x0005_`JDC|_x0005_`WQC|_x0005_`EDT|2025_x0005_`ADJ|F_x0005_`RXX|0_x0005_`NAG|0_x0005_`UC|F_x0005_`DET|"&amp;ROW(중기사용료!A91)&amp;"_x0005_`"</f>
        <v>_x0007_`COD|X00092_x0005_`QTY1|1_x0005_`BQC|_x0005_`EQC|03060200451_x0005_`JDC|_x0005_`WQC|_x0005_`EDT|2025_x0005_`ADJ|F_x0005_`RXX|0_x0005_`NAG|0_x0005_`UC|F_x0005_`DET|91_x0005_`</v>
      </c>
      <c r="K17" s="3" t="str">
        <f ca="1">HYPERLINK("#"&amp;중기사용료!N2&amp;"!A"&amp;ROW(중기사용료!A91),"X00092 →")</f>
        <v>X00092 →</v>
      </c>
    </row>
    <row r="18" spans="1:11" ht="22.35" customHeight="1" x14ac:dyDescent="0.3">
      <c r="A18" s="9" t="s">
        <v>151</v>
      </c>
      <c r="B18" s="10" t="s">
        <v>152</v>
      </c>
      <c r="C18" s="10" t="s">
        <v>153</v>
      </c>
      <c r="D18" s="9" t="s">
        <v>105</v>
      </c>
      <c r="E18" s="99">
        <f>중기사용료!F104</f>
        <v>106875</v>
      </c>
      <c r="F18" s="121">
        <f>중기사용료!H104</f>
        <v>57077</v>
      </c>
      <c r="G18" s="120">
        <f>중기사용료!J104</f>
        <v>23605</v>
      </c>
      <c r="H18" s="99">
        <f>중기사용료!L104</f>
        <v>26193</v>
      </c>
      <c r="I18" s="15" t="s">
        <v>151</v>
      </c>
      <c r="J18" s="17" t="str">
        <f>"_x0007_`COD|X00094_x0005_`QTY1|1_x0005_`BQC|_x0005_`EQC|03130601000_x0005_`JDC|00001306010000000_x0005_`WQC|_x0005_`EDT|2025_x0005_`ADJ|F_x0005_`RXX|0_x0005_`NAG|0_x0005_`UC|F_x0005_`DET|"&amp;ROW(중기사용료!A98)&amp;"_x0005_`"</f>
        <v>_x0007_`COD|X00094_x0005_`QTY1|1_x0005_`BQC|_x0005_`EQC|03130601000_x0005_`JDC|00001306010000000_x0005_`WQC|_x0005_`EDT|2025_x0005_`ADJ|F_x0005_`RXX|0_x0005_`NAG|0_x0005_`UC|F_x0005_`DET|98_x0005_`</v>
      </c>
      <c r="K18" s="3" t="str">
        <f ca="1">HYPERLINK("#"&amp;중기사용료!N2&amp;"!A"&amp;ROW(중기사용료!A98),"X00094 →")</f>
        <v>X00094 →</v>
      </c>
    </row>
  </sheetData>
  <mergeCells count="1">
    <mergeCell ref="A1:I1"/>
  </mergeCells>
  <phoneticPr fontId="25" type="noConversion"/>
  <hyperlinks>
    <hyperlink ref="K1" r:id="rId1" tooltip="설계예산시스템(STmate w25.05)으로 작성 하였으며,_x000a_엑셀 인쇄품질 600 dpi에 최적화 되어 있습니다._x000a_경영정보(주) http://www.stma.co.kr_x000a_Tel) 070-4350-0040_x000a_Fax) 0505-300-3948"/>
    <hyperlink ref="J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4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2" width="24.25" style="6" customWidth="1"/>
    <col min="3" max="3" width="10" style="6" customWidth="1"/>
    <col min="4" max="4" width="5.5" style="6" customWidth="1"/>
    <col min="5" max="5" width="10" style="6" customWidth="1"/>
    <col min="6" max="6" width="11.5" style="6" customWidth="1"/>
    <col min="7" max="7" width="10" style="6" customWidth="1"/>
    <col min="8" max="8" width="11.5" style="6" customWidth="1"/>
    <col min="9" max="9" width="10" style="6" customWidth="1"/>
    <col min="10" max="10" width="11.5" style="6" customWidth="1"/>
    <col min="11" max="11" width="10" style="6" customWidth="1"/>
    <col min="12" max="13" width="11.5" style="6" customWidth="1"/>
    <col min="14" max="14" width="9.125" style="140" hidden="1" customWidth="1"/>
    <col min="15" max="25" width="2.125" style="6" customWidth="1"/>
    <col min="26" max="26" width="9.125" style="18" customWidth="1"/>
    <col min="27" max="16384" width="9.125" style="6"/>
  </cols>
  <sheetData>
    <row r="1" spans="1:26" ht="24.95" customHeight="1" x14ac:dyDescent="0.3">
      <c r="A1" s="183" t="s">
        <v>1265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5" t="s">
        <v>47</v>
      </c>
      <c r="Z1" s="19" t="s">
        <v>47</v>
      </c>
    </row>
    <row r="2" spans="1:26" ht="28.7" customHeight="1" x14ac:dyDescent="0.3">
      <c r="A2" s="1" t="s">
        <v>1</v>
      </c>
      <c r="N2" s="20" t="str">
        <f ca="1">MID(CELL("filename",$A$1),FIND("]",CELL("filename",$A$1))+1,LEN(CELL("filename",$A$1)))</f>
        <v>중기사용료</v>
      </c>
    </row>
    <row r="3" spans="1:26" ht="28.7" customHeight="1" x14ac:dyDescent="0.3">
      <c r="A3" s="206" t="s">
        <v>3</v>
      </c>
      <c r="B3" s="206" t="s">
        <v>4</v>
      </c>
      <c r="C3" s="206" t="s">
        <v>255</v>
      </c>
      <c r="D3" s="206" t="s">
        <v>5</v>
      </c>
      <c r="E3" s="186" t="s">
        <v>6</v>
      </c>
      <c r="F3" s="192"/>
      <c r="G3" s="186" t="s">
        <v>7</v>
      </c>
      <c r="H3" s="192"/>
      <c r="I3" s="186" t="s">
        <v>8</v>
      </c>
      <c r="J3" s="192"/>
      <c r="K3" s="186" t="s">
        <v>9</v>
      </c>
      <c r="L3" s="192"/>
      <c r="M3" s="186" t="s">
        <v>10</v>
      </c>
    </row>
    <row r="4" spans="1:26" ht="28.7" customHeight="1" x14ac:dyDescent="0.3">
      <c r="A4" s="192"/>
      <c r="B4" s="192"/>
      <c r="C4" s="192"/>
      <c r="D4" s="192"/>
      <c r="E4" s="9" t="s">
        <v>156</v>
      </c>
      <c r="F4" s="9" t="s">
        <v>256</v>
      </c>
      <c r="G4" s="9" t="s">
        <v>156</v>
      </c>
      <c r="H4" s="9" t="s">
        <v>256</v>
      </c>
      <c r="I4" s="9" t="s">
        <v>156</v>
      </c>
      <c r="J4" s="9" t="s">
        <v>256</v>
      </c>
      <c r="K4" s="9" t="s">
        <v>156</v>
      </c>
      <c r="L4" s="9" t="s">
        <v>256</v>
      </c>
      <c r="M4" s="187"/>
      <c r="Z4" s="3" t="str">
        <f>HYPERLINK("#'〓 목 차 〓'!B2","목차 →")</f>
        <v>목차 →</v>
      </c>
    </row>
    <row r="5" spans="1:26" ht="28.7" customHeight="1" x14ac:dyDescent="0.3">
      <c r="A5" s="39" t="s">
        <v>1266</v>
      </c>
      <c r="B5" s="39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41" t="str">
        <f>HYPERLINK("#N"&amp;ROW(N10),"_x0005_`BDCOD|X00003_x0007_`POSS|"&amp;ROW(N7)&amp;"_x0007_`POSE|"&amp;ROW(N10)&amp;"_x0007_`")</f>
        <v>_x0005_`BDCOD|X00003_x0007_`POSS|7_x0007_`POSE|10_x0007_`</v>
      </c>
    </row>
    <row r="6" spans="1:26" ht="28.7" customHeight="1" x14ac:dyDescent="0.3">
      <c r="A6" s="122" t="s">
        <v>103</v>
      </c>
      <c r="B6" s="122" t="s">
        <v>104</v>
      </c>
      <c r="C6" s="125"/>
      <c r="D6" s="128" t="s">
        <v>105</v>
      </c>
      <c r="E6" s="125"/>
      <c r="F6" s="125"/>
      <c r="G6" s="125"/>
      <c r="H6" s="125"/>
      <c r="I6" s="125"/>
      <c r="J6" s="125"/>
      <c r="K6" s="125"/>
      <c r="L6" s="125"/>
      <c r="M6" s="128" t="s">
        <v>1267</v>
      </c>
      <c r="O6" s="7" t="s">
        <v>1267</v>
      </c>
    </row>
    <row r="7" spans="1:26" ht="28.7" customHeight="1" x14ac:dyDescent="0.3">
      <c r="A7" s="10" t="s">
        <v>103</v>
      </c>
      <c r="B7" s="10" t="s">
        <v>104</v>
      </c>
      <c r="C7" s="126">
        <v>0.20849999999999999</v>
      </c>
      <c r="D7" s="32" t="s">
        <v>198</v>
      </c>
      <c r="E7" s="129">
        <f t="shared" ref="E7:F10" si="0">I7+G7+K7</f>
        <v>64267</v>
      </c>
      <c r="F7" s="132">
        <f t="shared" si="0"/>
        <v>13399.6</v>
      </c>
      <c r="G7" s="135">
        <v>0</v>
      </c>
      <c r="H7" s="132">
        <f>IF(C7=0,0,ROUNDDOWN(G7*C7,1))</f>
        <v>0</v>
      </c>
      <c r="I7" s="135">
        <v>0</v>
      </c>
      <c r="J7" s="131">
        <f>IF(C7=0,0,ROUNDDOWN(I7*C7,1))</f>
        <v>0</v>
      </c>
      <c r="K7" s="134">
        <f>경비목록표!E4</f>
        <v>64267</v>
      </c>
      <c r="L7" s="138">
        <f>IF(C7=0,0,ROUNDDOWN(K7*C7,1))</f>
        <v>13399.6</v>
      </c>
      <c r="M7" s="23" t="s">
        <v>1270</v>
      </c>
      <c r="N7" s="17" t="s">
        <v>1268</v>
      </c>
      <c r="O7" s="7" t="s">
        <v>1269</v>
      </c>
      <c r="P7" s="7" t="s">
        <v>768</v>
      </c>
      <c r="Z7" s="3" t="str">
        <f ca="1">HYPERLINK("#"&amp;경비목록표!G2&amp;"!A"&amp;ROW(경비목록표!A4),"S00003 →")</f>
        <v>S00003 →</v>
      </c>
    </row>
    <row r="8" spans="1:26" ht="28.7" customHeight="1" x14ac:dyDescent="0.3">
      <c r="A8" s="10" t="s">
        <v>193</v>
      </c>
      <c r="B8" s="10"/>
      <c r="C8" s="126">
        <v>1</v>
      </c>
      <c r="D8" s="32" t="s">
        <v>185</v>
      </c>
      <c r="E8" s="129">
        <f t="shared" si="0"/>
        <v>57077</v>
      </c>
      <c r="F8" s="131">
        <f t="shared" si="0"/>
        <v>57077</v>
      </c>
      <c r="G8" s="134">
        <f>환율및기초자료!G6</f>
        <v>57077</v>
      </c>
      <c r="H8" s="137">
        <f>IF(C8=0,0,ROUNDDOWN(G8*C8,1))</f>
        <v>57077</v>
      </c>
      <c r="I8" s="135">
        <v>0</v>
      </c>
      <c r="J8" s="132">
        <f>IF(C8=0,0,ROUNDDOWN(I8*C8,1))</f>
        <v>0</v>
      </c>
      <c r="K8" s="135">
        <v>0</v>
      </c>
      <c r="L8" s="131">
        <f>IF(C8=0,0,ROUNDDOWN(K8*C8,1))</f>
        <v>0</v>
      </c>
      <c r="M8" s="23" t="s">
        <v>1273</v>
      </c>
      <c r="N8" s="17" t="s">
        <v>1271</v>
      </c>
      <c r="O8" s="7" t="s">
        <v>1272</v>
      </c>
      <c r="P8" s="7" t="s">
        <v>768</v>
      </c>
      <c r="Z8" s="3" t="str">
        <f ca="1">HYPERLINK("#"&amp;환율및기초자료!I2&amp;"!A"&amp;ROW(환율및기초자료!A6),"L00024 →")</f>
        <v>L00024 →</v>
      </c>
    </row>
    <row r="9" spans="1:26" ht="28.7" customHeight="1" x14ac:dyDescent="0.3">
      <c r="A9" s="10" t="s">
        <v>157</v>
      </c>
      <c r="B9" s="10" t="s">
        <v>158</v>
      </c>
      <c r="C9" s="126">
        <v>5</v>
      </c>
      <c r="D9" s="32" t="s">
        <v>159</v>
      </c>
      <c r="E9" s="129">
        <f t="shared" si="0"/>
        <v>1261</v>
      </c>
      <c r="F9" s="132">
        <f t="shared" si="0"/>
        <v>6305</v>
      </c>
      <c r="G9" s="135">
        <v>0</v>
      </c>
      <c r="H9" s="131">
        <f>IF(C9=0,0,ROUNDDOWN(G9*C9,1))</f>
        <v>0</v>
      </c>
      <c r="I9" s="134">
        <f>재료비목록표!E4</f>
        <v>1261</v>
      </c>
      <c r="J9" s="137">
        <f>IF(C9=0,0,ROUNDDOWN(I9*C9,1))</f>
        <v>6305</v>
      </c>
      <c r="K9" s="135">
        <v>0</v>
      </c>
      <c r="L9" s="131">
        <f>IF(C9=0,0,ROUNDDOWN(K9*C9,1))</f>
        <v>0</v>
      </c>
      <c r="M9" s="23" t="s">
        <v>1276</v>
      </c>
      <c r="N9" s="17" t="s">
        <v>1274</v>
      </c>
      <c r="O9" s="7" t="s">
        <v>1275</v>
      </c>
      <c r="P9" s="7" t="s">
        <v>768</v>
      </c>
      <c r="Q9" s="7" t="s">
        <v>793</v>
      </c>
      <c r="Z9" s="3" t="str">
        <f ca="1">HYPERLINK("#"&amp;재료비목록표!G2&amp;"!A"&amp;ROW(재료비목록표!A4),"M00758 →")</f>
        <v>M00758 →</v>
      </c>
    </row>
    <row r="10" spans="1:26" ht="28.7" customHeight="1" x14ac:dyDescent="0.3">
      <c r="A10" s="10" t="s">
        <v>161</v>
      </c>
      <c r="B10" s="10" t="s">
        <v>1277</v>
      </c>
      <c r="C10" s="126">
        <v>21</v>
      </c>
      <c r="D10" s="32" t="s">
        <v>163</v>
      </c>
      <c r="E10" s="129">
        <f t="shared" si="0"/>
        <v>6305</v>
      </c>
      <c r="F10" s="132">
        <f t="shared" si="0"/>
        <v>1324</v>
      </c>
      <c r="G10" s="13">
        <v>0</v>
      </c>
      <c r="H10" s="132">
        <f>IF(C10=0,0,ROUNDDOWN(G10*C10/100,1))</f>
        <v>0</v>
      </c>
      <c r="I10" s="136">
        <f>J9</f>
        <v>6305</v>
      </c>
      <c r="J10" s="131">
        <f>IF(C10=0,0,ROUNDDOWN(I10*C10/100,1))</f>
        <v>1324</v>
      </c>
      <c r="K10" s="22">
        <v>0</v>
      </c>
      <c r="L10" s="131">
        <f>IF(C10=0,0,ROUNDDOWN(K10*C10/100,1))</f>
        <v>0</v>
      </c>
      <c r="M10" s="23"/>
      <c r="N10" s="17" t="s">
        <v>1278</v>
      </c>
      <c r="O10" s="7" t="s">
        <v>805</v>
      </c>
      <c r="P10" s="7" t="s">
        <v>768</v>
      </c>
    </row>
    <row r="11" spans="1:26" ht="28.7" customHeight="1" x14ac:dyDescent="0.3">
      <c r="A11" s="23" t="s">
        <v>6</v>
      </c>
      <c r="B11" s="123"/>
      <c r="C11" s="123"/>
      <c r="D11" s="123"/>
      <c r="E11" s="123"/>
      <c r="F11" s="99">
        <f>J11+H11+L11</f>
        <v>78105</v>
      </c>
      <c r="G11" s="123"/>
      <c r="H11" s="99">
        <f>ROUNDDOWN(SUMIF(P7:P10,O11,H7:H10),0)</f>
        <v>57077</v>
      </c>
      <c r="I11" s="123"/>
      <c r="J11" s="99">
        <f>ROUNDDOWN(SUMIF(P7:P10,O11,J7:J10),0)</f>
        <v>7629</v>
      </c>
      <c r="K11" s="123"/>
      <c r="L11" s="99">
        <f>ROUNDDOWN(SUMIF(P7:P10,O11,L7:L10),0)</f>
        <v>13399</v>
      </c>
      <c r="M11" s="123"/>
      <c r="O11" s="7" t="s">
        <v>768</v>
      </c>
    </row>
    <row r="12" spans="1:26" ht="28.7" customHeight="1" x14ac:dyDescent="0.3">
      <c r="A12" s="39" t="s">
        <v>106</v>
      </c>
      <c r="B12" s="39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41" t="str">
        <f>HYPERLINK("#N"&amp;ROW(N17),"_x0005_`BDCOD|X00005_x0007_`POSS|"&amp;ROW(N14)&amp;"_x0007_`POSE|"&amp;ROW(N17)&amp;"_x0007_`")</f>
        <v>_x0005_`BDCOD|X00005_x0007_`POSS|14_x0007_`POSE|17_x0007_`</v>
      </c>
    </row>
    <row r="13" spans="1:26" ht="28.7" customHeight="1" x14ac:dyDescent="0.3">
      <c r="A13" s="122" t="s">
        <v>103</v>
      </c>
      <c r="B13" s="122" t="s">
        <v>108</v>
      </c>
      <c r="C13" s="125"/>
      <c r="D13" s="128" t="s">
        <v>105</v>
      </c>
      <c r="E13" s="125"/>
      <c r="F13" s="125"/>
      <c r="G13" s="125"/>
      <c r="H13" s="125"/>
      <c r="I13" s="125"/>
      <c r="J13" s="125"/>
      <c r="K13" s="125"/>
      <c r="L13" s="125"/>
      <c r="M13" s="128" t="s">
        <v>1279</v>
      </c>
      <c r="O13" s="7" t="s">
        <v>1279</v>
      </c>
    </row>
    <row r="14" spans="1:26" ht="28.7" customHeight="1" x14ac:dyDescent="0.3">
      <c r="A14" s="10" t="s">
        <v>103</v>
      </c>
      <c r="B14" s="10" t="s">
        <v>108</v>
      </c>
      <c r="C14" s="126">
        <v>0.20849999999999999</v>
      </c>
      <c r="D14" s="32" t="s">
        <v>198</v>
      </c>
      <c r="E14" s="129">
        <f t="shared" ref="E14:F17" si="1">I14+G14+K14</f>
        <v>115116</v>
      </c>
      <c r="F14" s="132">
        <f t="shared" si="1"/>
        <v>24001.599999999999</v>
      </c>
      <c r="G14" s="135">
        <v>0</v>
      </c>
      <c r="H14" s="132">
        <f>IF(C14=0,0,ROUNDDOWN(G14*C14,1))</f>
        <v>0</v>
      </c>
      <c r="I14" s="135">
        <v>0</v>
      </c>
      <c r="J14" s="131">
        <f>IF(C14=0,0,ROUNDDOWN(I14*C14,1))</f>
        <v>0</v>
      </c>
      <c r="K14" s="134">
        <f>경비목록표!E5</f>
        <v>115116</v>
      </c>
      <c r="L14" s="138">
        <f>IF(C14=0,0,ROUNDDOWN(K14*C14,1))</f>
        <v>24001.599999999999</v>
      </c>
      <c r="M14" s="23" t="s">
        <v>1282</v>
      </c>
      <c r="N14" s="17" t="s">
        <v>1280</v>
      </c>
      <c r="O14" s="7" t="s">
        <v>1281</v>
      </c>
      <c r="P14" s="7" t="s">
        <v>768</v>
      </c>
      <c r="Z14" s="3" t="str">
        <f ca="1">HYPERLINK("#"&amp;경비목록표!G2&amp;"!A"&amp;ROW(경비목록표!A5),"S00005 →")</f>
        <v>S00005 →</v>
      </c>
    </row>
    <row r="15" spans="1:26" ht="28.7" customHeight="1" x14ac:dyDescent="0.3">
      <c r="A15" s="10" t="s">
        <v>193</v>
      </c>
      <c r="B15" s="10"/>
      <c r="C15" s="126">
        <v>1</v>
      </c>
      <c r="D15" s="32" t="s">
        <v>185</v>
      </c>
      <c r="E15" s="129">
        <f t="shared" si="1"/>
        <v>57077</v>
      </c>
      <c r="F15" s="131">
        <f t="shared" si="1"/>
        <v>57077</v>
      </c>
      <c r="G15" s="134">
        <f>환율및기초자료!G6</f>
        <v>57077</v>
      </c>
      <c r="H15" s="137">
        <f>IF(C15=0,0,ROUNDDOWN(G15*C15,1))</f>
        <v>57077</v>
      </c>
      <c r="I15" s="135">
        <v>0</v>
      </c>
      <c r="J15" s="132">
        <f>IF(C15=0,0,ROUNDDOWN(I15*C15,1))</f>
        <v>0</v>
      </c>
      <c r="K15" s="135">
        <v>0</v>
      </c>
      <c r="L15" s="131">
        <f>IF(C15=0,0,ROUNDDOWN(K15*C15,1))</f>
        <v>0</v>
      </c>
      <c r="M15" s="23" t="s">
        <v>1273</v>
      </c>
      <c r="N15" s="17" t="s">
        <v>1271</v>
      </c>
      <c r="O15" s="7" t="s">
        <v>1272</v>
      </c>
      <c r="P15" s="7" t="s">
        <v>768</v>
      </c>
      <c r="Z15" s="3" t="str">
        <f ca="1">HYPERLINK("#"&amp;환율및기초자료!I2&amp;"!A"&amp;ROW(환율및기초자료!A6),"L00024 →")</f>
        <v>L00024 →</v>
      </c>
    </row>
    <row r="16" spans="1:26" ht="28.7" customHeight="1" x14ac:dyDescent="0.3">
      <c r="A16" s="10" t="s">
        <v>157</v>
      </c>
      <c r="B16" s="10" t="s">
        <v>158</v>
      </c>
      <c r="C16" s="126">
        <v>11.6</v>
      </c>
      <c r="D16" s="32" t="s">
        <v>159</v>
      </c>
      <c r="E16" s="129">
        <f t="shared" si="1"/>
        <v>1261</v>
      </c>
      <c r="F16" s="132">
        <f t="shared" si="1"/>
        <v>14627.6</v>
      </c>
      <c r="G16" s="135">
        <v>0</v>
      </c>
      <c r="H16" s="131">
        <f>IF(C16=0,0,ROUNDDOWN(G16*C16,1))</f>
        <v>0</v>
      </c>
      <c r="I16" s="134">
        <f>재료비목록표!E4</f>
        <v>1261</v>
      </c>
      <c r="J16" s="137">
        <f>IF(C16=0,0,ROUNDDOWN(I16*C16,1))</f>
        <v>14627.6</v>
      </c>
      <c r="K16" s="135">
        <v>0</v>
      </c>
      <c r="L16" s="131">
        <f>IF(C16=0,0,ROUNDDOWN(K16*C16,1))</f>
        <v>0</v>
      </c>
      <c r="M16" s="23" t="s">
        <v>1276</v>
      </c>
      <c r="N16" s="17" t="s">
        <v>1274</v>
      </c>
      <c r="O16" s="7" t="s">
        <v>1275</v>
      </c>
      <c r="P16" s="7" t="s">
        <v>768</v>
      </c>
      <c r="Q16" s="7" t="s">
        <v>793</v>
      </c>
      <c r="Z16" s="3" t="str">
        <f ca="1">HYPERLINK("#"&amp;재료비목록표!G2&amp;"!A"&amp;ROW(재료비목록표!A4),"M00758 →")</f>
        <v>M00758 →</v>
      </c>
    </row>
    <row r="17" spans="1:26" ht="28.7" customHeight="1" x14ac:dyDescent="0.3">
      <c r="A17" s="10" t="s">
        <v>161</v>
      </c>
      <c r="B17" s="10" t="s">
        <v>1277</v>
      </c>
      <c r="C17" s="126">
        <v>22</v>
      </c>
      <c r="D17" s="32" t="s">
        <v>163</v>
      </c>
      <c r="E17" s="129">
        <f t="shared" si="1"/>
        <v>14627.6</v>
      </c>
      <c r="F17" s="132">
        <f t="shared" si="1"/>
        <v>3218</v>
      </c>
      <c r="G17" s="13">
        <v>0</v>
      </c>
      <c r="H17" s="132">
        <f>IF(C17=0,0,ROUNDDOWN(G17*C17/100,1))</f>
        <v>0</v>
      </c>
      <c r="I17" s="136">
        <f>J16</f>
        <v>14627.6</v>
      </c>
      <c r="J17" s="131">
        <f>IF(C17=0,0,ROUNDDOWN(I17*C17/100,1))</f>
        <v>3218</v>
      </c>
      <c r="K17" s="22">
        <v>0</v>
      </c>
      <c r="L17" s="131">
        <f>IF(C17=0,0,ROUNDDOWN(K17*C17/100,1))</f>
        <v>0</v>
      </c>
      <c r="M17" s="23"/>
      <c r="N17" s="17" t="s">
        <v>1278</v>
      </c>
      <c r="O17" s="7" t="s">
        <v>805</v>
      </c>
      <c r="P17" s="7" t="s">
        <v>768</v>
      </c>
    </row>
    <row r="18" spans="1:26" ht="28.7" customHeight="1" x14ac:dyDescent="0.3">
      <c r="A18" s="23" t="s">
        <v>6</v>
      </c>
      <c r="B18" s="123"/>
      <c r="C18" s="123"/>
      <c r="D18" s="123"/>
      <c r="E18" s="123"/>
      <c r="F18" s="99">
        <f>J18+H18+L18</f>
        <v>98923</v>
      </c>
      <c r="G18" s="123"/>
      <c r="H18" s="99">
        <f>ROUNDDOWN(SUMIF(P14:P17,O18,H14:H17),0)</f>
        <v>57077</v>
      </c>
      <c r="I18" s="123"/>
      <c r="J18" s="99">
        <f>ROUNDDOWN(SUMIF(P14:P17,O18,J14:J17),0)</f>
        <v>17845</v>
      </c>
      <c r="K18" s="123"/>
      <c r="L18" s="99">
        <f>ROUNDDOWN(SUMIF(P14:P17,O18,L14:L17),0)</f>
        <v>24001</v>
      </c>
      <c r="M18" s="123"/>
      <c r="O18" s="7" t="s">
        <v>768</v>
      </c>
    </row>
    <row r="19" spans="1:26" ht="28.7" customHeight="1" x14ac:dyDescent="0.3">
      <c r="A19" s="39" t="s">
        <v>109</v>
      </c>
      <c r="B19" s="39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41" t="str">
        <f>HYPERLINK("#N"&amp;ROW(N24),"_x0005_`BDCOD|X00007_x0007_`POSS|"&amp;ROW(N21)&amp;"_x0007_`POSE|"&amp;ROW(N24)&amp;"_x0007_`")</f>
        <v>_x0005_`BDCOD|X00007_x0007_`POSS|21_x0007_`POSE|24_x0007_`</v>
      </c>
    </row>
    <row r="20" spans="1:26" ht="28.7" customHeight="1" x14ac:dyDescent="0.3">
      <c r="A20" s="122" t="s">
        <v>103</v>
      </c>
      <c r="B20" s="122" t="s">
        <v>111</v>
      </c>
      <c r="C20" s="125"/>
      <c r="D20" s="128" t="s">
        <v>105</v>
      </c>
      <c r="E20" s="125"/>
      <c r="F20" s="125"/>
      <c r="G20" s="125"/>
      <c r="H20" s="125"/>
      <c r="I20" s="125"/>
      <c r="J20" s="125"/>
      <c r="K20" s="125"/>
      <c r="L20" s="125"/>
      <c r="M20" s="128" t="s">
        <v>1283</v>
      </c>
      <c r="O20" s="7" t="s">
        <v>1283</v>
      </c>
    </row>
    <row r="21" spans="1:26" ht="28.7" customHeight="1" x14ac:dyDescent="0.3">
      <c r="A21" s="10" t="s">
        <v>103</v>
      </c>
      <c r="B21" s="10" t="s">
        <v>104</v>
      </c>
      <c r="C21" s="126">
        <v>0.24049999999999999</v>
      </c>
      <c r="D21" s="32" t="s">
        <v>198</v>
      </c>
      <c r="E21" s="129">
        <f t="shared" ref="E21:F24" si="2">I21+G21+K21</f>
        <v>64267</v>
      </c>
      <c r="F21" s="132">
        <f t="shared" si="2"/>
        <v>15456.2</v>
      </c>
      <c r="G21" s="135">
        <v>0</v>
      </c>
      <c r="H21" s="132">
        <f>IF(C21=0,0,ROUNDDOWN(G21*C21,1))</f>
        <v>0</v>
      </c>
      <c r="I21" s="135">
        <v>0</v>
      </c>
      <c r="J21" s="131">
        <f>IF(C21=0,0,ROUNDDOWN(I21*C21,1))</f>
        <v>0</v>
      </c>
      <c r="K21" s="134">
        <f>경비목록표!E4</f>
        <v>64267</v>
      </c>
      <c r="L21" s="138">
        <f>IF(C21=0,0,ROUNDDOWN(K21*C21,1))</f>
        <v>15456.2</v>
      </c>
      <c r="M21" s="23" t="s">
        <v>1270</v>
      </c>
      <c r="N21" s="17" t="s">
        <v>1268</v>
      </c>
      <c r="O21" s="7" t="s">
        <v>1269</v>
      </c>
      <c r="P21" s="7" t="s">
        <v>768</v>
      </c>
      <c r="Z21" s="3" t="str">
        <f ca="1">HYPERLINK("#"&amp;경비목록표!G2&amp;"!A"&amp;ROW(경비목록표!A4),"S00003 →")</f>
        <v>S00003 →</v>
      </c>
    </row>
    <row r="22" spans="1:26" ht="28.7" customHeight="1" x14ac:dyDescent="0.3">
      <c r="A22" s="10" t="s">
        <v>193</v>
      </c>
      <c r="B22" s="10"/>
      <c r="C22" s="126">
        <v>1</v>
      </c>
      <c r="D22" s="32" t="s">
        <v>185</v>
      </c>
      <c r="E22" s="129">
        <f t="shared" si="2"/>
        <v>57077</v>
      </c>
      <c r="F22" s="131">
        <f t="shared" si="2"/>
        <v>57077</v>
      </c>
      <c r="G22" s="134">
        <f>환율및기초자료!G6</f>
        <v>57077</v>
      </c>
      <c r="H22" s="137">
        <f>IF(C22=0,0,ROUNDDOWN(G22*C22,1))</f>
        <v>57077</v>
      </c>
      <c r="I22" s="135">
        <v>0</v>
      </c>
      <c r="J22" s="132">
        <f>IF(C22=0,0,ROUNDDOWN(I22*C22,1))</f>
        <v>0</v>
      </c>
      <c r="K22" s="135">
        <v>0</v>
      </c>
      <c r="L22" s="131">
        <f>IF(C22=0,0,ROUNDDOWN(K22*C22,1))</f>
        <v>0</v>
      </c>
      <c r="M22" s="23" t="s">
        <v>1273</v>
      </c>
      <c r="N22" s="17" t="s">
        <v>1271</v>
      </c>
      <c r="O22" s="7" t="s">
        <v>1272</v>
      </c>
      <c r="P22" s="7" t="s">
        <v>768</v>
      </c>
      <c r="Z22" s="3" t="str">
        <f ca="1">HYPERLINK("#"&amp;환율및기초자료!I2&amp;"!A"&amp;ROW(환율및기초자료!A6),"L00024 →")</f>
        <v>L00024 →</v>
      </c>
    </row>
    <row r="23" spans="1:26" ht="28.7" customHeight="1" x14ac:dyDescent="0.3">
      <c r="A23" s="10" t="s">
        <v>157</v>
      </c>
      <c r="B23" s="10" t="s">
        <v>158</v>
      </c>
      <c r="C23" s="126">
        <v>5</v>
      </c>
      <c r="D23" s="32" t="s">
        <v>159</v>
      </c>
      <c r="E23" s="129">
        <f t="shared" si="2"/>
        <v>1261</v>
      </c>
      <c r="F23" s="132">
        <f t="shared" si="2"/>
        <v>6305</v>
      </c>
      <c r="G23" s="135">
        <v>0</v>
      </c>
      <c r="H23" s="131">
        <f>IF(C23=0,0,ROUNDDOWN(G23*C23,1))</f>
        <v>0</v>
      </c>
      <c r="I23" s="134">
        <f>재료비목록표!E4</f>
        <v>1261</v>
      </c>
      <c r="J23" s="137">
        <f>IF(C23=0,0,ROUNDDOWN(I23*C23,1))</f>
        <v>6305</v>
      </c>
      <c r="K23" s="135">
        <v>0</v>
      </c>
      <c r="L23" s="131">
        <f>IF(C23=0,0,ROUNDDOWN(K23*C23,1))</f>
        <v>0</v>
      </c>
      <c r="M23" s="23" t="s">
        <v>1276</v>
      </c>
      <c r="N23" s="17" t="s">
        <v>1274</v>
      </c>
      <c r="O23" s="7" t="s">
        <v>1275</v>
      </c>
      <c r="P23" s="7" t="s">
        <v>768</v>
      </c>
      <c r="Q23" s="7" t="s">
        <v>793</v>
      </c>
      <c r="Z23" s="3" t="str">
        <f ca="1">HYPERLINK("#"&amp;재료비목록표!G2&amp;"!A"&amp;ROW(재료비목록표!A4),"M00758 →")</f>
        <v>M00758 →</v>
      </c>
    </row>
    <row r="24" spans="1:26" ht="28.7" customHeight="1" x14ac:dyDescent="0.3">
      <c r="A24" s="10" t="s">
        <v>161</v>
      </c>
      <c r="B24" s="10" t="s">
        <v>1277</v>
      </c>
      <c r="C24" s="126">
        <v>21</v>
      </c>
      <c r="D24" s="32" t="s">
        <v>163</v>
      </c>
      <c r="E24" s="129">
        <f t="shared" si="2"/>
        <v>6305</v>
      </c>
      <c r="F24" s="132">
        <f t="shared" si="2"/>
        <v>1324</v>
      </c>
      <c r="G24" s="13">
        <v>0</v>
      </c>
      <c r="H24" s="132">
        <f>IF(C24=0,0,ROUNDDOWN(G24*C24/100,1))</f>
        <v>0</v>
      </c>
      <c r="I24" s="136">
        <f>J23</f>
        <v>6305</v>
      </c>
      <c r="J24" s="131">
        <f>IF(C24=0,0,ROUNDDOWN(I24*C24/100,1))</f>
        <v>1324</v>
      </c>
      <c r="K24" s="22">
        <v>0</v>
      </c>
      <c r="L24" s="131">
        <f>IF(C24=0,0,ROUNDDOWN(K24*C24/100,1))</f>
        <v>0</v>
      </c>
      <c r="M24" s="23"/>
      <c r="N24" s="17" t="s">
        <v>1278</v>
      </c>
      <c r="O24" s="7" t="s">
        <v>805</v>
      </c>
      <c r="P24" s="7" t="s">
        <v>768</v>
      </c>
    </row>
    <row r="25" spans="1:26" ht="28.7" customHeight="1" x14ac:dyDescent="0.3">
      <c r="A25" s="23" t="s">
        <v>6</v>
      </c>
      <c r="B25" s="123"/>
      <c r="C25" s="123"/>
      <c r="D25" s="123"/>
      <c r="E25" s="123"/>
      <c r="F25" s="99">
        <f>J25+H25+L25</f>
        <v>80162</v>
      </c>
      <c r="G25" s="123"/>
      <c r="H25" s="99">
        <f>ROUNDDOWN(SUMIF(P21:P24,O25,H21:H24),0)</f>
        <v>57077</v>
      </c>
      <c r="I25" s="123"/>
      <c r="J25" s="99">
        <f>ROUNDDOWN(SUMIF(P21:P24,O25,J21:J24),0)</f>
        <v>7629</v>
      </c>
      <c r="K25" s="123"/>
      <c r="L25" s="99">
        <f>ROUNDDOWN(SUMIF(P21:P24,O25,L21:L24),0)</f>
        <v>15456</v>
      </c>
      <c r="M25" s="123"/>
      <c r="O25" s="7" t="s">
        <v>768</v>
      </c>
    </row>
    <row r="26" spans="1:26" ht="28.7" customHeight="1" x14ac:dyDescent="0.3">
      <c r="A26" s="39" t="s">
        <v>112</v>
      </c>
      <c r="B26" s="39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41" t="str">
        <f>HYPERLINK("#N"&amp;ROW(N31),"_x0005_`BDCOD|X00009_x0007_`POSS|"&amp;ROW(N28)&amp;"_x0007_`POSE|"&amp;ROW(N31)&amp;"_x0007_`")</f>
        <v>_x0005_`BDCOD|X00009_x0007_`POSS|28_x0007_`POSE|31_x0007_`</v>
      </c>
    </row>
    <row r="27" spans="1:26" ht="28.7" customHeight="1" x14ac:dyDescent="0.3">
      <c r="A27" s="122" t="s">
        <v>103</v>
      </c>
      <c r="B27" s="122" t="s">
        <v>114</v>
      </c>
      <c r="C27" s="125"/>
      <c r="D27" s="128" t="s">
        <v>105</v>
      </c>
      <c r="E27" s="125"/>
      <c r="F27" s="125"/>
      <c r="G27" s="125"/>
      <c r="H27" s="125"/>
      <c r="I27" s="125"/>
      <c r="J27" s="125"/>
      <c r="K27" s="125"/>
      <c r="L27" s="125"/>
      <c r="M27" s="128" t="s">
        <v>1284</v>
      </c>
      <c r="O27" s="7" t="s">
        <v>1284</v>
      </c>
    </row>
    <row r="28" spans="1:26" ht="28.7" customHeight="1" x14ac:dyDescent="0.3">
      <c r="A28" s="10" t="s">
        <v>103</v>
      </c>
      <c r="B28" s="10" t="s">
        <v>108</v>
      </c>
      <c r="C28" s="126">
        <v>0.24049999999999999</v>
      </c>
      <c r="D28" s="32" t="s">
        <v>198</v>
      </c>
      <c r="E28" s="129">
        <f t="shared" ref="E28:F31" si="3">I28+G28+K28</f>
        <v>115116</v>
      </c>
      <c r="F28" s="132">
        <f t="shared" si="3"/>
        <v>27685.3</v>
      </c>
      <c r="G28" s="135">
        <v>0</v>
      </c>
      <c r="H28" s="132">
        <f>IF(C28=0,0,ROUNDDOWN(G28*C28,1))</f>
        <v>0</v>
      </c>
      <c r="I28" s="135">
        <v>0</v>
      </c>
      <c r="J28" s="131">
        <f>IF(C28=0,0,ROUNDDOWN(I28*C28,1))</f>
        <v>0</v>
      </c>
      <c r="K28" s="134">
        <f>경비목록표!E5</f>
        <v>115116</v>
      </c>
      <c r="L28" s="138">
        <f>IF(C28=0,0,ROUNDDOWN(K28*C28,1))</f>
        <v>27685.3</v>
      </c>
      <c r="M28" s="23" t="s">
        <v>1282</v>
      </c>
      <c r="N28" s="17" t="s">
        <v>1280</v>
      </c>
      <c r="O28" s="7" t="s">
        <v>1281</v>
      </c>
      <c r="P28" s="7" t="s">
        <v>768</v>
      </c>
      <c r="Z28" s="3" t="str">
        <f ca="1">HYPERLINK("#"&amp;경비목록표!G2&amp;"!A"&amp;ROW(경비목록표!A5),"S00005 →")</f>
        <v>S00005 →</v>
      </c>
    </row>
    <row r="29" spans="1:26" ht="28.7" customHeight="1" x14ac:dyDescent="0.3">
      <c r="A29" s="10" t="s">
        <v>193</v>
      </c>
      <c r="B29" s="10"/>
      <c r="C29" s="126">
        <v>1</v>
      </c>
      <c r="D29" s="32" t="s">
        <v>185</v>
      </c>
      <c r="E29" s="129">
        <f t="shared" si="3"/>
        <v>57077</v>
      </c>
      <c r="F29" s="131">
        <f t="shared" si="3"/>
        <v>57077</v>
      </c>
      <c r="G29" s="134">
        <f>환율및기초자료!G6</f>
        <v>57077</v>
      </c>
      <c r="H29" s="137">
        <f>IF(C29=0,0,ROUNDDOWN(G29*C29,1))</f>
        <v>57077</v>
      </c>
      <c r="I29" s="135">
        <v>0</v>
      </c>
      <c r="J29" s="132">
        <f>IF(C29=0,0,ROUNDDOWN(I29*C29,1))</f>
        <v>0</v>
      </c>
      <c r="K29" s="135">
        <v>0</v>
      </c>
      <c r="L29" s="131">
        <f>IF(C29=0,0,ROUNDDOWN(K29*C29,1))</f>
        <v>0</v>
      </c>
      <c r="M29" s="23" t="s">
        <v>1273</v>
      </c>
      <c r="N29" s="17" t="s">
        <v>1271</v>
      </c>
      <c r="O29" s="7" t="s">
        <v>1272</v>
      </c>
      <c r="P29" s="7" t="s">
        <v>768</v>
      </c>
      <c r="Z29" s="3" t="str">
        <f ca="1">HYPERLINK("#"&amp;환율및기초자료!I2&amp;"!A"&amp;ROW(환율및기초자료!A6),"L00024 →")</f>
        <v>L00024 →</v>
      </c>
    </row>
    <row r="30" spans="1:26" ht="28.7" customHeight="1" x14ac:dyDescent="0.3">
      <c r="A30" s="10" t="s">
        <v>157</v>
      </c>
      <c r="B30" s="10" t="s">
        <v>158</v>
      </c>
      <c r="C30" s="126">
        <v>11.6</v>
      </c>
      <c r="D30" s="32" t="s">
        <v>159</v>
      </c>
      <c r="E30" s="129">
        <f t="shared" si="3"/>
        <v>1261</v>
      </c>
      <c r="F30" s="132">
        <f t="shared" si="3"/>
        <v>14627.6</v>
      </c>
      <c r="G30" s="135">
        <v>0</v>
      </c>
      <c r="H30" s="131">
        <f>IF(C30=0,0,ROUNDDOWN(G30*C30,1))</f>
        <v>0</v>
      </c>
      <c r="I30" s="134">
        <f>재료비목록표!E4</f>
        <v>1261</v>
      </c>
      <c r="J30" s="137">
        <f>IF(C30=0,0,ROUNDDOWN(I30*C30,1))</f>
        <v>14627.6</v>
      </c>
      <c r="K30" s="135">
        <v>0</v>
      </c>
      <c r="L30" s="131">
        <f>IF(C30=0,0,ROUNDDOWN(K30*C30,1))</f>
        <v>0</v>
      </c>
      <c r="M30" s="23" t="s">
        <v>1276</v>
      </c>
      <c r="N30" s="17" t="s">
        <v>1274</v>
      </c>
      <c r="O30" s="7" t="s">
        <v>1275</v>
      </c>
      <c r="P30" s="7" t="s">
        <v>768</v>
      </c>
      <c r="Q30" s="7" t="s">
        <v>793</v>
      </c>
      <c r="Z30" s="3" t="str">
        <f ca="1">HYPERLINK("#"&amp;재료비목록표!G2&amp;"!A"&amp;ROW(재료비목록표!A4),"M00758 →")</f>
        <v>M00758 →</v>
      </c>
    </row>
    <row r="31" spans="1:26" ht="28.7" customHeight="1" x14ac:dyDescent="0.3">
      <c r="A31" s="10" t="s">
        <v>161</v>
      </c>
      <c r="B31" s="10" t="s">
        <v>1277</v>
      </c>
      <c r="C31" s="126">
        <v>22</v>
      </c>
      <c r="D31" s="32" t="s">
        <v>163</v>
      </c>
      <c r="E31" s="129">
        <f t="shared" si="3"/>
        <v>14627.6</v>
      </c>
      <c r="F31" s="132">
        <f t="shared" si="3"/>
        <v>3218</v>
      </c>
      <c r="G31" s="13">
        <v>0</v>
      </c>
      <c r="H31" s="132">
        <f>IF(C31=0,0,ROUNDDOWN(G31*C31/100,1))</f>
        <v>0</v>
      </c>
      <c r="I31" s="136">
        <f>J30</f>
        <v>14627.6</v>
      </c>
      <c r="J31" s="131">
        <f>IF(C31=0,0,ROUNDDOWN(I31*C31/100,1))</f>
        <v>3218</v>
      </c>
      <c r="K31" s="22">
        <v>0</v>
      </c>
      <c r="L31" s="131">
        <f>IF(C31=0,0,ROUNDDOWN(K31*C31/100,1))</f>
        <v>0</v>
      </c>
      <c r="M31" s="23"/>
      <c r="N31" s="17" t="s">
        <v>1278</v>
      </c>
      <c r="O31" s="7" t="s">
        <v>805</v>
      </c>
      <c r="P31" s="7" t="s">
        <v>768</v>
      </c>
    </row>
    <row r="32" spans="1:26" ht="28.7" customHeight="1" x14ac:dyDescent="0.3">
      <c r="A32" s="23" t="s">
        <v>6</v>
      </c>
      <c r="B32" s="123"/>
      <c r="C32" s="123"/>
      <c r="D32" s="123"/>
      <c r="E32" s="123"/>
      <c r="F32" s="99">
        <f>J32+H32+L32</f>
        <v>102607</v>
      </c>
      <c r="G32" s="123"/>
      <c r="H32" s="99">
        <f>ROUNDDOWN(SUMIF(P28:P31,O32,H28:H31),0)</f>
        <v>57077</v>
      </c>
      <c r="I32" s="123"/>
      <c r="J32" s="99">
        <f>ROUNDDOWN(SUMIF(P28:P31,O32,J28:J31),0)</f>
        <v>17845</v>
      </c>
      <c r="K32" s="123"/>
      <c r="L32" s="99">
        <f>ROUNDDOWN(SUMIF(P28:P31,O32,L28:L31),0)</f>
        <v>27685</v>
      </c>
      <c r="M32" s="123"/>
      <c r="O32" s="7" t="s">
        <v>768</v>
      </c>
    </row>
    <row r="33" spans="1:26" ht="28.7" customHeight="1" x14ac:dyDescent="0.3">
      <c r="A33" s="39" t="s">
        <v>115</v>
      </c>
      <c r="B33" s="39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41" t="str">
        <f>HYPERLINK("#N"&amp;ROW(N38),"_x0005_`BDCOD|X00024_x0007_`POSS|"&amp;ROW(N35)&amp;"_x0007_`POSE|"&amp;ROW(N38)&amp;"_x0007_`")</f>
        <v>_x0005_`BDCOD|X00024_x0007_`POSS|35_x0007_`POSE|38_x0007_`</v>
      </c>
    </row>
    <row r="34" spans="1:26" ht="28.7" customHeight="1" x14ac:dyDescent="0.3">
      <c r="A34" s="122" t="s">
        <v>117</v>
      </c>
      <c r="B34" s="122" t="s">
        <v>118</v>
      </c>
      <c r="C34" s="125"/>
      <c r="D34" s="128" t="s">
        <v>105</v>
      </c>
      <c r="E34" s="125"/>
      <c r="F34" s="125"/>
      <c r="G34" s="125"/>
      <c r="H34" s="125"/>
      <c r="I34" s="125"/>
      <c r="J34" s="125"/>
      <c r="K34" s="125"/>
      <c r="L34" s="125"/>
      <c r="M34" s="128" t="s">
        <v>1285</v>
      </c>
      <c r="O34" s="7" t="s">
        <v>1285</v>
      </c>
    </row>
    <row r="35" spans="1:26" ht="28.7" customHeight="1" x14ac:dyDescent="0.3">
      <c r="A35" s="10" t="s">
        <v>117</v>
      </c>
      <c r="B35" s="10" t="s">
        <v>118</v>
      </c>
      <c r="C35" s="126">
        <v>0.29670000000000002</v>
      </c>
      <c r="D35" s="32" t="s">
        <v>198</v>
      </c>
      <c r="E35" s="129">
        <f t="shared" ref="E35:F38" si="4">I35+G35+K35</f>
        <v>25185</v>
      </c>
      <c r="F35" s="132">
        <f t="shared" si="4"/>
        <v>7472.3</v>
      </c>
      <c r="G35" s="135">
        <v>0</v>
      </c>
      <c r="H35" s="132">
        <f>IF(C35=0,0,ROUNDDOWN(G35*C35,1))</f>
        <v>0</v>
      </c>
      <c r="I35" s="135">
        <v>0</v>
      </c>
      <c r="J35" s="131">
        <f>IF(C35=0,0,ROUNDDOWN(I35*C35,1))</f>
        <v>0</v>
      </c>
      <c r="K35" s="134">
        <f>경비목록표!E6</f>
        <v>25185</v>
      </c>
      <c r="L35" s="138">
        <f>IF(C35=0,0,ROUNDDOWN(K35*C35,1))</f>
        <v>7472.3</v>
      </c>
      <c r="M35" s="23" t="s">
        <v>1288</v>
      </c>
      <c r="N35" s="17" t="s">
        <v>1286</v>
      </c>
      <c r="O35" s="7" t="s">
        <v>1287</v>
      </c>
      <c r="P35" s="7" t="s">
        <v>768</v>
      </c>
      <c r="Z35" s="3" t="str">
        <f ca="1">HYPERLINK("#"&amp;경비목록표!G2&amp;"!A"&amp;ROW(경비목록표!A6),"S00017 →")</f>
        <v>S00017 →</v>
      </c>
    </row>
    <row r="36" spans="1:26" ht="28.7" customHeight="1" x14ac:dyDescent="0.3">
      <c r="A36" s="10" t="s">
        <v>195</v>
      </c>
      <c r="B36" s="10"/>
      <c r="C36" s="126">
        <v>1</v>
      </c>
      <c r="D36" s="32" t="s">
        <v>185</v>
      </c>
      <c r="E36" s="129">
        <f t="shared" si="4"/>
        <v>49479</v>
      </c>
      <c r="F36" s="131">
        <f t="shared" si="4"/>
        <v>49479</v>
      </c>
      <c r="G36" s="134">
        <f>환율및기초자료!G7</f>
        <v>49479</v>
      </c>
      <c r="H36" s="137">
        <f>IF(C36=0,0,ROUNDDOWN(G36*C36,1))</f>
        <v>49479</v>
      </c>
      <c r="I36" s="135">
        <v>0</v>
      </c>
      <c r="J36" s="132">
        <f>IF(C36=0,0,ROUNDDOWN(I36*C36,1))</f>
        <v>0</v>
      </c>
      <c r="K36" s="135">
        <v>0</v>
      </c>
      <c r="L36" s="131">
        <f>IF(C36=0,0,ROUNDDOWN(K36*C36,1))</f>
        <v>0</v>
      </c>
      <c r="M36" s="23" t="s">
        <v>1291</v>
      </c>
      <c r="N36" s="17" t="s">
        <v>1289</v>
      </c>
      <c r="O36" s="7" t="s">
        <v>1290</v>
      </c>
      <c r="P36" s="7" t="s">
        <v>768</v>
      </c>
      <c r="Z36" s="3" t="str">
        <f ca="1">HYPERLINK("#"&amp;환율및기초자료!I2&amp;"!A"&amp;ROW(환율및기초자료!A7),"L00026 →")</f>
        <v>L00026 →</v>
      </c>
    </row>
    <row r="37" spans="1:26" ht="28.7" customHeight="1" x14ac:dyDescent="0.3">
      <c r="A37" s="10" t="s">
        <v>157</v>
      </c>
      <c r="B37" s="10" t="s">
        <v>158</v>
      </c>
      <c r="C37" s="126">
        <v>5</v>
      </c>
      <c r="D37" s="32" t="s">
        <v>159</v>
      </c>
      <c r="E37" s="129">
        <f t="shared" si="4"/>
        <v>1261</v>
      </c>
      <c r="F37" s="132">
        <f t="shared" si="4"/>
        <v>6305</v>
      </c>
      <c r="G37" s="135">
        <v>0</v>
      </c>
      <c r="H37" s="131">
        <f>IF(C37=0,0,ROUNDDOWN(G37*C37,1))</f>
        <v>0</v>
      </c>
      <c r="I37" s="134">
        <f>재료비목록표!E4</f>
        <v>1261</v>
      </c>
      <c r="J37" s="137">
        <f>IF(C37=0,0,ROUNDDOWN(I37*C37,1))</f>
        <v>6305</v>
      </c>
      <c r="K37" s="135">
        <v>0</v>
      </c>
      <c r="L37" s="131">
        <f>IF(C37=0,0,ROUNDDOWN(K37*C37,1))</f>
        <v>0</v>
      </c>
      <c r="M37" s="23" t="s">
        <v>1276</v>
      </c>
      <c r="N37" s="17" t="s">
        <v>1274</v>
      </c>
      <c r="O37" s="7" t="s">
        <v>1275</v>
      </c>
      <c r="P37" s="7" t="s">
        <v>768</v>
      </c>
      <c r="Q37" s="7" t="s">
        <v>793</v>
      </c>
      <c r="Z37" s="3" t="str">
        <f ca="1">HYPERLINK("#"&amp;재료비목록표!G2&amp;"!A"&amp;ROW(재료비목록표!A4),"M00758 →")</f>
        <v>M00758 →</v>
      </c>
    </row>
    <row r="38" spans="1:26" ht="28.7" customHeight="1" x14ac:dyDescent="0.3">
      <c r="A38" s="10" t="s">
        <v>161</v>
      </c>
      <c r="B38" s="10" t="s">
        <v>1277</v>
      </c>
      <c r="C38" s="126">
        <v>38</v>
      </c>
      <c r="D38" s="32" t="s">
        <v>163</v>
      </c>
      <c r="E38" s="129">
        <f t="shared" si="4"/>
        <v>6305</v>
      </c>
      <c r="F38" s="132">
        <f t="shared" si="4"/>
        <v>2395.9</v>
      </c>
      <c r="G38" s="13">
        <v>0</v>
      </c>
      <c r="H38" s="132">
        <f>IF(C38=0,0,ROUNDDOWN(G38*C38/100,1))</f>
        <v>0</v>
      </c>
      <c r="I38" s="136">
        <f>J37</f>
        <v>6305</v>
      </c>
      <c r="J38" s="131">
        <f>IF(C38=0,0,ROUNDDOWN(I38*C38/100,1))</f>
        <v>2395.9</v>
      </c>
      <c r="K38" s="22">
        <v>0</v>
      </c>
      <c r="L38" s="131">
        <f>IF(C38=0,0,ROUNDDOWN(K38*C38/100,1))</f>
        <v>0</v>
      </c>
      <c r="M38" s="23"/>
      <c r="N38" s="17" t="s">
        <v>1278</v>
      </c>
      <c r="O38" s="7" t="s">
        <v>805</v>
      </c>
      <c r="P38" s="7" t="s">
        <v>768</v>
      </c>
    </row>
    <row r="39" spans="1:26" ht="28.7" customHeight="1" x14ac:dyDescent="0.3">
      <c r="A39" s="23" t="s">
        <v>6</v>
      </c>
      <c r="B39" s="123"/>
      <c r="C39" s="123"/>
      <c r="D39" s="123"/>
      <c r="E39" s="123"/>
      <c r="F39" s="99">
        <f>J39+H39+L39</f>
        <v>65651</v>
      </c>
      <c r="G39" s="123"/>
      <c r="H39" s="99">
        <f>ROUNDDOWN(SUMIF(P35:P38,O39,H35:H38),0)</f>
        <v>49479</v>
      </c>
      <c r="I39" s="123"/>
      <c r="J39" s="99">
        <f>ROUNDDOWN(SUMIF(P35:P38,O39,J35:J38),0)</f>
        <v>8700</v>
      </c>
      <c r="K39" s="123"/>
      <c r="L39" s="99">
        <f>ROUNDDOWN(SUMIF(P35:P38,O39,L35:L38),0)</f>
        <v>7472</v>
      </c>
      <c r="M39" s="123"/>
      <c r="O39" s="7" t="s">
        <v>768</v>
      </c>
    </row>
    <row r="40" spans="1:26" ht="28.7" customHeight="1" x14ac:dyDescent="0.3">
      <c r="A40" s="39" t="s">
        <v>119</v>
      </c>
      <c r="B40" s="39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41" t="str">
        <f>HYPERLINK("#N"&amp;ROW(N45),"_x0005_`BDCOD|X00028_x0007_`POSS|"&amp;ROW(N42)&amp;"_x0007_`POSE|"&amp;ROW(N45)&amp;"_x0007_`")</f>
        <v>_x0005_`BDCOD|X00028_x0007_`POSS|42_x0007_`POSE|45_x0007_`</v>
      </c>
    </row>
    <row r="41" spans="1:26" ht="28.7" customHeight="1" x14ac:dyDescent="0.3">
      <c r="A41" s="122" t="s">
        <v>117</v>
      </c>
      <c r="B41" s="122" t="s">
        <v>121</v>
      </c>
      <c r="C41" s="125"/>
      <c r="D41" s="128" t="s">
        <v>105</v>
      </c>
      <c r="E41" s="125"/>
      <c r="F41" s="125"/>
      <c r="G41" s="125"/>
      <c r="H41" s="125"/>
      <c r="I41" s="125"/>
      <c r="J41" s="125"/>
      <c r="K41" s="125"/>
      <c r="L41" s="125"/>
      <c r="M41" s="128" t="s">
        <v>1292</v>
      </c>
      <c r="O41" s="7" t="s">
        <v>1292</v>
      </c>
    </row>
    <row r="42" spans="1:26" ht="28.7" customHeight="1" x14ac:dyDescent="0.3">
      <c r="A42" s="10" t="s">
        <v>117</v>
      </c>
      <c r="B42" s="10" t="s">
        <v>121</v>
      </c>
      <c r="C42" s="126">
        <v>0.22789999999999999</v>
      </c>
      <c r="D42" s="32" t="s">
        <v>198</v>
      </c>
      <c r="E42" s="129">
        <f t="shared" ref="E42:F45" si="5">I42+G42+K42</f>
        <v>88973</v>
      </c>
      <c r="F42" s="132">
        <f t="shared" si="5"/>
        <v>20276.900000000001</v>
      </c>
      <c r="G42" s="135">
        <v>0</v>
      </c>
      <c r="H42" s="132">
        <f>IF(C42=0,0,ROUNDDOWN(G42*C42,1))</f>
        <v>0</v>
      </c>
      <c r="I42" s="135">
        <v>0</v>
      </c>
      <c r="J42" s="131">
        <f>IF(C42=0,0,ROUNDDOWN(I42*C42,1))</f>
        <v>0</v>
      </c>
      <c r="K42" s="134">
        <f>경비목록표!E7</f>
        <v>88973</v>
      </c>
      <c r="L42" s="138">
        <f>IF(C42=0,0,ROUNDDOWN(K42*C42,1))</f>
        <v>20276.900000000001</v>
      </c>
      <c r="M42" s="23" t="s">
        <v>1295</v>
      </c>
      <c r="N42" s="17" t="s">
        <v>1293</v>
      </c>
      <c r="O42" s="7" t="s">
        <v>1294</v>
      </c>
      <c r="P42" s="7" t="s">
        <v>768</v>
      </c>
      <c r="Z42" s="3" t="str">
        <f ca="1">HYPERLINK("#"&amp;경비목록표!G2&amp;"!A"&amp;ROW(경비목록표!A7),"S00021 →")</f>
        <v>S00021 →</v>
      </c>
    </row>
    <row r="43" spans="1:26" ht="28.7" customHeight="1" x14ac:dyDescent="0.3">
      <c r="A43" s="10" t="s">
        <v>193</v>
      </c>
      <c r="B43" s="10"/>
      <c r="C43" s="126">
        <v>1</v>
      </c>
      <c r="D43" s="32" t="s">
        <v>185</v>
      </c>
      <c r="E43" s="129">
        <f t="shared" si="5"/>
        <v>57077</v>
      </c>
      <c r="F43" s="131">
        <f t="shared" si="5"/>
        <v>57077</v>
      </c>
      <c r="G43" s="134">
        <f>환율및기초자료!G6</f>
        <v>57077</v>
      </c>
      <c r="H43" s="137">
        <f>IF(C43=0,0,ROUNDDOWN(G43*C43,1))</f>
        <v>57077</v>
      </c>
      <c r="I43" s="135">
        <v>0</v>
      </c>
      <c r="J43" s="132">
        <f>IF(C43=0,0,ROUNDDOWN(I43*C43,1))</f>
        <v>0</v>
      </c>
      <c r="K43" s="135">
        <v>0</v>
      </c>
      <c r="L43" s="131">
        <f>IF(C43=0,0,ROUNDDOWN(K43*C43,1))</f>
        <v>0</v>
      </c>
      <c r="M43" s="23" t="s">
        <v>1273</v>
      </c>
      <c r="N43" s="17" t="s">
        <v>1271</v>
      </c>
      <c r="O43" s="7" t="s">
        <v>1272</v>
      </c>
      <c r="P43" s="7" t="s">
        <v>768</v>
      </c>
      <c r="Z43" s="3" t="str">
        <f ca="1">HYPERLINK("#"&amp;환율및기초자료!I2&amp;"!A"&amp;ROW(환율및기초자료!A6),"L00024 →")</f>
        <v>L00024 →</v>
      </c>
    </row>
    <row r="44" spans="1:26" ht="28.7" customHeight="1" x14ac:dyDescent="0.3">
      <c r="A44" s="10" t="s">
        <v>157</v>
      </c>
      <c r="B44" s="10" t="s">
        <v>158</v>
      </c>
      <c r="C44" s="126">
        <v>15.9</v>
      </c>
      <c r="D44" s="32" t="s">
        <v>159</v>
      </c>
      <c r="E44" s="129">
        <f t="shared" si="5"/>
        <v>1261</v>
      </c>
      <c r="F44" s="132">
        <f t="shared" si="5"/>
        <v>20049.900000000001</v>
      </c>
      <c r="G44" s="135">
        <v>0</v>
      </c>
      <c r="H44" s="131">
        <f>IF(C44=0,0,ROUNDDOWN(G44*C44,1))</f>
        <v>0</v>
      </c>
      <c r="I44" s="134">
        <f>재료비목록표!E4</f>
        <v>1261</v>
      </c>
      <c r="J44" s="137">
        <f>IF(C44=0,0,ROUNDDOWN(I44*C44,1))</f>
        <v>20049.900000000001</v>
      </c>
      <c r="K44" s="135">
        <v>0</v>
      </c>
      <c r="L44" s="131">
        <f>IF(C44=0,0,ROUNDDOWN(K44*C44,1))</f>
        <v>0</v>
      </c>
      <c r="M44" s="23" t="s">
        <v>1276</v>
      </c>
      <c r="N44" s="17" t="s">
        <v>1274</v>
      </c>
      <c r="O44" s="7" t="s">
        <v>1275</v>
      </c>
      <c r="P44" s="7" t="s">
        <v>768</v>
      </c>
      <c r="Q44" s="7" t="s">
        <v>793</v>
      </c>
      <c r="Z44" s="3" t="str">
        <f ca="1">HYPERLINK("#"&amp;재료비목록표!G2&amp;"!A"&amp;ROW(재료비목록표!A4),"M00758 →")</f>
        <v>M00758 →</v>
      </c>
    </row>
    <row r="45" spans="1:26" ht="28.7" customHeight="1" x14ac:dyDescent="0.3">
      <c r="A45" s="10" t="s">
        <v>161</v>
      </c>
      <c r="B45" s="10" t="s">
        <v>1277</v>
      </c>
      <c r="C45" s="126">
        <v>38</v>
      </c>
      <c r="D45" s="32" t="s">
        <v>163</v>
      </c>
      <c r="E45" s="129">
        <f t="shared" si="5"/>
        <v>20049.900000000001</v>
      </c>
      <c r="F45" s="132">
        <f t="shared" si="5"/>
        <v>7618.9</v>
      </c>
      <c r="G45" s="13">
        <v>0</v>
      </c>
      <c r="H45" s="132">
        <f>IF(C45=0,0,ROUNDDOWN(G45*C45/100,1))</f>
        <v>0</v>
      </c>
      <c r="I45" s="136">
        <f>J44</f>
        <v>20049.900000000001</v>
      </c>
      <c r="J45" s="131">
        <f>IF(C45=0,0,ROUNDDOWN(I45*C45/100,1))</f>
        <v>7618.9</v>
      </c>
      <c r="K45" s="22">
        <v>0</v>
      </c>
      <c r="L45" s="131">
        <f>IF(C45=0,0,ROUNDDOWN(K45*C45/100,1))</f>
        <v>0</v>
      </c>
      <c r="M45" s="23"/>
      <c r="N45" s="17" t="s">
        <v>1278</v>
      </c>
      <c r="O45" s="7" t="s">
        <v>805</v>
      </c>
      <c r="P45" s="7" t="s">
        <v>768</v>
      </c>
    </row>
    <row r="46" spans="1:26" ht="28.7" customHeight="1" x14ac:dyDescent="0.3">
      <c r="A46" s="23" t="s">
        <v>6</v>
      </c>
      <c r="B46" s="123"/>
      <c r="C46" s="123"/>
      <c r="D46" s="123"/>
      <c r="E46" s="123"/>
      <c r="F46" s="99">
        <f>J46+H46+L46</f>
        <v>105021</v>
      </c>
      <c r="G46" s="123"/>
      <c r="H46" s="99">
        <f>ROUNDDOWN(SUMIF(P42:P45,O46,H42:H45),0)</f>
        <v>57077</v>
      </c>
      <c r="I46" s="123"/>
      <c r="J46" s="99">
        <f>ROUNDDOWN(SUMIF(P42:P45,O46,J42:J45),0)</f>
        <v>27668</v>
      </c>
      <c r="K46" s="123"/>
      <c r="L46" s="99">
        <f>ROUNDDOWN(SUMIF(P42:P45,O46,L42:L45),0)</f>
        <v>20276</v>
      </c>
      <c r="M46" s="123"/>
      <c r="O46" s="7" t="s">
        <v>768</v>
      </c>
    </row>
    <row r="47" spans="1:26" ht="28.7" customHeight="1" x14ac:dyDescent="0.3">
      <c r="A47" s="39" t="s">
        <v>122</v>
      </c>
      <c r="B47" s="39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41" t="str">
        <f>HYPERLINK("#N"&amp;ROW(N52),"_x0005_`BDCOD|X00031_x0007_`POSS|"&amp;ROW(N49)&amp;"_x0007_`POSE|"&amp;ROW(N52)&amp;"_x0007_`")</f>
        <v>_x0005_`BDCOD|X00031_x0007_`POSS|49_x0007_`POSE|52_x0007_`</v>
      </c>
    </row>
    <row r="48" spans="1:26" ht="28.7" customHeight="1" x14ac:dyDescent="0.3">
      <c r="A48" s="122" t="s">
        <v>117</v>
      </c>
      <c r="B48" s="122" t="s">
        <v>124</v>
      </c>
      <c r="C48" s="125"/>
      <c r="D48" s="128" t="s">
        <v>105</v>
      </c>
      <c r="E48" s="125"/>
      <c r="F48" s="125"/>
      <c r="G48" s="125"/>
      <c r="H48" s="125"/>
      <c r="I48" s="125"/>
      <c r="J48" s="125"/>
      <c r="K48" s="125"/>
      <c r="L48" s="125"/>
      <c r="M48" s="128" t="s">
        <v>1296</v>
      </c>
      <c r="O48" s="7" t="s">
        <v>1296</v>
      </c>
    </row>
    <row r="49" spans="1:26" ht="28.7" customHeight="1" x14ac:dyDescent="0.3">
      <c r="A49" s="10" t="s">
        <v>117</v>
      </c>
      <c r="B49" s="10" t="s">
        <v>121</v>
      </c>
      <c r="C49" s="126">
        <v>0.26790000000000003</v>
      </c>
      <c r="D49" s="32" t="s">
        <v>198</v>
      </c>
      <c r="E49" s="129">
        <f t="shared" ref="E49:F52" si="6">I49+G49+K49</f>
        <v>88973</v>
      </c>
      <c r="F49" s="132">
        <f t="shared" si="6"/>
        <v>23835.8</v>
      </c>
      <c r="G49" s="135">
        <v>0</v>
      </c>
      <c r="H49" s="132">
        <f>IF(C49=0,0,ROUNDDOWN(G49*C49,1))</f>
        <v>0</v>
      </c>
      <c r="I49" s="135">
        <v>0</v>
      </c>
      <c r="J49" s="131">
        <f>IF(C49=0,0,ROUNDDOWN(I49*C49,1))</f>
        <v>0</v>
      </c>
      <c r="K49" s="134">
        <f>경비목록표!E7</f>
        <v>88973</v>
      </c>
      <c r="L49" s="138">
        <f>IF(C49=0,0,ROUNDDOWN(K49*C49,1))</f>
        <v>23835.8</v>
      </c>
      <c r="M49" s="23" t="s">
        <v>1295</v>
      </c>
      <c r="N49" s="17" t="s">
        <v>1293</v>
      </c>
      <c r="O49" s="7" t="s">
        <v>1294</v>
      </c>
      <c r="P49" s="7" t="s">
        <v>768</v>
      </c>
      <c r="Z49" s="3" t="str">
        <f ca="1">HYPERLINK("#"&amp;경비목록표!G2&amp;"!A"&amp;ROW(경비목록표!A7),"S00021 →")</f>
        <v>S00021 →</v>
      </c>
    </row>
    <row r="50" spans="1:26" ht="28.7" customHeight="1" x14ac:dyDescent="0.3">
      <c r="A50" s="10" t="s">
        <v>193</v>
      </c>
      <c r="B50" s="10"/>
      <c r="C50" s="126">
        <v>1</v>
      </c>
      <c r="D50" s="32" t="s">
        <v>185</v>
      </c>
      <c r="E50" s="129">
        <f t="shared" si="6"/>
        <v>57077</v>
      </c>
      <c r="F50" s="131">
        <f t="shared" si="6"/>
        <v>57077</v>
      </c>
      <c r="G50" s="134">
        <f>환율및기초자료!G6</f>
        <v>57077</v>
      </c>
      <c r="H50" s="137">
        <f>IF(C50=0,0,ROUNDDOWN(G50*C50,1))</f>
        <v>57077</v>
      </c>
      <c r="I50" s="135">
        <v>0</v>
      </c>
      <c r="J50" s="132">
        <f>IF(C50=0,0,ROUNDDOWN(I50*C50,1))</f>
        <v>0</v>
      </c>
      <c r="K50" s="135">
        <v>0</v>
      </c>
      <c r="L50" s="131">
        <f>IF(C50=0,0,ROUNDDOWN(K50*C50,1))</f>
        <v>0</v>
      </c>
      <c r="M50" s="23" t="s">
        <v>1273</v>
      </c>
      <c r="N50" s="17" t="s">
        <v>1271</v>
      </c>
      <c r="O50" s="7" t="s">
        <v>1272</v>
      </c>
      <c r="P50" s="7" t="s">
        <v>768</v>
      </c>
      <c r="Z50" s="3" t="str">
        <f ca="1">HYPERLINK("#"&amp;환율및기초자료!I2&amp;"!A"&amp;ROW(환율및기초자료!A6),"L00024 →")</f>
        <v>L00024 →</v>
      </c>
    </row>
    <row r="51" spans="1:26" ht="28.7" customHeight="1" x14ac:dyDescent="0.3">
      <c r="A51" s="10" t="s">
        <v>157</v>
      </c>
      <c r="B51" s="10" t="s">
        <v>158</v>
      </c>
      <c r="C51" s="126">
        <v>15.9</v>
      </c>
      <c r="D51" s="32" t="s">
        <v>159</v>
      </c>
      <c r="E51" s="129">
        <f t="shared" si="6"/>
        <v>1261</v>
      </c>
      <c r="F51" s="132">
        <f t="shared" si="6"/>
        <v>20049.900000000001</v>
      </c>
      <c r="G51" s="135">
        <v>0</v>
      </c>
      <c r="H51" s="131">
        <f>IF(C51=0,0,ROUNDDOWN(G51*C51,1))</f>
        <v>0</v>
      </c>
      <c r="I51" s="134">
        <f>재료비목록표!E4</f>
        <v>1261</v>
      </c>
      <c r="J51" s="137">
        <f>IF(C51=0,0,ROUNDDOWN(I51*C51,1))</f>
        <v>20049.900000000001</v>
      </c>
      <c r="K51" s="135">
        <v>0</v>
      </c>
      <c r="L51" s="131">
        <f>IF(C51=0,0,ROUNDDOWN(K51*C51,1))</f>
        <v>0</v>
      </c>
      <c r="M51" s="23" t="s">
        <v>1276</v>
      </c>
      <c r="N51" s="17" t="s">
        <v>1274</v>
      </c>
      <c r="O51" s="7" t="s">
        <v>1275</v>
      </c>
      <c r="P51" s="7" t="s">
        <v>768</v>
      </c>
      <c r="Q51" s="7" t="s">
        <v>793</v>
      </c>
      <c r="Z51" s="3" t="str">
        <f ca="1">HYPERLINK("#"&amp;재료비목록표!G2&amp;"!A"&amp;ROW(재료비목록표!A4),"M00758 →")</f>
        <v>M00758 →</v>
      </c>
    </row>
    <row r="52" spans="1:26" ht="28.7" customHeight="1" x14ac:dyDescent="0.3">
      <c r="A52" s="10" t="s">
        <v>161</v>
      </c>
      <c r="B52" s="10" t="s">
        <v>1277</v>
      </c>
      <c r="C52" s="126">
        <v>38</v>
      </c>
      <c r="D52" s="32" t="s">
        <v>163</v>
      </c>
      <c r="E52" s="129">
        <f t="shared" si="6"/>
        <v>20049.900000000001</v>
      </c>
      <c r="F52" s="132">
        <f t="shared" si="6"/>
        <v>7618.9</v>
      </c>
      <c r="G52" s="13">
        <v>0</v>
      </c>
      <c r="H52" s="132">
        <f>IF(C52=0,0,ROUNDDOWN(G52*C52/100,1))</f>
        <v>0</v>
      </c>
      <c r="I52" s="136">
        <f>J51</f>
        <v>20049.900000000001</v>
      </c>
      <c r="J52" s="131">
        <f>IF(C52=0,0,ROUNDDOWN(I52*C52/100,1))</f>
        <v>7618.9</v>
      </c>
      <c r="K52" s="22">
        <v>0</v>
      </c>
      <c r="L52" s="131">
        <f>IF(C52=0,0,ROUNDDOWN(K52*C52/100,1))</f>
        <v>0</v>
      </c>
      <c r="M52" s="23"/>
      <c r="N52" s="17" t="s">
        <v>1278</v>
      </c>
      <c r="O52" s="7" t="s">
        <v>805</v>
      </c>
      <c r="P52" s="7" t="s">
        <v>768</v>
      </c>
    </row>
    <row r="53" spans="1:26" ht="28.7" customHeight="1" x14ac:dyDescent="0.3">
      <c r="A53" s="23" t="s">
        <v>6</v>
      </c>
      <c r="B53" s="123"/>
      <c r="C53" s="123"/>
      <c r="D53" s="123"/>
      <c r="E53" s="123"/>
      <c r="F53" s="99">
        <f>J53+H53+L53</f>
        <v>108580</v>
      </c>
      <c r="G53" s="123"/>
      <c r="H53" s="99">
        <f>ROUNDDOWN(SUMIF(P49:P52,O53,H49:H52),0)</f>
        <v>57077</v>
      </c>
      <c r="I53" s="123"/>
      <c r="J53" s="99">
        <f>ROUNDDOWN(SUMIF(P49:P52,O53,J49:J52),0)</f>
        <v>27668</v>
      </c>
      <c r="K53" s="123"/>
      <c r="L53" s="99">
        <f>ROUNDDOWN(SUMIF(P49:P52,O53,L49:L52),0)</f>
        <v>23835</v>
      </c>
      <c r="M53" s="123"/>
      <c r="O53" s="7" t="s">
        <v>768</v>
      </c>
    </row>
    <row r="54" spans="1:26" ht="28.7" customHeight="1" x14ac:dyDescent="0.3">
      <c r="A54" s="39" t="s">
        <v>125</v>
      </c>
      <c r="B54" s="39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41" t="str">
        <f>HYPERLINK("#N"&amp;ROW(N56),"_x0005_`BDCOD|X00032_x0007_`POSS|"&amp;ROW(N56)&amp;"_x0007_`POSE|"&amp;ROW(N56)&amp;"_x0007_`")</f>
        <v>_x0005_`BDCOD|X00032_x0007_`POSS|56_x0007_`POSE|56_x0007_`</v>
      </c>
    </row>
    <row r="55" spans="1:26" ht="28.7" customHeight="1" x14ac:dyDescent="0.3">
      <c r="A55" s="122" t="s">
        <v>127</v>
      </c>
      <c r="B55" s="122" t="s">
        <v>128</v>
      </c>
      <c r="C55" s="125"/>
      <c r="D55" s="128" t="s">
        <v>105</v>
      </c>
      <c r="E55" s="125"/>
      <c r="F55" s="125"/>
      <c r="G55" s="125"/>
      <c r="H55" s="125"/>
      <c r="I55" s="125"/>
      <c r="J55" s="125"/>
      <c r="K55" s="125"/>
      <c r="L55" s="125"/>
      <c r="M55" s="128" t="s">
        <v>1297</v>
      </c>
      <c r="O55" s="7" t="s">
        <v>1297</v>
      </c>
    </row>
    <row r="56" spans="1:26" ht="28.7" customHeight="1" x14ac:dyDescent="0.3">
      <c r="A56" s="10" t="s">
        <v>127</v>
      </c>
      <c r="B56" s="10" t="s">
        <v>128</v>
      </c>
      <c r="C56" s="126">
        <v>0.26840000000000003</v>
      </c>
      <c r="D56" s="32" t="s">
        <v>198</v>
      </c>
      <c r="E56" s="129">
        <f>I56+G56+K56</f>
        <v>1604</v>
      </c>
      <c r="F56" s="132">
        <f>J56+H56+L56</f>
        <v>430.5</v>
      </c>
      <c r="G56" s="135">
        <v>0</v>
      </c>
      <c r="H56" s="132">
        <f>IF(C56=0,0,ROUNDDOWN(G56*C56,1))</f>
        <v>0</v>
      </c>
      <c r="I56" s="135">
        <v>0</v>
      </c>
      <c r="J56" s="131">
        <f>IF(C56=0,0,ROUNDDOWN(I56*C56,1))</f>
        <v>0</v>
      </c>
      <c r="K56" s="134">
        <f>경비목록표!E8</f>
        <v>1604</v>
      </c>
      <c r="L56" s="138">
        <f>IF(C56=0,0,ROUNDDOWN(K56*C56,1))</f>
        <v>430.5</v>
      </c>
      <c r="M56" s="23" t="s">
        <v>1300</v>
      </c>
      <c r="N56" s="17" t="s">
        <v>1298</v>
      </c>
      <c r="O56" s="7" t="s">
        <v>1299</v>
      </c>
      <c r="P56" s="7" t="s">
        <v>768</v>
      </c>
      <c r="Z56" s="3" t="str">
        <f ca="1">HYPERLINK("#"&amp;경비목록표!G2&amp;"!A"&amp;ROW(경비목록표!A8),"S00022 →")</f>
        <v>S00022 →</v>
      </c>
    </row>
    <row r="57" spans="1:26" ht="28.7" customHeight="1" x14ac:dyDescent="0.3">
      <c r="A57" s="23" t="s">
        <v>6</v>
      </c>
      <c r="B57" s="123"/>
      <c r="C57" s="123"/>
      <c r="D57" s="123"/>
      <c r="E57" s="123"/>
      <c r="F57" s="99">
        <f>J57+H57+L57</f>
        <v>430</v>
      </c>
      <c r="G57" s="123"/>
      <c r="H57" s="99">
        <f>ROUNDDOWN(SUMIF(P56:P56,O57,H56:H56),0)</f>
        <v>0</v>
      </c>
      <c r="I57" s="123"/>
      <c r="J57" s="99">
        <f>ROUNDDOWN(SUMIF(P56:P56,O57,J56:J56),0)</f>
        <v>0</v>
      </c>
      <c r="K57" s="123"/>
      <c r="L57" s="99">
        <f>ROUNDDOWN(SUMIF(P56:P56,O57,L56:L56),0)</f>
        <v>430</v>
      </c>
      <c r="M57" s="123"/>
      <c r="O57" s="7" t="s">
        <v>768</v>
      </c>
    </row>
    <row r="58" spans="1:26" ht="28.7" customHeight="1" x14ac:dyDescent="0.3">
      <c r="A58" s="39" t="s">
        <v>129</v>
      </c>
      <c r="B58" s="39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41" t="str">
        <f>HYPERLINK("#N"&amp;ROW(N60),"_x0005_`BDCOD|X00084_x0007_`POSS|"&amp;ROW(N60)&amp;"_x0007_`POSE|"&amp;ROW(N60)&amp;"_x0007_`")</f>
        <v>_x0005_`BDCOD|X00084_x0007_`POSS|60_x0007_`POSE|60_x0007_`</v>
      </c>
    </row>
    <row r="59" spans="1:26" ht="28.7" customHeight="1" x14ac:dyDescent="0.3">
      <c r="A59" s="122" t="s">
        <v>127</v>
      </c>
      <c r="B59" s="122" t="s">
        <v>131</v>
      </c>
      <c r="C59" s="125"/>
      <c r="D59" s="128" t="s">
        <v>105</v>
      </c>
      <c r="E59" s="125"/>
      <c r="F59" s="125"/>
      <c r="G59" s="125"/>
      <c r="H59" s="125"/>
      <c r="I59" s="125"/>
      <c r="J59" s="125"/>
      <c r="K59" s="125"/>
      <c r="L59" s="125"/>
      <c r="M59" s="128" t="s">
        <v>1301</v>
      </c>
      <c r="O59" s="7" t="s">
        <v>1301</v>
      </c>
    </row>
    <row r="60" spans="1:26" ht="28.7" customHeight="1" x14ac:dyDescent="0.3">
      <c r="A60" s="10" t="s">
        <v>127</v>
      </c>
      <c r="B60" s="10" t="s">
        <v>131</v>
      </c>
      <c r="C60" s="126">
        <v>0.26840000000000003</v>
      </c>
      <c r="D60" s="32" t="s">
        <v>198</v>
      </c>
      <c r="E60" s="129">
        <f>I60+G60+K60</f>
        <v>1861</v>
      </c>
      <c r="F60" s="132">
        <f>J60+H60+L60</f>
        <v>499.4</v>
      </c>
      <c r="G60" s="135">
        <v>0</v>
      </c>
      <c r="H60" s="132">
        <f>IF(C60=0,0,ROUNDDOWN(G60*C60,1))</f>
        <v>0</v>
      </c>
      <c r="I60" s="135">
        <v>0</v>
      </c>
      <c r="J60" s="131">
        <f>IF(C60=0,0,ROUNDDOWN(I60*C60,1))</f>
        <v>0</v>
      </c>
      <c r="K60" s="134">
        <f>경비목록표!E12</f>
        <v>1861</v>
      </c>
      <c r="L60" s="138">
        <f>IF(C60=0,0,ROUNDDOWN(K60*C60,1))</f>
        <v>499.4</v>
      </c>
      <c r="M60" s="23" t="s">
        <v>1304</v>
      </c>
      <c r="N60" s="17" t="s">
        <v>1302</v>
      </c>
      <c r="O60" s="7" t="s">
        <v>1303</v>
      </c>
      <c r="P60" s="7" t="s">
        <v>768</v>
      </c>
      <c r="Z60" s="3" t="str">
        <f ca="1">HYPERLINK("#"&amp;경비목록표!G2&amp;"!A"&amp;ROW(경비목록표!A12),"S00165 →")</f>
        <v>S00165 →</v>
      </c>
    </row>
    <row r="61" spans="1:26" ht="28.7" customHeight="1" x14ac:dyDescent="0.3">
      <c r="A61" s="23" t="s">
        <v>6</v>
      </c>
      <c r="B61" s="123"/>
      <c r="C61" s="123"/>
      <c r="D61" s="123"/>
      <c r="E61" s="123"/>
      <c r="F61" s="99">
        <f>J61+H61+L61</f>
        <v>499</v>
      </c>
      <c r="G61" s="123"/>
      <c r="H61" s="99">
        <f>ROUNDDOWN(SUMIF(P60:P60,O61,H60:H60),0)</f>
        <v>0</v>
      </c>
      <c r="I61" s="123"/>
      <c r="J61" s="99">
        <f>ROUNDDOWN(SUMIF(P60:P60,O61,J60:J60),0)</f>
        <v>0</v>
      </c>
      <c r="K61" s="123"/>
      <c r="L61" s="99">
        <f>ROUNDDOWN(SUMIF(P60:P60,O61,L60:L60),0)</f>
        <v>499</v>
      </c>
      <c r="M61" s="123"/>
      <c r="O61" s="7" t="s">
        <v>768</v>
      </c>
    </row>
    <row r="62" spans="1:26" ht="28.7" customHeight="1" x14ac:dyDescent="0.3">
      <c r="A62" s="39" t="s">
        <v>132</v>
      </c>
      <c r="B62" s="39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41" t="str">
        <f>HYPERLINK("#N"&amp;ROW(N67),"_x0005_`BDCOD|X00085_x0007_`POSS|"&amp;ROW(N64)&amp;"_x0007_`POSE|"&amp;ROW(N67)&amp;"_x0007_`")</f>
        <v>_x0005_`BDCOD|X00085_x0007_`POSS|64_x0007_`POSE|67_x0007_`</v>
      </c>
    </row>
    <row r="63" spans="1:26" ht="28.7" customHeight="1" x14ac:dyDescent="0.3">
      <c r="A63" s="122" t="s">
        <v>117</v>
      </c>
      <c r="B63" s="122" t="s">
        <v>134</v>
      </c>
      <c r="C63" s="125"/>
      <c r="D63" s="128" t="s">
        <v>105</v>
      </c>
      <c r="E63" s="125"/>
      <c r="F63" s="125"/>
      <c r="G63" s="125"/>
      <c r="H63" s="125"/>
      <c r="I63" s="125"/>
      <c r="J63" s="125"/>
      <c r="K63" s="125"/>
      <c r="L63" s="125"/>
      <c r="M63" s="128" t="s">
        <v>1305</v>
      </c>
      <c r="O63" s="7" t="s">
        <v>1305</v>
      </c>
    </row>
    <row r="64" spans="1:26" ht="28.7" customHeight="1" x14ac:dyDescent="0.3">
      <c r="A64" s="10" t="s">
        <v>117</v>
      </c>
      <c r="B64" s="10" t="s">
        <v>134</v>
      </c>
      <c r="C64" s="126">
        <v>0.22289999999999999</v>
      </c>
      <c r="D64" s="32" t="s">
        <v>198</v>
      </c>
      <c r="E64" s="129">
        <f t="shared" ref="E64:F67" si="7">I64+G64+K64</f>
        <v>145014</v>
      </c>
      <c r="F64" s="132">
        <f t="shared" si="7"/>
        <v>32323.599999999999</v>
      </c>
      <c r="G64" s="135">
        <v>0</v>
      </c>
      <c r="H64" s="132">
        <f>IF(C64=0,0,ROUNDDOWN(G64*C64,1))</f>
        <v>0</v>
      </c>
      <c r="I64" s="135">
        <v>0</v>
      </c>
      <c r="J64" s="131">
        <f>IF(C64=0,0,ROUNDDOWN(I64*C64,1))</f>
        <v>0</v>
      </c>
      <c r="K64" s="134">
        <f>경비목록표!E10</f>
        <v>145014</v>
      </c>
      <c r="L64" s="138">
        <f>IF(C64=0,0,ROUNDDOWN(K64*C64,1))</f>
        <v>32323.599999999999</v>
      </c>
      <c r="M64" s="23" t="s">
        <v>1308</v>
      </c>
      <c r="N64" s="17" t="s">
        <v>1306</v>
      </c>
      <c r="O64" s="7" t="s">
        <v>1307</v>
      </c>
      <c r="P64" s="7" t="s">
        <v>768</v>
      </c>
      <c r="Z64" s="3" t="str">
        <f ca="1">HYPERLINK("#"&amp;경비목록표!G2&amp;"!A"&amp;ROW(경비목록표!A10),"S00145 →")</f>
        <v>S00145 →</v>
      </c>
    </row>
    <row r="65" spans="1:26" ht="28.7" customHeight="1" x14ac:dyDescent="0.3">
      <c r="A65" s="10" t="s">
        <v>193</v>
      </c>
      <c r="B65" s="10"/>
      <c r="C65" s="126">
        <v>1</v>
      </c>
      <c r="D65" s="32" t="s">
        <v>185</v>
      </c>
      <c r="E65" s="129">
        <f t="shared" si="7"/>
        <v>57077</v>
      </c>
      <c r="F65" s="131">
        <f t="shared" si="7"/>
        <v>57077</v>
      </c>
      <c r="G65" s="134">
        <f>환율및기초자료!G6</f>
        <v>57077</v>
      </c>
      <c r="H65" s="137">
        <f>IF(C65=0,0,ROUNDDOWN(G65*C65,1))</f>
        <v>57077</v>
      </c>
      <c r="I65" s="135">
        <v>0</v>
      </c>
      <c r="J65" s="132">
        <f>IF(C65=0,0,ROUNDDOWN(I65*C65,1))</f>
        <v>0</v>
      </c>
      <c r="K65" s="135">
        <v>0</v>
      </c>
      <c r="L65" s="131">
        <f>IF(C65=0,0,ROUNDDOWN(K65*C65,1))</f>
        <v>0</v>
      </c>
      <c r="M65" s="23" t="s">
        <v>1273</v>
      </c>
      <c r="N65" s="17" t="s">
        <v>1271</v>
      </c>
      <c r="O65" s="7" t="s">
        <v>1272</v>
      </c>
      <c r="P65" s="7" t="s">
        <v>768</v>
      </c>
      <c r="Z65" s="3" t="str">
        <f ca="1">HYPERLINK("#"&amp;환율및기초자료!I2&amp;"!A"&amp;ROW(환율및기초자료!A6),"L00024 →")</f>
        <v>L00024 →</v>
      </c>
    </row>
    <row r="66" spans="1:26" ht="28.7" customHeight="1" x14ac:dyDescent="0.3">
      <c r="A66" s="10" t="s">
        <v>157</v>
      </c>
      <c r="B66" s="10" t="s">
        <v>158</v>
      </c>
      <c r="C66" s="126">
        <v>23</v>
      </c>
      <c r="D66" s="32" t="s">
        <v>159</v>
      </c>
      <c r="E66" s="129">
        <f t="shared" si="7"/>
        <v>1261</v>
      </c>
      <c r="F66" s="132">
        <f t="shared" si="7"/>
        <v>29003</v>
      </c>
      <c r="G66" s="135">
        <v>0</v>
      </c>
      <c r="H66" s="131">
        <f>IF(C66=0,0,ROUNDDOWN(G66*C66,1))</f>
        <v>0</v>
      </c>
      <c r="I66" s="134">
        <f>재료비목록표!E4</f>
        <v>1261</v>
      </c>
      <c r="J66" s="137">
        <f>IF(C66=0,0,ROUNDDOWN(I66*C66,1))</f>
        <v>29003</v>
      </c>
      <c r="K66" s="135">
        <v>0</v>
      </c>
      <c r="L66" s="131">
        <f>IF(C66=0,0,ROUNDDOWN(K66*C66,1))</f>
        <v>0</v>
      </c>
      <c r="M66" s="23" t="s">
        <v>1276</v>
      </c>
      <c r="N66" s="17" t="s">
        <v>1274</v>
      </c>
      <c r="O66" s="7" t="s">
        <v>1275</v>
      </c>
      <c r="P66" s="7" t="s">
        <v>768</v>
      </c>
      <c r="Q66" s="7" t="s">
        <v>793</v>
      </c>
      <c r="Z66" s="3" t="str">
        <f ca="1">HYPERLINK("#"&amp;재료비목록표!G2&amp;"!A"&amp;ROW(재료비목록표!A4),"M00758 →")</f>
        <v>M00758 →</v>
      </c>
    </row>
    <row r="67" spans="1:26" ht="28.7" customHeight="1" x14ac:dyDescent="0.3">
      <c r="A67" s="10" t="s">
        <v>161</v>
      </c>
      <c r="B67" s="10" t="s">
        <v>1277</v>
      </c>
      <c r="C67" s="126">
        <v>38</v>
      </c>
      <c r="D67" s="32" t="s">
        <v>163</v>
      </c>
      <c r="E67" s="129">
        <f t="shared" si="7"/>
        <v>29003</v>
      </c>
      <c r="F67" s="132">
        <f t="shared" si="7"/>
        <v>11021.1</v>
      </c>
      <c r="G67" s="13">
        <v>0</v>
      </c>
      <c r="H67" s="132">
        <f>IF(C67=0,0,ROUNDDOWN(G67*C67/100,1))</f>
        <v>0</v>
      </c>
      <c r="I67" s="136">
        <f>J66</f>
        <v>29003</v>
      </c>
      <c r="J67" s="131">
        <f>IF(C67=0,0,ROUNDDOWN(I67*C67/100,1))</f>
        <v>11021.1</v>
      </c>
      <c r="K67" s="22">
        <v>0</v>
      </c>
      <c r="L67" s="131">
        <f>IF(C67=0,0,ROUNDDOWN(K67*C67/100,1))</f>
        <v>0</v>
      </c>
      <c r="M67" s="23"/>
      <c r="N67" s="17" t="s">
        <v>1278</v>
      </c>
      <c r="O67" s="7" t="s">
        <v>805</v>
      </c>
      <c r="P67" s="7" t="s">
        <v>768</v>
      </c>
    </row>
    <row r="68" spans="1:26" ht="28.7" customHeight="1" x14ac:dyDescent="0.3">
      <c r="A68" s="23" t="s">
        <v>6</v>
      </c>
      <c r="B68" s="123"/>
      <c r="C68" s="123"/>
      <c r="D68" s="123"/>
      <c r="E68" s="123"/>
      <c r="F68" s="99">
        <f>J68+H68+L68</f>
        <v>129424</v>
      </c>
      <c r="G68" s="123"/>
      <c r="H68" s="99">
        <f>ROUNDDOWN(SUMIF(P64:P67,O68,H64:H67),0)</f>
        <v>57077</v>
      </c>
      <c r="I68" s="123"/>
      <c r="J68" s="99">
        <f>ROUNDDOWN(SUMIF(P64:P67,O68,J64:J67),0)</f>
        <v>40024</v>
      </c>
      <c r="K68" s="123"/>
      <c r="L68" s="99">
        <f>ROUNDDOWN(SUMIF(P64:P67,O68,L64:L67),0)</f>
        <v>32323</v>
      </c>
      <c r="M68" s="123"/>
      <c r="O68" s="7" t="s">
        <v>768</v>
      </c>
    </row>
    <row r="69" spans="1:26" ht="28.7" customHeight="1" x14ac:dyDescent="0.3">
      <c r="A69" s="39" t="s">
        <v>135</v>
      </c>
      <c r="B69" s="39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41" t="str">
        <f>HYPERLINK("#N"&amp;ROW(N75),"_x0005_`BDCOD|X00087_x0007_`POSS|"&amp;ROW(N71)&amp;"_x0007_`POSE|"&amp;ROW(N75)&amp;"_x0007_`")</f>
        <v>_x0005_`BDCOD|X00087_x0007_`POSS|71_x0007_`POSE|75_x0007_`</v>
      </c>
    </row>
    <row r="70" spans="1:26" ht="28.7" customHeight="1" x14ac:dyDescent="0.3">
      <c r="A70" s="122" t="s">
        <v>137</v>
      </c>
      <c r="B70" s="122" t="s">
        <v>138</v>
      </c>
      <c r="C70" s="125"/>
      <c r="D70" s="128" t="s">
        <v>105</v>
      </c>
      <c r="E70" s="125"/>
      <c r="F70" s="125"/>
      <c r="G70" s="125"/>
      <c r="H70" s="125"/>
      <c r="I70" s="125"/>
      <c r="J70" s="125"/>
      <c r="K70" s="125"/>
      <c r="L70" s="125"/>
      <c r="M70" s="128" t="s">
        <v>1309</v>
      </c>
      <c r="O70" s="7" t="s">
        <v>1309</v>
      </c>
    </row>
    <row r="71" spans="1:26" ht="28.7" customHeight="1" x14ac:dyDescent="0.3">
      <c r="A71" s="10" t="s">
        <v>137</v>
      </c>
      <c r="B71" s="10" t="s">
        <v>208</v>
      </c>
      <c r="C71" s="126">
        <v>0.22789999999999999</v>
      </c>
      <c r="D71" s="32" t="s">
        <v>198</v>
      </c>
      <c r="E71" s="129">
        <f t="shared" ref="E71:F75" si="8">I71+G71+K71</f>
        <v>116118</v>
      </c>
      <c r="F71" s="132">
        <f t="shared" si="8"/>
        <v>26463.200000000001</v>
      </c>
      <c r="G71" s="135">
        <v>0</v>
      </c>
      <c r="H71" s="132">
        <f>IF(C71=0,0,ROUNDDOWN(G71*C71,1))</f>
        <v>0</v>
      </c>
      <c r="I71" s="135">
        <v>0</v>
      </c>
      <c r="J71" s="131">
        <f>IF(C71=0,0,ROUNDDOWN(I71*C71,1))</f>
        <v>0</v>
      </c>
      <c r="K71" s="134">
        <f>경비목록표!E11</f>
        <v>116118</v>
      </c>
      <c r="L71" s="138">
        <f>IF(C71=0,0,ROUNDDOWN(K71*C71,1))</f>
        <v>26463.200000000001</v>
      </c>
      <c r="M71" s="23" t="s">
        <v>1312</v>
      </c>
      <c r="N71" s="17" t="s">
        <v>1310</v>
      </c>
      <c r="O71" s="7" t="s">
        <v>1311</v>
      </c>
      <c r="P71" s="7" t="s">
        <v>768</v>
      </c>
      <c r="Z71" s="3" t="str">
        <f ca="1">HYPERLINK("#"&amp;경비목록표!G2&amp;"!A"&amp;ROW(경비목록표!A11),"S00151 →")</f>
        <v>S00151 →</v>
      </c>
    </row>
    <row r="72" spans="1:26" ht="28.7" customHeight="1" x14ac:dyDescent="0.3">
      <c r="A72" s="10" t="s">
        <v>193</v>
      </c>
      <c r="B72" s="10"/>
      <c r="C72" s="126">
        <v>1</v>
      </c>
      <c r="D72" s="32" t="s">
        <v>185</v>
      </c>
      <c r="E72" s="129">
        <f t="shared" si="8"/>
        <v>57077</v>
      </c>
      <c r="F72" s="131">
        <f t="shared" si="8"/>
        <v>57077</v>
      </c>
      <c r="G72" s="134">
        <f>환율및기초자료!G6</f>
        <v>57077</v>
      </c>
      <c r="H72" s="137">
        <f>IF(C72=0,0,ROUNDDOWN(G72*C72,1))</f>
        <v>57077</v>
      </c>
      <c r="I72" s="135">
        <v>0</v>
      </c>
      <c r="J72" s="132">
        <f>IF(C72=0,0,ROUNDDOWN(I72*C72,1))</f>
        <v>0</v>
      </c>
      <c r="K72" s="135">
        <v>0</v>
      </c>
      <c r="L72" s="131">
        <f>IF(C72=0,0,ROUNDDOWN(K72*C72,1))</f>
        <v>0</v>
      </c>
      <c r="M72" s="23" t="s">
        <v>1273</v>
      </c>
      <c r="N72" s="17" t="s">
        <v>1271</v>
      </c>
      <c r="O72" s="7" t="s">
        <v>1272</v>
      </c>
      <c r="P72" s="7" t="s">
        <v>768</v>
      </c>
      <c r="Z72" s="3" t="str">
        <f ca="1">HYPERLINK("#"&amp;환율및기초자료!I2&amp;"!A"&amp;ROW(환율및기초자료!A6),"L00024 →")</f>
        <v>L00024 →</v>
      </c>
    </row>
    <row r="73" spans="1:26" ht="28.7" customHeight="1" x14ac:dyDescent="0.3">
      <c r="A73" s="10" t="s">
        <v>157</v>
      </c>
      <c r="B73" s="10" t="s">
        <v>158</v>
      </c>
      <c r="C73" s="126">
        <v>11.6</v>
      </c>
      <c r="D73" s="32" t="s">
        <v>159</v>
      </c>
      <c r="E73" s="129">
        <f t="shared" si="8"/>
        <v>1261</v>
      </c>
      <c r="F73" s="132">
        <f t="shared" si="8"/>
        <v>14627.6</v>
      </c>
      <c r="G73" s="135">
        <v>0</v>
      </c>
      <c r="H73" s="131">
        <f>IF(C73=0,0,ROUNDDOWN(G73*C73,1))</f>
        <v>0</v>
      </c>
      <c r="I73" s="134">
        <f>재료비목록표!E4</f>
        <v>1261</v>
      </c>
      <c r="J73" s="137">
        <f>IF(C73=0,0,ROUNDDOWN(I73*C73,1))</f>
        <v>14627.6</v>
      </c>
      <c r="K73" s="135">
        <v>0</v>
      </c>
      <c r="L73" s="131">
        <f>IF(C73=0,0,ROUNDDOWN(K73*C73,1))</f>
        <v>0</v>
      </c>
      <c r="M73" s="23" t="s">
        <v>1276</v>
      </c>
      <c r="N73" s="17" t="s">
        <v>1274</v>
      </c>
      <c r="O73" s="7" t="s">
        <v>1275</v>
      </c>
      <c r="P73" s="7" t="s">
        <v>768</v>
      </c>
      <c r="Q73" s="7" t="s">
        <v>793</v>
      </c>
      <c r="Z73" s="3" t="str">
        <f ca="1">HYPERLINK("#"&amp;재료비목록표!G2&amp;"!A"&amp;ROW(재료비목록표!A4),"M00758 →")</f>
        <v>M00758 →</v>
      </c>
    </row>
    <row r="74" spans="1:26" ht="28.7" customHeight="1" x14ac:dyDescent="0.3">
      <c r="A74" s="10" t="s">
        <v>161</v>
      </c>
      <c r="B74" s="10" t="s">
        <v>1277</v>
      </c>
      <c r="C74" s="126">
        <v>24</v>
      </c>
      <c r="D74" s="32" t="s">
        <v>163</v>
      </c>
      <c r="E74" s="129">
        <f t="shared" si="8"/>
        <v>14627.6</v>
      </c>
      <c r="F74" s="132">
        <f t="shared" si="8"/>
        <v>3510.6</v>
      </c>
      <c r="G74" s="13">
        <v>0</v>
      </c>
      <c r="H74" s="132">
        <f>IF(C74=0,0,ROUNDDOWN(G74*C74/100,1))</f>
        <v>0</v>
      </c>
      <c r="I74" s="136">
        <f>J73</f>
        <v>14627.6</v>
      </c>
      <c r="J74" s="131">
        <f>IF(C74=0,0,ROUNDDOWN(I74*C74/100,1))</f>
        <v>3510.6</v>
      </c>
      <c r="K74" s="22">
        <v>0</v>
      </c>
      <c r="L74" s="131">
        <f>IF(C74=0,0,ROUNDDOWN(K74*C74/100,1))</f>
        <v>0</v>
      </c>
      <c r="M74" s="23"/>
      <c r="N74" s="17" t="s">
        <v>1278</v>
      </c>
      <c r="O74" s="7" t="s">
        <v>805</v>
      </c>
      <c r="P74" s="7" t="s">
        <v>768</v>
      </c>
    </row>
    <row r="75" spans="1:26" ht="28.7" customHeight="1" x14ac:dyDescent="0.3">
      <c r="A75" s="10" t="s">
        <v>204</v>
      </c>
      <c r="B75" s="10" t="s">
        <v>205</v>
      </c>
      <c r="C75" s="126">
        <v>0.74350000000000005</v>
      </c>
      <c r="D75" s="32" t="s">
        <v>198</v>
      </c>
      <c r="E75" s="129">
        <f t="shared" si="8"/>
        <v>7610</v>
      </c>
      <c r="F75" s="132">
        <f t="shared" si="8"/>
        <v>5658</v>
      </c>
      <c r="G75" s="135">
        <v>0</v>
      </c>
      <c r="H75" s="132">
        <f>IF(C75=0,0,ROUNDDOWN(G75*C75,1))</f>
        <v>0</v>
      </c>
      <c r="I75" s="135">
        <v>0</v>
      </c>
      <c r="J75" s="131">
        <f>IF(C75=0,0,ROUNDDOWN(I75*C75,1))</f>
        <v>0</v>
      </c>
      <c r="K75" s="134">
        <f>경비목록표!E9</f>
        <v>7610</v>
      </c>
      <c r="L75" s="138">
        <f>IF(C75=0,0,ROUNDDOWN(K75*C75,1))</f>
        <v>5658</v>
      </c>
      <c r="M75" s="23" t="s">
        <v>1315</v>
      </c>
      <c r="N75" s="17" t="s">
        <v>1313</v>
      </c>
      <c r="O75" s="7" t="s">
        <v>1314</v>
      </c>
      <c r="P75" s="7" t="s">
        <v>768</v>
      </c>
      <c r="Z75" s="3" t="str">
        <f ca="1">HYPERLINK("#"&amp;경비목록표!G2&amp;"!A"&amp;ROW(경비목록표!A9),"S00138 →")</f>
        <v>S00138 →</v>
      </c>
    </row>
    <row r="76" spans="1:26" ht="28.7" customHeight="1" x14ac:dyDescent="0.3">
      <c r="A76" s="23" t="s">
        <v>6</v>
      </c>
      <c r="B76" s="123"/>
      <c r="C76" s="123"/>
      <c r="D76" s="123"/>
      <c r="E76" s="123"/>
      <c r="F76" s="99">
        <f>J76+H76+L76</f>
        <v>107336</v>
      </c>
      <c r="G76" s="123"/>
      <c r="H76" s="99">
        <f>ROUNDDOWN(SUMIF(P71:P75,O76,H71:H75),0)</f>
        <v>57077</v>
      </c>
      <c r="I76" s="123"/>
      <c r="J76" s="99">
        <f>ROUNDDOWN(SUMIF(P71:P75,O76,J71:J75),0)</f>
        <v>18138</v>
      </c>
      <c r="K76" s="123"/>
      <c r="L76" s="99">
        <f>ROUNDDOWN(SUMIF(P71:P75,O76,L71:L75),0)</f>
        <v>32121</v>
      </c>
      <c r="M76" s="123"/>
      <c r="O76" s="7" t="s">
        <v>768</v>
      </c>
    </row>
    <row r="77" spans="1:26" ht="28.7" customHeight="1" x14ac:dyDescent="0.3">
      <c r="A77" s="39" t="s">
        <v>139</v>
      </c>
      <c r="B77" s="39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41" t="str">
        <f>HYPERLINK("#N"&amp;ROW(N82),"_x0005_`BDCOD|X00088_x0007_`POSS|"&amp;ROW(N79)&amp;"_x0007_`POSE|"&amp;ROW(N82)&amp;"_x0007_`")</f>
        <v>_x0005_`BDCOD|X00088_x0007_`POSS|79_x0007_`POSE|82_x0007_`</v>
      </c>
    </row>
    <row r="78" spans="1:26" ht="28.7" customHeight="1" x14ac:dyDescent="0.3">
      <c r="A78" s="122" t="s">
        <v>141</v>
      </c>
      <c r="B78" s="122" t="s">
        <v>142</v>
      </c>
      <c r="C78" s="125"/>
      <c r="D78" s="128" t="s">
        <v>105</v>
      </c>
      <c r="E78" s="125"/>
      <c r="F78" s="125"/>
      <c r="G78" s="125"/>
      <c r="H78" s="125"/>
      <c r="I78" s="125"/>
      <c r="J78" s="125"/>
      <c r="K78" s="125"/>
      <c r="L78" s="125"/>
      <c r="M78" s="128" t="s">
        <v>1316</v>
      </c>
      <c r="O78" s="7" t="s">
        <v>1316</v>
      </c>
    </row>
    <row r="79" spans="1:26" ht="28.7" customHeight="1" x14ac:dyDescent="0.3">
      <c r="A79" s="10" t="s">
        <v>103</v>
      </c>
      <c r="B79" s="10" t="s">
        <v>108</v>
      </c>
      <c r="C79" s="126">
        <v>0.24049999999999999</v>
      </c>
      <c r="D79" s="32" t="s">
        <v>198</v>
      </c>
      <c r="E79" s="129">
        <f t="shared" ref="E79:F82" si="9">I79+G79+K79</f>
        <v>115116</v>
      </c>
      <c r="F79" s="132">
        <f t="shared" si="9"/>
        <v>27685.3</v>
      </c>
      <c r="G79" s="135">
        <v>0</v>
      </c>
      <c r="H79" s="132">
        <f>IF(C79=0,0,ROUNDDOWN(G79*C79,1))</f>
        <v>0</v>
      </c>
      <c r="I79" s="135">
        <v>0</v>
      </c>
      <c r="J79" s="131">
        <f>IF(C79=0,0,ROUNDDOWN(I79*C79,1))</f>
        <v>0</v>
      </c>
      <c r="K79" s="134">
        <f>경비목록표!E5</f>
        <v>115116</v>
      </c>
      <c r="L79" s="138">
        <f>IF(C79=0,0,ROUNDDOWN(K79*C79,1))</f>
        <v>27685.3</v>
      </c>
      <c r="M79" s="23" t="s">
        <v>1282</v>
      </c>
      <c r="N79" s="17" t="s">
        <v>1280</v>
      </c>
      <c r="O79" s="7" t="s">
        <v>1281</v>
      </c>
      <c r="P79" s="7" t="s">
        <v>768</v>
      </c>
      <c r="Z79" s="3" t="str">
        <f ca="1">HYPERLINK("#"&amp;경비목록표!G2&amp;"!A"&amp;ROW(경비목록표!A5),"S00005 →")</f>
        <v>S00005 →</v>
      </c>
    </row>
    <row r="80" spans="1:26" ht="28.7" customHeight="1" x14ac:dyDescent="0.3">
      <c r="A80" s="10" t="s">
        <v>193</v>
      </c>
      <c r="B80" s="10"/>
      <c r="C80" s="126">
        <v>1</v>
      </c>
      <c r="D80" s="32" t="s">
        <v>185</v>
      </c>
      <c r="E80" s="129">
        <f t="shared" si="9"/>
        <v>57077</v>
      </c>
      <c r="F80" s="131">
        <f t="shared" si="9"/>
        <v>57077</v>
      </c>
      <c r="G80" s="134">
        <f>환율및기초자료!G6</f>
        <v>57077</v>
      </c>
      <c r="H80" s="137">
        <f>IF(C80=0,0,ROUNDDOWN(G80*C80,1))</f>
        <v>57077</v>
      </c>
      <c r="I80" s="135">
        <v>0</v>
      </c>
      <c r="J80" s="132">
        <f>IF(C80=0,0,ROUNDDOWN(I80*C80,1))</f>
        <v>0</v>
      </c>
      <c r="K80" s="135">
        <v>0</v>
      </c>
      <c r="L80" s="131">
        <f>IF(C80=0,0,ROUNDDOWN(K80*C80,1))</f>
        <v>0</v>
      </c>
      <c r="M80" s="23" t="s">
        <v>1273</v>
      </c>
      <c r="N80" s="17" t="s">
        <v>1271</v>
      </c>
      <c r="O80" s="7" t="s">
        <v>1272</v>
      </c>
      <c r="P80" s="7" t="s">
        <v>768</v>
      </c>
      <c r="Z80" s="3" t="str">
        <f ca="1">HYPERLINK("#"&amp;환율및기초자료!I2&amp;"!A"&amp;ROW(환율및기초자료!A6),"L00024 →")</f>
        <v>L00024 →</v>
      </c>
    </row>
    <row r="81" spans="1:26" ht="28.7" customHeight="1" x14ac:dyDescent="0.3">
      <c r="A81" s="10" t="s">
        <v>157</v>
      </c>
      <c r="B81" s="10" t="s">
        <v>158</v>
      </c>
      <c r="C81" s="126">
        <v>11.6</v>
      </c>
      <c r="D81" s="32" t="s">
        <v>159</v>
      </c>
      <c r="E81" s="129">
        <f t="shared" si="9"/>
        <v>1261</v>
      </c>
      <c r="F81" s="132">
        <f t="shared" si="9"/>
        <v>14627.6</v>
      </c>
      <c r="G81" s="135">
        <v>0</v>
      </c>
      <c r="H81" s="131">
        <f>IF(C81=0,0,ROUNDDOWN(G81*C81,1))</f>
        <v>0</v>
      </c>
      <c r="I81" s="134">
        <f>재료비목록표!E4</f>
        <v>1261</v>
      </c>
      <c r="J81" s="137">
        <f>IF(C81=0,0,ROUNDDOWN(I81*C81,1))</f>
        <v>14627.6</v>
      </c>
      <c r="K81" s="135">
        <v>0</v>
      </c>
      <c r="L81" s="131">
        <f>IF(C81=0,0,ROUNDDOWN(K81*C81,1))</f>
        <v>0</v>
      </c>
      <c r="M81" s="23" t="s">
        <v>1276</v>
      </c>
      <c r="N81" s="17" t="s">
        <v>1317</v>
      </c>
      <c r="O81" s="7" t="s">
        <v>1275</v>
      </c>
      <c r="P81" s="7" t="s">
        <v>768</v>
      </c>
      <c r="Z81" s="3" t="str">
        <f ca="1">HYPERLINK("#"&amp;재료비목록표!G2&amp;"!A"&amp;ROW(재료비목록표!A4),"M00758 →")</f>
        <v>M00758 →</v>
      </c>
    </row>
    <row r="82" spans="1:26" ht="28.7" customHeight="1" x14ac:dyDescent="0.3">
      <c r="A82" s="10" t="s">
        <v>161</v>
      </c>
      <c r="B82" s="10" t="s">
        <v>162</v>
      </c>
      <c r="C82" s="126">
        <v>22</v>
      </c>
      <c r="D82" s="32" t="s">
        <v>163</v>
      </c>
      <c r="E82" s="129">
        <f t="shared" si="9"/>
        <v>14627.6</v>
      </c>
      <c r="F82" s="132">
        <f t="shared" si="9"/>
        <v>3218</v>
      </c>
      <c r="G82" s="135">
        <v>0</v>
      </c>
      <c r="H82" s="131">
        <f>IF(C82=0,0,ROUNDDOWN(G82*C82/100,1))</f>
        <v>0</v>
      </c>
      <c r="I82" s="134">
        <f>J81</f>
        <v>14627.6</v>
      </c>
      <c r="J82" s="137">
        <f>IF(C82=0,0,ROUNDDOWN(I82*C82/100,1))</f>
        <v>3218</v>
      </c>
      <c r="K82" s="135">
        <v>0</v>
      </c>
      <c r="L82" s="131">
        <f>IF(C82=0,0,ROUNDDOWN(K82*C82/100,1))</f>
        <v>0</v>
      </c>
      <c r="M82" s="23" t="s">
        <v>1320</v>
      </c>
      <c r="N82" s="17" t="s">
        <v>1318</v>
      </c>
      <c r="O82" s="7" t="s">
        <v>1319</v>
      </c>
      <c r="P82" s="7" t="s">
        <v>768</v>
      </c>
      <c r="Z82" s="3" t="str">
        <f ca="1">HYPERLINK("#"&amp;재료비목록표!G2&amp;"!A"&amp;ROW(재료비목록표!A5),"M00770 →")</f>
        <v>M00770 →</v>
      </c>
    </row>
    <row r="83" spans="1:26" ht="28.7" customHeight="1" x14ac:dyDescent="0.3">
      <c r="A83" s="23" t="s">
        <v>6</v>
      </c>
      <c r="B83" s="123"/>
      <c r="C83" s="123"/>
      <c r="D83" s="123"/>
      <c r="E83" s="123"/>
      <c r="F83" s="99">
        <f>J83+H83+L83</f>
        <v>102607</v>
      </c>
      <c r="G83" s="123"/>
      <c r="H83" s="99">
        <f>ROUNDDOWN(SUMIF(P79:P82,O83,H79:H82),0)</f>
        <v>57077</v>
      </c>
      <c r="I83" s="123"/>
      <c r="J83" s="99">
        <f>ROUNDDOWN(SUMIF(P79:P82,O83,J79:J82),0)</f>
        <v>17845</v>
      </c>
      <c r="K83" s="123"/>
      <c r="L83" s="99">
        <f>ROUNDDOWN(SUMIF(P79:P82,O83,L79:L82),0)</f>
        <v>27685</v>
      </c>
      <c r="M83" s="123"/>
      <c r="O83" s="7" t="s">
        <v>768</v>
      </c>
    </row>
    <row r="84" spans="1:26" ht="28.7" customHeight="1" x14ac:dyDescent="0.3">
      <c r="A84" s="39" t="s">
        <v>143</v>
      </c>
      <c r="B84" s="39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41" t="str">
        <f>HYPERLINK("#N"&amp;ROW(N89),"_x0005_`BDCOD|X00090_x0007_`POSS|"&amp;ROW(N86)&amp;"_x0007_`POSE|"&amp;ROW(N89)&amp;"_x0007_`")</f>
        <v>_x0005_`BDCOD|X00090_x0007_`POSS|86_x0007_`POSE|89_x0007_`</v>
      </c>
    </row>
    <row r="85" spans="1:26" ht="28.7" customHeight="1" x14ac:dyDescent="0.3">
      <c r="A85" s="122" t="s">
        <v>145</v>
      </c>
      <c r="B85" s="122" t="s">
        <v>146</v>
      </c>
      <c r="C85" s="125"/>
      <c r="D85" s="128" t="s">
        <v>105</v>
      </c>
      <c r="E85" s="125"/>
      <c r="F85" s="125"/>
      <c r="G85" s="125"/>
      <c r="H85" s="125"/>
      <c r="I85" s="125"/>
      <c r="J85" s="125"/>
      <c r="K85" s="125"/>
      <c r="L85" s="125"/>
      <c r="M85" s="128" t="s">
        <v>1321</v>
      </c>
      <c r="O85" s="7" t="s">
        <v>1321</v>
      </c>
    </row>
    <row r="86" spans="1:26" ht="28.7" customHeight="1" x14ac:dyDescent="0.3">
      <c r="A86" s="10" t="s">
        <v>117</v>
      </c>
      <c r="B86" s="10" t="s">
        <v>212</v>
      </c>
      <c r="C86" s="126">
        <v>0.3533</v>
      </c>
      <c r="D86" s="32" t="s">
        <v>198</v>
      </c>
      <c r="E86" s="129">
        <f t="shared" ref="E86:F89" si="10">I86+G86+K86</f>
        <v>21572</v>
      </c>
      <c r="F86" s="132">
        <f t="shared" si="10"/>
        <v>7621.3</v>
      </c>
      <c r="G86" s="135">
        <v>0</v>
      </c>
      <c r="H86" s="132">
        <f>IF(C86=0,0,ROUNDDOWN(G86*C86,1))</f>
        <v>0</v>
      </c>
      <c r="I86" s="135">
        <v>0</v>
      </c>
      <c r="J86" s="131">
        <f>IF(C86=0,0,ROUNDDOWN(I86*C86,1))</f>
        <v>0</v>
      </c>
      <c r="K86" s="134">
        <f>경비목록표!E14</f>
        <v>21572</v>
      </c>
      <c r="L86" s="138">
        <f>IF(C86=0,0,ROUNDDOWN(K86*C86,1))</f>
        <v>7621.3</v>
      </c>
      <c r="M86" s="23" t="s">
        <v>1324</v>
      </c>
      <c r="N86" s="17" t="s">
        <v>1322</v>
      </c>
      <c r="O86" s="7" t="s">
        <v>1323</v>
      </c>
      <c r="P86" s="7" t="s">
        <v>768</v>
      </c>
      <c r="Z86" s="3" t="str">
        <f ca="1">HYPERLINK("#"&amp;경비목록표!G2&amp;"!A"&amp;ROW(경비목록표!A14),"S00170 →")</f>
        <v>S00170 →</v>
      </c>
    </row>
    <row r="87" spans="1:26" ht="28.7" customHeight="1" x14ac:dyDescent="0.3">
      <c r="A87" s="10" t="s">
        <v>195</v>
      </c>
      <c r="B87" s="10"/>
      <c r="C87" s="126">
        <v>1</v>
      </c>
      <c r="D87" s="32" t="s">
        <v>185</v>
      </c>
      <c r="E87" s="129">
        <f t="shared" si="10"/>
        <v>49479</v>
      </c>
      <c r="F87" s="131">
        <f t="shared" si="10"/>
        <v>49479</v>
      </c>
      <c r="G87" s="134">
        <f>환율및기초자료!G7</f>
        <v>49479</v>
      </c>
      <c r="H87" s="137">
        <f>IF(C87=0,0,ROUNDDOWN(G87*C87,1))</f>
        <v>49479</v>
      </c>
      <c r="I87" s="135">
        <v>0</v>
      </c>
      <c r="J87" s="132">
        <f>IF(C87=0,0,ROUNDDOWN(I87*C87,1))</f>
        <v>0</v>
      </c>
      <c r="K87" s="135">
        <v>0</v>
      </c>
      <c r="L87" s="131">
        <f>IF(C87=0,0,ROUNDDOWN(K87*C87,1))</f>
        <v>0</v>
      </c>
      <c r="M87" s="23" t="s">
        <v>1291</v>
      </c>
      <c r="N87" s="17" t="s">
        <v>1289</v>
      </c>
      <c r="O87" s="7" t="s">
        <v>1290</v>
      </c>
      <c r="P87" s="7" t="s">
        <v>768</v>
      </c>
      <c r="Z87" s="3" t="str">
        <f ca="1">HYPERLINK("#"&amp;환율및기초자료!I2&amp;"!A"&amp;ROW(환율및기초자료!A7),"L00026 →")</f>
        <v>L00026 →</v>
      </c>
    </row>
    <row r="88" spans="1:26" ht="28.7" customHeight="1" x14ac:dyDescent="0.3">
      <c r="A88" s="10" t="s">
        <v>157</v>
      </c>
      <c r="B88" s="10" t="s">
        <v>158</v>
      </c>
      <c r="C88" s="126">
        <v>2.9</v>
      </c>
      <c r="D88" s="32" t="s">
        <v>159</v>
      </c>
      <c r="E88" s="129">
        <f t="shared" si="10"/>
        <v>1261</v>
      </c>
      <c r="F88" s="132">
        <f t="shared" si="10"/>
        <v>3656.9</v>
      </c>
      <c r="G88" s="135">
        <v>0</v>
      </c>
      <c r="H88" s="131">
        <f>IF(C88=0,0,ROUNDDOWN(G88*C88,1))</f>
        <v>0</v>
      </c>
      <c r="I88" s="134">
        <f>재료비목록표!E4</f>
        <v>1261</v>
      </c>
      <c r="J88" s="137">
        <f>IF(C88=0,0,ROUNDDOWN(I88*C88,1))</f>
        <v>3656.9</v>
      </c>
      <c r="K88" s="135">
        <v>0</v>
      </c>
      <c r="L88" s="131">
        <f>IF(C88=0,0,ROUNDDOWN(K88*C88,1))</f>
        <v>0</v>
      </c>
      <c r="M88" s="23" t="s">
        <v>1276</v>
      </c>
      <c r="N88" s="17" t="s">
        <v>1317</v>
      </c>
      <c r="O88" s="7" t="s">
        <v>1275</v>
      </c>
      <c r="P88" s="7" t="s">
        <v>768</v>
      </c>
      <c r="Z88" s="3" t="str">
        <f ca="1">HYPERLINK("#"&amp;재료비목록표!G2&amp;"!A"&amp;ROW(재료비목록표!A4),"M00758 →")</f>
        <v>M00758 →</v>
      </c>
    </row>
    <row r="89" spans="1:26" ht="28.7" customHeight="1" x14ac:dyDescent="0.3">
      <c r="A89" s="10" t="s">
        <v>161</v>
      </c>
      <c r="B89" s="10" t="s">
        <v>162</v>
      </c>
      <c r="C89" s="126">
        <v>38</v>
      </c>
      <c r="D89" s="32" t="s">
        <v>163</v>
      </c>
      <c r="E89" s="129">
        <f t="shared" si="10"/>
        <v>3656.9</v>
      </c>
      <c r="F89" s="132">
        <f t="shared" si="10"/>
        <v>1389.6</v>
      </c>
      <c r="G89" s="135">
        <v>0</v>
      </c>
      <c r="H89" s="131">
        <f>IF(C89=0,0,ROUNDDOWN(G89*C89/100,1))</f>
        <v>0</v>
      </c>
      <c r="I89" s="134">
        <f>J88</f>
        <v>3656.9</v>
      </c>
      <c r="J89" s="137">
        <f>IF(C89=0,0,ROUNDDOWN(I89*C89/100,1))</f>
        <v>1389.6</v>
      </c>
      <c r="K89" s="135">
        <v>0</v>
      </c>
      <c r="L89" s="131">
        <f>IF(C89=0,0,ROUNDDOWN(K89*C89/100,1))</f>
        <v>0</v>
      </c>
      <c r="M89" s="23" t="s">
        <v>1320</v>
      </c>
      <c r="N89" s="17" t="s">
        <v>1318</v>
      </c>
      <c r="O89" s="7" t="s">
        <v>1319</v>
      </c>
      <c r="P89" s="7" t="s">
        <v>768</v>
      </c>
      <c r="Z89" s="3" t="str">
        <f ca="1">HYPERLINK("#"&amp;재료비목록표!G2&amp;"!A"&amp;ROW(재료비목록표!A5),"M00770 →")</f>
        <v>M00770 →</v>
      </c>
    </row>
    <row r="90" spans="1:26" ht="28.7" customHeight="1" x14ac:dyDescent="0.3">
      <c r="A90" s="23" t="s">
        <v>6</v>
      </c>
      <c r="B90" s="123"/>
      <c r="C90" s="123"/>
      <c r="D90" s="123"/>
      <c r="E90" s="123"/>
      <c r="F90" s="99">
        <f>J90+H90+L90</f>
        <v>62146</v>
      </c>
      <c r="G90" s="123"/>
      <c r="H90" s="99">
        <f>ROUNDDOWN(SUMIF(P86:P89,O90,H86:H89),0)</f>
        <v>49479</v>
      </c>
      <c r="I90" s="123"/>
      <c r="J90" s="99">
        <f>ROUNDDOWN(SUMIF(P86:P89,O90,J86:J89),0)</f>
        <v>5046</v>
      </c>
      <c r="K90" s="123"/>
      <c r="L90" s="99">
        <f>ROUNDDOWN(SUMIF(P86:P89,O90,L86:L89),0)</f>
        <v>7621</v>
      </c>
      <c r="M90" s="123"/>
      <c r="O90" s="7" t="s">
        <v>768</v>
      </c>
    </row>
    <row r="91" spans="1:26" ht="28.7" customHeight="1" x14ac:dyDescent="0.3">
      <c r="A91" s="39" t="s">
        <v>147</v>
      </c>
      <c r="B91" s="39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41" t="str">
        <f>HYPERLINK("#N"&amp;ROW(N96),"_x0005_`BDCOD|X00092_x0007_`POSS|"&amp;ROW(N93)&amp;"_x0007_`POSE|"&amp;ROW(N96)&amp;"_x0007_`")</f>
        <v>_x0005_`BDCOD|X00092_x0007_`POSS|93_x0007_`POSE|96_x0007_`</v>
      </c>
    </row>
    <row r="92" spans="1:26" ht="28.7" customHeight="1" x14ac:dyDescent="0.3">
      <c r="A92" s="122" t="s">
        <v>117</v>
      </c>
      <c r="B92" s="122" t="s">
        <v>149</v>
      </c>
      <c r="C92" s="125"/>
      <c r="D92" s="128" t="s">
        <v>105</v>
      </c>
      <c r="E92" s="125"/>
      <c r="F92" s="125"/>
      <c r="G92" s="125"/>
      <c r="H92" s="125"/>
      <c r="I92" s="125"/>
      <c r="J92" s="125"/>
      <c r="K92" s="125"/>
      <c r="L92" s="125"/>
      <c r="M92" s="128" t="s">
        <v>1325</v>
      </c>
      <c r="O92" s="7" t="s">
        <v>1325</v>
      </c>
    </row>
    <row r="93" spans="1:26" ht="28.7" customHeight="1" x14ac:dyDescent="0.3">
      <c r="A93" s="10" t="s">
        <v>117</v>
      </c>
      <c r="B93" s="10" t="s">
        <v>118</v>
      </c>
      <c r="C93" s="126">
        <v>0.3533</v>
      </c>
      <c r="D93" s="32" t="s">
        <v>198</v>
      </c>
      <c r="E93" s="129">
        <f t="shared" ref="E93:F96" si="11">I93+G93+K93</f>
        <v>25185</v>
      </c>
      <c r="F93" s="132">
        <f t="shared" si="11"/>
        <v>8897.7999999999993</v>
      </c>
      <c r="G93" s="135">
        <v>0</v>
      </c>
      <c r="H93" s="132">
        <f>IF(C93=0,0,ROUNDDOWN(G93*C93,1))</f>
        <v>0</v>
      </c>
      <c r="I93" s="135">
        <v>0</v>
      </c>
      <c r="J93" s="131">
        <f>IF(C93=0,0,ROUNDDOWN(I93*C93,1))</f>
        <v>0</v>
      </c>
      <c r="K93" s="134">
        <f>경비목록표!E6</f>
        <v>25185</v>
      </c>
      <c r="L93" s="138">
        <f>IF(C93=0,0,ROUNDDOWN(K93*C93,1))</f>
        <v>8897.7999999999993</v>
      </c>
      <c r="M93" s="23" t="s">
        <v>1288</v>
      </c>
      <c r="N93" s="17" t="s">
        <v>1286</v>
      </c>
      <c r="O93" s="7" t="s">
        <v>1287</v>
      </c>
      <c r="P93" s="7" t="s">
        <v>768</v>
      </c>
      <c r="Z93" s="3" t="str">
        <f ca="1">HYPERLINK("#"&amp;경비목록표!G2&amp;"!A"&amp;ROW(경비목록표!A6),"S00017 →")</f>
        <v>S00017 →</v>
      </c>
    </row>
    <row r="94" spans="1:26" ht="28.7" customHeight="1" x14ac:dyDescent="0.3">
      <c r="A94" s="10" t="s">
        <v>195</v>
      </c>
      <c r="B94" s="10"/>
      <c r="C94" s="126">
        <v>1</v>
      </c>
      <c r="D94" s="32" t="s">
        <v>185</v>
      </c>
      <c r="E94" s="129">
        <f t="shared" si="11"/>
        <v>49479</v>
      </c>
      <c r="F94" s="131">
        <f t="shared" si="11"/>
        <v>49479</v>
      </c>
      <c r="G94" s="134">
        <f>환율및기초자료!G7</f>
        <v>49479</v>
      </c>
      <c r="H94" s="137">
        <f>IF(C94=0,0,ROUNDDOWN(G94*C94,1))</f>
        <v>49479</v>
      </c>
      <c r="I94" s="135">
        <v>0</v>
      </c>
      <c r="J94" s="132">
        <f>IF(C94=0,0,ROUNDDOWN(I94*C94,1))</f>
        <v>0</v>
      </c>
      <c r="K94" s="135">
        <v>0</v>
      </c>
      <c r="L94" s="131">
        <f>IF(C94=0,0,ROUNDDOWN(K94*C94,1))</f>
        <v>0</v>
      </c>
      <c r="M94" s="23" t="s">
        <v>1291</v>
      </c>
      <c r="N94" s="17" t="s">
        <v>1289</v>
      </c>
      <c r="O94" s="7" t="s">
        <v>1290</v>
      </c>
      <c r="P94" s="7" t="s">
        <v>768</v>
      </c>
      <c r="Z94" s="3" t="str">
        <f ca="1">HYPERLINK("#"&amp;환율및기초자료!I2&amp;"!A"&amp;ROW(환율및기초자료!A7),"L00026 →")</f>
        <v>L00026 →</v>
      </c>
    </row>
    <row r="95" spans="1:26" ht="28.7" customHeight="1" x14ac:dyDescent="0.3">
      <c r="A95" s="10" t="s">
        <v>157</v>
      </c>
      <c r="B95" s="10" t="s">
        <v>158</v>
      </c>
      <c r="C95" s="126">
        <v>5</v>
      </c>
      <c r="D95" s="32" t="s">
        <v>159</v>
      </c>
      <c r="E95" s="129">
        <f t="shared" si="11"/>
        <v>1261</v>
      </c>
      <c r="F95" s="132">
        <f t="shared" si="11"/>
        <v>6305</v>
      </c>
      <c r="G95" s="135">
        <v>0</v>
      </c>
      <c r="H95" s="131">
        <f>IF(C95=0,0,ROUNDDOWN(G95*C95,1))</f>
        <v>0</v>
      </c>
      <c r="I95" s="134">
        <f>재료비목록표!E4</f>
        <v>1261</v>
      </c>
      <c r="J95" s="137">
        <f>IF(C95=0,0,ROUNDDOWN(I95*C95,1))</f>
        <v>6305</v>
      </c>
      <c r="K95" s="135">
        <v>0</v>
      </c>
      <c r="L95" s="131">
        <f>IF(C95=0,0,ROUNDDOWN(K95*C95,1))</f>
        <v>0</v>
      </c>
      <c r="M95" s="23" t="s">
        <v>1276</v>
      </c>
      <c r="N95" s="17" t="s">
        <v>1274</v>
      </c>
      <c r="O95" s="7" t="s">
        <v>1275</v>
      </c>
      <c r="P95" s="7" t="s">
        <v>768</v>
      </c>
      <c r="Q95" s="7" t="s">
        <v>793</v>
      </c>
      <c r="Z95" s="3" t="str">
        <f ca="1">HYPERLINK("#"&amp;재료비목록표!G2&amp;"!A"&amp;ROW(재료비목록표!A4),"M00758 →")</f>
        <v>M00758 →</v>
      </c>
    </row>
    <row r="96" spans="1:26" ht="28.7" customHeight="1" x14ac:dyDescent="0.3">
      <c r="A96" s="10" t="s">
        <v>161</v>
      </c>
      <c r="B96" s="10" t="s">
        <v>1277</v>
      </c>
      <c r="C96" s="126">
        <v>38</v>
      </c>
      <c r="D96" s="32" t="s">
        <v>163</v>
      </c>
      <c r="E96" s="129">
        <f t="shared" si="11"/>
        <v>6305</v>
      </c>
      <c r="F96" s="132">
        <f t="shared" si="11"/>
        <v>2395.9</v>
      </c>
      <c r="G96" s="13">
        <v>0</v>
      </c>
      <c r="H96" s="132">
        <f>IF(C96=0,0,ROUNDDOWN(G96*C96/100,1))</f>
        <v>0</v>
      </c>
      <c r="I96" s="136">
        <f>J95</f>
        <v>6305</v>
      </c>
      <c r="J96" s="131">
        <f>IF(C96=0,0,ROUNDDOWN(I96*C96/100,1))</f>
        <v>2395.9</v>
      </c>
      <c r="K96" s="22">
        <v>0</v>
      </c>
      <c r="L96" s="131">
        <f>IF(C96=0,0,ROUNDDOWN(K96*C96/100,1))</f>
        <v>0</v>
      </c>
      <c r="M96" s="23"/>
      <c r="N96" s="17" t="s">
        <v>1278</v>
      </c>
      <c r="O96" s="7" t="s">
        <v>805</v>
      </c>
      <c r="P96" s="7" t="s">
        <v>768</v>
      </c>
    </row>
    <row r="97" spans="1:26" ht="28.7" customHeight="1" x14ac:dyDescent="0.3">
      <c r="A97" s="23" t="s">
        <v>6</v>
      </c>
      <c r="B97" s="123"/>
      <c r="C97" s="123"/>
      <c r="D97" s="123"/>
      <c r="E97" s="123"/>
      <c r="F97" s="99">
        <f>J97+H97+L97</f>
        <v>67076</v>
      </c>
      <c r="G97" s="123"/>
      <c r="H97" s="99">
        <f>ROUNDDOWN(SUMIF(P93:P96,O97,H93:H96),0)</f>
        <v>49479</v>
      </c>
      <c r="I97" s="123"/>
      <c r="J97" s="99">
        <f>ROUNDDOWN(SUMIF(P93:P96,O97,J93:J96),0)</f>
        <v>8700</v>
      </c>
      <c r="K97" s="123"/>
      <c r="L97" s="99">
        <f>ROUNDDOWN(SUMIF(P93:P96,O97,L93:L96),0)</f>
        <v>8897</v>
      </c>
      <c r="M97" s="123"/>
      <c r="O97" s="7" t="s">
        <v>768</v>
      </c>
    </row>
    <row r="98" spans="1:26" ht="28.7" customHeight="1" x14ac:dyDescent="0.3">
      <c r="A98" s="39" t="s">
        <v>150</v>
      </c>
      <c r="B98" s="39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41" t="str">
        <f>HYPERLINK("#N"&amp;ROW(N103),"_x0005_`BDCOD|X00094_x0007_`POSS|"&amp;ROW(N100)&amp;"_x0007_`POSE|"&amp;ROW(N103)&amp;"_x0007_`")</f>
        <v>_x0005_`BDCOD|X00094_x0007_`POSS|100_x0007_`POSE|103_x0007_`</v>
      </c>
    </row>
    <row r="99" spans="1:26" ht="28.7" customHeight="1" x14ac:dyDescent="0.3">
      <c r="A99" s="122" t="s">
        <v>152</v>
      </c>
      <c r="B99" s="122" t="s">
        <v>153</v>
      </c>
      <c r="C99" s="125"/>
      <c r="D99" s="128" t="s">
        <v>105</v>
      </c>
      <c r="E99" s="125"/>
      <c r="F99" s="125"/>
      <c r="G99" s="125"/>
      <c r="H99" s="125"/>
      <c r="I99" s="125"/>
      <c r="J99" s="125"/>
      <c r="K99" s="125"/>
      <c r="L99" s="125"/>
      <c r="M99" s="128" t="s">
        <v>1326</v>
      </c>
      <c r="O99" s="7" t="s">
        <v>1326</v>
      </c>
    </row>
    <row r="100" spans="1:26" ht="28.7" customHeight="1" x14ac:dyDescent="0.3">
      <c r="A100" s="10" t="s">
        <v>152</v>
      </c>
      <c r="B100" s="10" t="s">
        <v>153</v>
      </c>
      <c r="C100" s="126">
        <v>0.28249999999999997</v>
      </c>
      <c r="D100" s="32" t="s">
        <v>198</v>
      </c>
      <c r="E100" s="129">
        <f t="shared" ref="E100:F103" si="12">I100+G100+K100</f>
        <v>92722</v>
      </c>
      <c r="F100" s="132">
        <f t="shared" si="12"/>
        <v>26193.9</v>
      </c>
      <c r="G100" s="135">
        <v>0</v>
      </c>
      <c r="H100" s="132">
        <f>IF(C100=0,0,ROUNDDOWN(G100*C100,1))</f>
        <v>0</v>
      </c>
      <c r="I100" s="135">
        <v>0</v>
      </c>
      <c r="J100" s="131">
        <f>IF(C100=0,0,ROUNDDOWN(I100*C100,1))</f>
        <v>0</v>
      </c>
      <c r="K100" s="134">
        <f>경비목록표!E13</f>
        <v>92722</v>
      </c>
      <c r="L100" s="138">
        <f>IF(C100=0,0,ROUNDDOWN(K100*C100,1))</f>
        <v>26193.9</v>
      </c>
      <c r="M100" s="23" t="s">
        <v>1329</v>
      </c>
      <c r="N100" s="17" t="s">
        <v>1327</v>
      </c>
      <c r="O100" s="7" t="s">
        <v>1328</v>
      </c>
      <c r="P100" s="7" t="s">
        <v>768</v>
      </c>
      <c r="Z100" s="3" t="str">
        <f ca="1">HYPERLINK("#"&amp;경비목록표!G2&amp;"!A"&amp;ROW(경비목록표!A13),"S00169 →")</f>
        <v>S00169 →</v>
      </c>
    </row>
    <row r="101" spans="1:26" ht="28.7" customHeight="1" x14ac:dyDescent="0.3">
      <c r="A101" s="10" t="s">
        <v>193</v>
      </c>
      <c r="B101" s="10"/>
      <c r="C101" s="126">
        <v>1</v>
      </c>
      <c r="D101" s="32" t="s">
        <v>185</v>
      </c>
      <c r="E101" s="129">
        <f t="shared" si="12"/>
        <v>57077</v>
      </c>
      <c r="F101" s="131">
        <f t="shared" si="12"/>
        <v>57077</v>
      </c>
      <c r="G101" s="134">
        <f>환율및기초자료!G6</f>
        <v>57077</v>
      </c>
      <c r="H101" s="137">
        <f>IF(C101=0,0,ROUNDDOWN(G101*C101,1))</f>
        <v>57077</v>
      </c>
      <c r="I101" s="135">
        <v>0</v>
      </c>
      <c r="J101" s="132">
        <f>IF(C101=0,0,ROUNDDOWN(I101*C101,1))</f>
        <v>0</v>
      </c>
      <c r="K101" s="135">
        <v>0</v>
      </c>
      <c r="L101" s="131">
        <f>IF(C101=0,0,ROUNDDOWN(K101*C101,1))</f>
        <v>0</v>
      </c>
      <c r="M101" s="23" t="s">
        <v>1273</v>
      </c>
      <c r="N101" s="17" t="s">
        <v>1271</v>
      </c>
      <c r="O101" s="7" t="s">
        <v>1272</v>
      </c>
      <c r="P101" s="7" t="s">
        <v>768</v>
      </c>
      <c r="Z101" s="3" t="str">
        <f ca="1">HYPERLINK("#"&amp;환율및기초자료!I2&amp;"!A"&amp;ROW(환율및기초자료!A6),"L00024 →")</f>
        <v>L00024 →</v>
      </c>
    </row>
    <row r="102" spans="1:26" ht="28.7" customHeight="1" x14ac:dyDescent="0.3">
      <c r="A102" s="10" t="s">
        <v>157</v>
      </c>
      <c r="B102" s="10" t="s">
        <v>158</v>
      </c>
      <c r="C102" s="126">
        <v>14.4</v>
      </c>
      <c r="D102" s="32" t="s">
        <v>159</v>
      </c>
      <c r="E102" s="129">
        <f t="shared" si="12"/>
        <v>1261</v>
      </c>
      <c r="F102" s="132">
        <f t="shared" si="12"/>
        <v>18158.400000000001</v>
      </c>
      <c r="G102" s="135">
        <v>0</v>
      </c>
      <c r="H102" s="131">
        <f>IF(C102=0,0,ROUNDDOWN(G102*C102,1))</f>
        <v>0</v>
      </c>
      <c r="I102" s="134">
        <f>재료비목록표!E4</f>
        <v>1261</v>
      </c>
      <c r="J102" s="137">
        <f>IF(C102=0,0,ROUNDDOWN(I102*C102,1))</f>
        <v>18158.400000000001</v>
      </c>
      <c r="K102" s="135">
        <v>0</v>
      </c>
      <c r="L102" s="131">
        <f>IF(C102=0,0,ROUNDDOWN(K102*C102,1))</f>
        <v>0</v>
      </c>
      <c r="M102" s="23" t="s">
        <v>1276</v>
      </c>
      <c r="N102" s="17" t="s">
        <v>1274</v>
      </c>
      <c r="O102" s="7" t="s">
        <v>1275</v>
      </c>
      <c r="P102" s="7" t="s">
        <v>768</v>
      </c>
      <c r="Q102" s="7" t="s">
        <v>793</v>
      </c>
      <c r="Z102" s="3" t="str">
        <f ca="1">HYPERLINK("#"&amp;재료비목록표!G2&amp;"!A"&amp;ROW(재료비목록표!A4),"M00758 →")</f>
        <v>M00758 →</v>
      </c>
    </row>
    <row r="103" spans="1:26" ht="28.7" customHeight="1" x14ac:dyDescent="0.3">
      <c r="A103" s="10" t="s">
        <v>161</v>
      </c>
      <c r="B103" s="10" t="s">
        <v>1277</v>
      </c>
      <c r="C103" s="126">
        <v>30</v>
      </c>
      <c r="D103" s="32" t="s">
        <v>163</v>
      </c>
      <c r="E103" s="129">
        <f t="shared" si="12"/>
        <v>18158.400000000001</v>
      </c>
      <c r="F103" s="132">
        <f t="shared" si="12"/>
        <v>5447.5</v>
      </c>
      <c r="G103" s="13">
        <v>0</v>
      </c>
      <c r="H103" s="132">
        <f>IF(C103=0,0,ROUNDDOWN(G103*C103/100,1))</f>
        <v>0</v>
      </c>
      <c r="I103" s="136">
        <f>J102</f>
        <v>18158.400000000001</v>
      </c>
      <c r="J103" s="131">
        <f>IF(C103=0,0,ROUNDDOWN(I103*C103/100,1))</f>
        <v>5447.5</v>
      </c>
      <c r="K103" s="22">
        <v>0</v>
      </c>
      <c r="L103" s="131">
        <f>IF(C103=0,0,ROUNDDOWN(K103*C103/100,1))</f>
        <v>0</v>
      </c>
      <c r="M103" s="23"/>
      <c r="N103" s="17" t="s">
        <v>1278</v>
      </c>
      <c r="O103" s="7" t="s">
        <v>805</v>
      </c>
      <c r="P103" s="7" t="s">
        <v>768</v>
      </c>
    </row>
    <row r="104" spans="1:26" ht="28.7" customHeight="1" x14ac:dyDescent="0.3">
      <c r="A104" s="23" t="s">
        <v>6</v>
      </c>
      <c r="B104" s="123"/>
      <c r="C104" s="123"/>
      <c r="D104" s="123"/>
      <c r="E104" s="123"/>
      <c r="F104" s="99">
        <f>J104+H104+L104</f>
        <v>106875</v>
      </c>
      <c r="G104" s="123"/>
      <c r="H104" s="99">
        <f>ROUNDDOWN(SUMIF(P100:P103,O104,H100:H103),0)</f>
        <v>57077</v>
      </c>
      <c r="I104" s="123"/>
      <c r="J104" s="99">
        <f>ROUNDDOWN(SUMIF(P100:P103,O104,J100:J103),0)</f>
        <v>23605</v>
      </c>
      <c r="K104" s="123"/>
      <c r="L104" s="99">
        <f>ROUNDDOWN(SUMIF(P100:P103,O104,L100:L103),0)</f>
        <v>26193</v>
      </c>
      <c r="M104" s="123"/>
      <c r="O104" s="7" t="s">
        <v>768</v>
      </c>
    </row>
  </sheetData>
  <mergeCells count="10"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25" type="noConversion"/>
  <conditionalFormatting sqref="C5:M104">
    <cfRule type="expression" dxfId="0" priority="1" stopIfTrue="1">
      <formula>AND(C5&lt;&gt;0,INT(C5)=C5)</formula>
    </cfRule>
  </conditionalFormatting>
  <hyperlinks>
    <hyperlink ref="Z1" r:id="rId1" tooltip="설계예산시스템(STmate w25.05)으로 작성 하였으며,_x000a_엑셀 인쇄품질 600 dpi에 최적화 되어 있습니다._x000a_경영정보(주) http://www.stma.co.kr_x000a_Tel) 070-4350-0040_x000a_Fax) 0505-300-3948"/>
    <hyperlink ref="N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73" fitToWidth="0" fitToHeight="0" orientation="landscape" r:id="rId3"/>
  <headerFooter alignWithMargins="0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5" width="13.75" style="6" customWidth="1"/>
    <col min="6" max="6" width="10" style="6" customWidth="1"/>
    <col min="7" max="7" width="9.125" style="16" hidden="1" customWidth="1"/>
    <col min="8" max="8" width="9.125" style="18" customWidth="1"/>
    <col min="9" max="16384" width="9.125" style="6"/>
  </cols>
  <sheetData>
    <row r="1" spans="1:8" ht="24.95" customHeight="1" x14ac:dyDescent="0.3">
      <c r="A1" s="183" t="s">
        <v>155</v>
      </c>
      <c r="B1" s="182"/>
      <c r="C1" s="182"/>
      <c r="D1" s="182"/>
      <c r="E1" s="182"/>
      <c r="F1" s="182"/>
      <c r="G1" s="5" t="s">
        <v>47</v>
      </c>
      <c r="H1" s="19" t="s">
        <v>47</v>
      </c>
    </row>
    <row r="2" spans="1:8" ht="21.75" customHeight="1" x14ac:dyDescent="0.3">
      <c r="A2" s="1" t="s">
        <v>1</v>
      </c>
      <c r="G2" s="20" t="str">
        <f ca="1">MID(CELL("filename",$A$1),FIND("]",CELL("filename",$A$1))+1,LEN(CELL("filename",$A$1)))</f>
        <v>재료비목록표</v>
      </c>
    </row>
    <row r="3" spans="1:8" ht="21.7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156</v>
      </c>
      <c r="F3" s="14" t="s">
        <v>10</v>
      </c>
      <c r="H3" s="3" t="str">
        <f>HYPERLINK("#'〓 목 차 〓'!B2","목차 →")</f>
        <v>목차 →</v>
      </c>
    </row>
    <row r="4" spans="1:8" ht="21.75" customHeight="1" x14ac:dyDescent="0.3">
      <c r="A4" s="9" t="s">
        <v>102</v>
      </c>
      <c r="B4" s="10" t="s">
        <v>157</v>
      </c>
      <c r="C4" s="10" t="s">
        <v>158</v>
      </c>
      <c r="D4" s="9" t="s">
        <v>159</v>
      </c>
      <c r="E4" s="33">
        <f>자재단가대비표!O5</f>
        <v>1261</v>
      </c>
      <c r="F4" s="23" t="s">
        <v>102</v>
      </c>
      <c r="G4" s="17" t="str">
        <f>"_x0007_`COD|M00758_x0005_`QTY1|1_x0005_`BQC|_x0005_`EQC|_x0005_`JDC|1510150520282163_x0005_`WQC|_x0005_`EDT|2025.01.07_x0005_`DET|"&amp;ROW(자재단가대비표!A5)&amp;"_x0005_`"</f>
        <v>_x0007_`COD|M00758_x0005_`QTY1|1_x0005_`BQC|_x0005_`EQC|_x0005_`JDC|1510150520282163_x0005_`WQC|_x0005_`EDT|2025.01.07_x0005_`DET|5_x0005_`</v>
      </c>
      <c r="H4" s="3" t="str">
        <f ca="1">HYPERLINK("#"&amp;자재단가대비표!R2&amp;"!A"&amp;ROW(자재단가대비표!A5),"M00758 →")</f>
        <v>M00758 →</v>
      </c>
    </row>
    <row r="5" spans="1:8" ht="21.75" customHeight="1" x14ac:dyDescent="0.3">
      <c r="A5" s="9" t="s">
        <v>107</v>
      </c>
      <c r="B5" s="10" t="s">
        <v>161</v>
      </c>
      <c r="C5" s="10" t="s">
        <v>162</v>
      </c>
      <c r="D5" s="9" t="s">
        <v>163</v>
      </c>
      <c r="E5" s="33">
        <f>자재단가대비표!O6</f>
        <v>0</v>
      </c>
      <c r="F5" s="23" t="s">
        <v>107</v>
      </c>
      <c r="G5" s="17" t="str">
        <f>"_x0007_`COD|M00770_x0005_`QTY1|1_x0005_`UNT|M%_x0005_`BQC|_x0005_`EQC|_x0005_`JDC|_x0005_`WQC|_x0005_`EDT|_x0005_`DET|"&amp;ROW(자재단가대비표!A6)&amp;"_x0005_`"</f>
        <v>_x0007_`COD|M00770_x0005_`QTY1|1_x0005_`UNT|M%_x0005_`BQC|_x0005_`EQC|_x0005_`JDC|_x0005_`WQC|_x0005_`EDT|_x0005_`DET|6_x0005_`</v>
      </c>
      <c r="H5" s="3" t="str">
        <f ca="1">HYPERLINK("#"&amp;자재단가대비표!R2&amp;"!A"&amp;ROW(자재단가대비표!A6),"M00770 →")</f>
        <v>M00770 →</v>
      </c>
    </row>
    <row r="6" spans="1:8" ht="21.75" customHeight="1" x14ac:dyDescent="0.3">
      <c r="A6" s="9" t="s">
        <v>110</v>
      </c>
      <c r="B6" s="10" t="s">
        <v>165</v>
      </c>
      <c r="C6" s="10" t="s">
        <v>166</v>
      </c>
      <c r="D6" s="9" t="s">
        <v>167</v>
      </c>
      <c r="E6" s="33">
        <f>자재단가대비표!O7</f>
        <v>24</v>
      </c>
      <c r="F6" s="23" t="s">
        <v>110</v>
      </c>
      <c r="G6" s="17" t="str">
        <f>"_x0007_`COD|M00775_x0005_`QTY1|1_x0005_`BQC|_x0005_`EQC|_x0005_`JDC|_x0005_`WQC|_x0005_`EDT|_x0005_`DET|"&amp;ROW(자재단가대비표!A7)&amp;"_x0005_`"</f>
        <v>_x0007_`COD|M00775_x0005_`QTY1|1_x0005_`BQC|_x0005_`EQC|_x0005_`JDC|_x0005_`WQC|_x0005_`EDT|_x0005_`DET|7_x0005_`</v>
      </c>
      <c r="H6" s="3" t="str">
        <f ca="1">HYPERLINK("#"&amp;자재단가대비표!R2&amp;"!A"&amp;ROW(자재단가대비표!A7),"M00775 →")</f>
        <v>M00775 →</v>
      </c>
    </row>
    <row r="7" spans="1:8" ht="21.75" customHeight="1" x14ac:dyDescent="0.3">
      <c r="A7" s="9" t="s">
        <v>113</v>
      </c>
      <c r="B7" s="10" t="s">
        <v>169</v>
      </c>
      <c r="C7" s="10" t="s">
        <v>170</v>
      </c>
      <c r="D7" s="9" t="s">
        <v>167</v>
      </c>
      <c r="E7" s="33">
        <f>자재단가대비표!O8</f>
        <v>150</v>
      </c>
      <c r="F7" s="23" t="s">
        <v>113</v>
      </c>
      <c r="G7" s="17" t="str">
        <f>"_x0007_`COD|M00776_x0005_`QTY1|1_x0005_`BQC|_x0005_`EQC|_x0005_`JDC|_x0005_`WQC|_x0005_`EDT|_x0005_`DET|"&amp;ROW(자재단가대비표!A8)&amp;"_x0005_`"</f>
        <v>_x0007_`COD|M00776_x0005_`QTY1|1_x0005_`BQC|_x0005_`EQC|_x0005_`JDC|_x0005_`WQC|_x0005_`EDT|_x0005_`DET|8_x0005_`</v>
      </c>
      <c r="H7" s="3" t="str">
        <f ca="1">HYPERLINK("#"&amp;자재단가대비표!R2&amp;"!A"&amp;ROW(자재단가대비표!A8),"M00776 →")</f>
        <v>M00776 →</v>
      </c>
    </row>
    <row r="8" spans="1:8" ht="21.75" customHeight="1" x14ac:dyDescent="0.3">
      <c r="A8" s="9" t="s">
        <v>116</v>
      </c>
      <c r="B8" s="10" t="s">
        <v>172</v>
      </c>
      <c r="C8" s="10" t="s">
        <v>173</v>
      </c>
      <c r="D8" s="9" t="s">
        <v>174</v>
      </c>
      <c r="E8" s="33">
        <f>자재단가대비표!O9</f>
        <v>30</v>
      </c>
      <c r="F8" s="23" t="s">
        <v>116</v>
      </c>
      <c r="G8" s="17" t="str">
        <f>"_x0007_`COD|M00777_x0005_`QTY1|1_x0005_`BQC|_x0005_`EQC|_x0005_`JDC|_x0005_`WQC|_x0005_`EDT|_x0005_`DET|"&amp;ROW(자재단가대비표!A9)&amp;"_x0005_`"</f>
        <v>_x0007_`COD|M00777_x0005_`QTY1|1_x0005_`BQC|_x0005_`EQC|_x0005_`JDC|_x0005_`WQC|_x0005_`EDT|_x0005_`DET|9_x0005_`</v>
      </c>
      <c r="H8" s="3" t="str">
        <f ca="1">HYPERLINK("#"&amp;자재단가대비표!R2&amp;"!A"&amp;ROW(자재단가대비표!A9),"M00777 →")</f>
        <v>M00777 →</v>
      </c>
    </row>
    <row r="9" spans="1:8" ht="21.75" customHeight="1" x14ac:dyDescent="0.3">
      <c r="A9" s="9" t="s">
        <v>120</v>
      </c>
      <c r="B9" s="10" t="s">
        <v>176</v>
      </c>
      <c r="C9" s="10" t="s">
        <v>177</v>
      </c>
      <c r="D9" s="9" t="s">
        <v>174</v>
      </c>
      <c r="E9" s="33">
        <f>자재단가대비표!O10</f>
        <v>38</v>
      </c>
      <c r="F9" s="23" t="s">
        <v>120</v>
      </c>
      <c r="G9" s="17" t="str">
        <f>"_x0007_`COD|M00778_x0005_`QTY1|1_x0005_`BQC|_x0005_`EQC|_x0005_`JDC|_x0005_`WQC|_x0005_`EDT|_x0005_`DET|"&amp;ROW(자재단가대비표!A10)&amp;"_x0005_`"</f>
        <v>_x0007_`COD|M00778_x0005_`QTY1|1_x0005_`BQC|_x0005_`EQC|_x0005_`JDC|_x0005_`WQC|_x0005_`EDT|_x0005_`DET|10_x0005_`</v>
      </c>
      <c r="H9" s="3" t="str">
        <f ca="1">HYPERLINK("#"&amp;자재단가대비표!R2&amp;"!A"&amp;ROW(자재단가대비표!A10),"M00778 →")</f>
        <v>M00778 →</v>
      </c>
    </row>
    <row r="10" spans="1:8" ht="21.75" customHeight="1" x14ac:dyDescent="0.3">
      <c r="A10" s="9" t="s">
        <v>123</v>
      </c>
      <c r="B10" s="10" t="s">
        <v>179</v>
      </c>
      <c r="C10" s="10" t="s">
        <v>180</v>
      </c>
      <c r="D10" s="9" t="s">
        <v>181</v>
      </c>
      <c r="E10" s="33">
        <f>자재단가대비표!O11</f>
        <v>17160</v>
      </c>
      <c r="F10" s="23" t="s">
        <v>123</v>
      </c>
      <c r="G10" s="17" t="str">
        <f>"_x0007_`COD|M00779_x0005_`QTY1|1_x0005_`BQC|25년 01월_x0005_`EQC|_x0005_`JDC|_x0005_`WQC|_x0005_`EDT|_x0005_`DET|"&amp;ROW(자재단가대비표!A11)&amp;"_x0005_`"</f>
        <v>_x0007_`COD|M00779_x0005_`QTY1|1_x0005_`BQC|25년 01월_x0005_`EQC|_x0005_`JDC|_x0005_`WQC|_x0005_`EDT|_x0005_`DET|11_x0005_`</v>
      </c>
      <c r="H10" s="3" t="str">
        <f ca="1">HYPERLINK("#"&amp;자재단가대비표!R2&amp;"!A"&amp;ROW(자재단가대비표!A11),"M00779 →")</f>
        <v>M00779 →</v>
      </c>
    </row>
  </sheetData>
  <mergeCells count="1">
    <mergeCell ref="A1:F1"/>
  </mergeCells>
  <phoneticPr fontId="25" type="noConversion"/>
  <hyperlinks>
    <hyperlink ref="H1" r:id="rId1" tooltip="설계예산시스템(STmate w25.05)으로 작성 하였으며,_x000a_엑셀 인쇄품질 600 dpi에 최적화 되어 있습니다._x000a_경영정보(주) http://www.stma.co.kr_x000a_Tel) 070-4350-0040_x000a_Fax) 0505-300-3948"/>
    <hyperlink ref="G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5" width="13.75" style="6" customWidth="1"/>
    <col min="6" max="6" width="10" style="6" customWidth="1"/>
    <col min="7" max="7" width="9.125" style="16" hidden="1" customWidth="1"/>
    <col min="8" max="8" width="9.125" style="18" customWidth="1"/>
    <col min="9" max="16384" width="9.125" style="6"/>
  </cols>
  <sheetData>
    <row r="1" spans="1:8" ht="24.95" customHeight="1" x14ac:dyDescent="0.3">
      <c r="A1" s="183" t="s">
        <v>183</v>
      </c>
      <c r="B1" s="182"/>
      <c r="C1" s="182"/>
      <c r="D1" s="182"/>
      <c r="E1" s="182"/>
      <c r="F1" s="182"/>
      <c r="G1" s="5" t="s">
        <v>47</v>
      </c>
      <c r="H1" s="19" t="s">
        <v>47</v>
      </c>
    </row>
    <row r="2" spans="1:8" ht="21.75" customHeight="1" x14ac:dyDescent="0.3">
      <c r="A2" s="1" t="s">
        <v>1</v>
      </c>
      <c r="G2" s="20" t="str">
        <f ca="1">MID(CELL("filename",$A$1),FIND("]",CELL("filename",$A$1))+1,LEN(CELL("filename",$A$1)))</f>
        <v>노무비목록표</v>
      </c>
    </row>
    <row r="3" spans="1:8" ht="21.7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156</v>
      </c>
      <c r="F3" s="14" t="s">
        <v>10</v>
      </c>
      <c r="H3" s="3" t="str">
        <f>HYPERLINK("#'〓 목 차 〓'!B2","목차 →")</f>
        <v>목차 →</v>
      </c>
    </row>
    <row r="4" spans="1:8" ht="21.75" customHeight="1" x14ac:dyDescent="0.3">
      <c r="A4" s="9" t="s">
        <v>102</v>
      </c>
      <c r="B4" s="10" t="s">
        <v>184</v>
      </c>
      <c r="C4" s="10"/>
      <c r="D4" s="9" t="s">
        <v>185</v>
      </c>
      <c r="E4" s="21">
        <v>169804</v>
      </c>
      <c r="F4" s="23" t="s">
        <v>102</v>
      </c>
      <c r="G4" s="17" t="s">
        <v>186</v>
      </c>
    </row>
    <row r="5" spans="1:8" ht="21.75" customHeight="1" x14ac:dyDescent="0.3">
      <c r="A5" s="9" t="s">
        <v>107</v>
      </c>
      <c r="B5" s="10" t="s">
        <v>187</v>
      </c>
      <c r="C5" s="10"/>
      <c r="D5" s="9" t="s">
        <v>185</v>
      </c>
      <c r="E5" s="21">
        <v>221506</v>
      </c>
      <c r="F5" s="23" t="s">
        <v>107</v>
      </c>
      <c r="G5" s="17" t="s">
        <v>188</v>
      </c>
    </row>
    <row r="6" spans="1:8" ht="21.75" customHeight="1" x14ac:dyDescent="0.3">
      <c r="A6" s="9" t="s">
        <v>110</v>
      </c>
      <c r="B6" s="10" t="s">
        <v>189</v>
      </c>
      <c r="C6" s="10"/>
      <c r="D6" s="9" t="s">
        <v>185</v>
      </c>
      <c r="E6" s="21">
        <v>266246</v>
      </c>
      <c r="F6" s="23" t="s">
        <v>110</v>
      </c>
      <c r="G6" s="17" t="s">
        <v>190</v>
      </c>
    </row>
    <row r="7" spans="1:8" ht="21.75" customHeight="1" x14ac:dyDescent="0.3">
      <c r="A7" s="9" t="s">
        <v>113</v>
      </c>
      <c r="B7" s="10" t="s">
        <v>191</v>
      </c>
      <c r="C7" s="10"/>
      <c r="D7" s="9" t="s">
        <v>185</v>
      </c>
      <c r="E7" s="21">
        <v>224132</v>
      </c>
      <c r="F7" s="23" t="s">
        <v>113</v>
      </c>
      <c r="G7" s="17" t="s">
        <v>192</v>
      </c>
    </row>
    <row r="8" spans="1:8" ht="21.75" customHeight="1" x14ac:dyDescent="0.3">
      <c r="A8" s="9" t="s">
        <v>116</v>
      </c>
      <c r="B8" s="10" t="s">
        <v>193</v>
      </c>
      <c r="C8" s="10"/>
      <c r="D8" s="9" t="s">
        <v>185</v>
      </c>
      <c r="E8" s="21">
        <v>273971</v>
      </c>
      <c r="F8" s="23" t="s">
        <v>116</v>
      </c>
      <c r="G8" s="17" t="s">
        <v>194</v>
      </c>
    </row>
    <row r="9" spans="1:8" ht="21.75" customHeight="1" x14ac:dyDescent="0.3">
      <c r="A9" s="9" t="s">
        <v>120</v>
      </c>
      <c r="B9" s="10" t="s">
        <v>195</v>
      </c>
      <c r="C9" s="10"/>
      <c r="D9" s="9" t="s">
        <v>185</v>
      </c>
      <c r="E9" s="21">
        <v>237500</v>
      </c>
      <c r="F9" s="23" t="s">
        <v>120</v>
      </c>
      <c r="G9" s="17" t="s">
        <v>196</v>
      </c>
    </row>
  </sheetData>
  <mergeCells count="1">
    <mergeCell ref="A1:F1"/>
  </mergeCells>
  <phoneticPr fontId="25" type="noConversion"/>
  <hyperlinks>
    <hyperlink ref="H1" r:id="rId1" tooltip="설계예산시스템(STmate w25.05)으로 작성 하였으며,_x000a_엑셀 인쇄품질 600 dpi에 최적화 되어 있습니다._x000a_경영정보(주) http://www.stma.co.kr_x000a_Tel) 070-4350-0040_x000a_Fax) 0505-300-3948"/>
    <hyperlink ref="G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5" width="13.75" style="6" customWidth="1"/>
    <col min="6" max="6" width="10" style="6" customWidth="1"/>
    <col min="7" max="7" width="9.125" style="16" hidden="1" customWidth="1"/>
    <col min="8" max="8" width="9.125" style="18" customWidth="1"/>
    <col min="9" max="16384" width="9.125" style="6"/>
  </cols>
  <sheetData>
    <row r="1" spans="1:8" ht="24.95" customHeight="1" x14ac:dyDescent="0.3">
      <c r="A1" s="183" t="s">
        <v>197</v>
      </c>
      <c r="B1" s="182"/>
      <c r="C1" s="182"/>
      <c r="D1" s="182"/>
      <c r="E1" s="182"/>
      <c r="F1" s="182"/>
      <c r="G1" s="5" t="s">
        <v>47</v>
      </c>
      <c r="H1" s="19" t="s">
        <v>47</v>
      </c>
    </row>
    <row r="2" spans="1:8" ht="21.75" customHeight="1" x14ac:dyDescent="0.3">
      <c r="A2" s="1" t="s">
        <v>1</v>
      </c>
      <c r="G2" s="20" t="str">
        <f ca="1">MID(CELL("filename",$A$1),FIND("]",CELL("filename",$A$1))+1,LEN(CELL("filename",$A$1)))</f>
        <v>경비목록표</v>
      </c>
    </row>
    <row r="3" spans="1:8" ht="21.7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156</v>
      </c>
      <c r="F3" s="14" t="s">
        <v>10</v>
      </c>
      <c r="H3" s="3" t="str">
        <f>HYPERLINK("#'〓 목 차 〓'!B2","목차 →")</f>
        <v>목차 →</v>
      </c>
    </row>
    <row r="4" spans="1:8" ht="21.75" customHeight="1" x14ac:dyDescent="0.3">
      <c r="A4" s="9" t="s">
        <v>102</v>
      </c>
      <c r="B4" s="10" t="s">
        <v>103</v>
      </c>
      <c r="C4" s="10" t="s">
        <v>104</v>
      </c>
      <c r="D4" s="9" t="s">
        <v>198</v>
      </c>
      <c r="E4" s="21">
        <v>64267</v>
      </c>
      <c r="F4" s="23" t="s">
        <v>102</v>
      </c>
      <c r="G4" s="17" t="s">
        <v>199</v>
      </c>
    </row>
    <row r="5" spans="1:8" ht="21.75" customHeight="1" x14ac:dyDescent="0.3">
      <c r="A5" s="9" t="s">
        <v>107</v>
      </c>
      <c r="B5" s="10" t="s">
        <v>103</v>
      </c>
      <c r="C5" s="10" t="s">
        <v>108</v>
      </c>
      <c r="D5" s="9" t="s">
        <v>198</v>
      </c>
      <c r="E5" s="21">
        <v>115116</v>
      </c>
      <c r="F5" s="23" t="s">
        <v>107</v>
      </c>
      <c r="G5" s="17" t="s">
        <v>200</v>
      </c>
    </row>
    <row r="6" spans="1:8" ht="21.75" customHeight="1" x14ac:dyDescent="0.3">
      <c r="A6" s="9" t="s">
        <v>110</v>
      </c>
      <c r="B6" s="10" t="s">
        <v>117</v>
      </c>
      <c r="C6" s="10" t="s">
        <v>118</v>
      </c>
      <c r="D6" s="9" t="s">
        <v>198</v>
      </c>
      <c r="E6" s="21">
        <v>25185</v>
      </c>
      <c r="F6" s="23" t="s">
        <v>110</v>
      </c>
      <c r="G6" s="17" t="s">
        <v>201</v>
      </c>
    </row>
    <row r="7" spans="1:8" ht="21.75" customHeight="1" x14ac:dyDescent="0.3">
      <c r="A7" s="9" t="s">
        <v>113</v>
      </c>
      <c r="B7" s="10" t="s">
        <v>117</v>
      </c>
      <c r="C7" s="10" t="s">
        <v>121</v>
      </c>
      <c r="D7" s="9" t="s">
        <v>198</v>
      </c>
      <c r="E7" s="21">
        <v>88973</v>
      </c>
      <c r="F7" s="23" t="s">
        <v>113</v>
      </c>
      <c r="G7" s="17" t="s">
        <v>202</v>
      </c>
    </row>
    <row r="8" spans="1:8" ht="21.75" customHeight="1" x14ac:dyDescent="0.3">
      <c r="A8" s="9" t="s">
        <v>116</v>
      </c>
      <c r="B8" s="10" t="s">
        <v>127</v>
      </c>
      <c r="C8" s="10" t="s">
        <v>128</v>
      </c>
      <c r="D8" s="9" t="s">
        <v>198</v>
      </c>
      <c r="E8" s="21">
        <v>1604</v>
      </c>
      <c r="F8" s="23" t="s">
        <v>116</v>
      </c>
      <c r="G8" s="17" t="s">
        <v>203</v>
      </c>
    </row>
    <row r="9" spans="1:8" ht="21.75" customHeight="1" x14ac:dyDescent="0.3">
      <c r="A9" s="9" t="s">
        <v>120</v>
      </c>
      <c r="B9" s="10" t="s">
        <v>204</v>
      </c>
      <c r="C9" s="10" t="s">
        <v>205</v>
      </c>
      <c r="D9" s="9" t="s">
        <v>198</v>
      </c>
      <c r="E9" s="21">
        <v>7610</v>
      </c>
      <c r="F9" s="23" t="s">
        <v>120</v>
      </c>
      <c r="G9" s="17" t="s">
        <v>206</v>
      </c>
    </row>
    <row r="10" spans="1:8" ht="21.75" customHeight="1" x14ac:dyDescent="0.3">
      <c r="A10" s="9" t="s">
        <v>123</v>
      </c>
      <c r="B10" s="10" t="s">
        <v>117</v>
      </c>
      <c r="C10" s="10" t="s">
        <v>134</v>
      </c>
      <c r="D10" s="9" t="s">
        <v>198</v>
      </c>
      <c r="E10" s="21">
        <v>145014</v>
      </c>
      <c r="F10" s="23" t="s">
        <v>123</v>
      </c>
      <c r="G10" s="17" t="s">
        <v>207</v>
      </c>
    </row>
    <row r="11" spans="1:8" ht="21.75" customHeight="1" x14ac:dyDescent="0.3">
      <c r="A11" s="9" t="s">
        <v>126</v>
      </c>
      <c r="B11" s="10" t="s">
        <v>137</v>
      </c>
      <c r="C11" s="10" t="s">
        <v>208</v>
      </c>
      <c r="D11" s="9" t="s">
        <v>198</v>
      </c>
      <c r="E11" s="21">
        <v>116118</v>
      </c>
      <c r="F11" s="23" t="s">
        <v>126</v>
      </c>
      <c r="G11" s="17" t="s">
        <v>209</v>
      </c>
    </row>
    <row r="12" spans="1:8" ht="21.75" customHeight="1" x14ac:dyDescent="0.3">
      <c r="A12" s="9" t="s">
        <v>130</v>
      </c>
      <c r="B12" s="10" t="s">
        <v>127</v>
      </c>
      <c r="C12" s="10" t="s">
        <v>131</v>
      </c>
      <c r="D12" s="9" t="s">
        <v>198</v>
      </c>
      <c r="E12" s="21">
        <v>1861</v>
      </c>
      <c r="F12" s="23" t="s">
        <v>130</v>
      </c>
      <c r="G12" s="17" t="s">
        <v>210</v>
      </c>
    </row>
    <row r="13" spans="1:8" ht="21.75" customHeight="1" x14ac:dyDescent="0.3">
      <c r="A13" s="9" t="s">
        <v>133</v>
      </c>
      <c r="B13" s="10" t="s">
        <v>152</v>
      </c>
      <c r="C13" s="10" t="s">
        <v>153</v>
      </c>
      <c r="D13" s="9" t="s">
        <v>198</v>
      </c>
      <c r="E13" s="21">
        <v>92722</v>
      </c>
      <c r="F13" s="23" t="s">
        <v>133</v>
      </c>
      <c r="G13" s="17" t="s">
        <v>211</v>
      </c>
    </row>
    <row r="14" spans="1:8" ht="21.75" customHeight="1" x14ac:dyDescent="0.3">
      <c r="A14" s="9" t="s">
        <v>136</v>
      </c>
      <c r="B14" s="10" t="s">
        <v>117</v>
      </c>
      <c r="C14" s="10" t="s">
        <v>212</v>
      </c>
      <c r="D14" s="9" t="s">
        <v>198</v>
      </c>
      <c r="E14" s="21">
        <v>21572</v>
      </c>
      <c r="F14" s="23" t="s">
        <v>136</v>
      </c>
      <c r="G14" s="17" t="s">
        <v>213</v>
      </c>
    </row>
  </sheetData>
  <mergeCells count="1">
    <mergeCell ref="A1:F1"/>
  </mergeCells>
  <phoneticPr fontId="25" type="noConversion"/>
  <hyperlinks>
    <hyperlink ref="H1" r:id="rId1" tooltip="설계예산시스템(STmate w25.05)으로 작성 하였으며,_x000a_엑셀 인쇄품질 600 dpi에 최적화 되어 있습니다._x000a_경영정보(주) http://www.stma.co.kr_x000a_Tel) 070-4350-0040_x000a_Fax) 0505-300-3948"/>
    <hyperlink ref="G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I23"/>
  <sheetViews>
    <sheetView workbookViewId="0"/>
  </sheetViews>
  <sheetFormatPr defaultRowHeight="16.5" x14ac:dyDescent="0.3"/>
  <cols>
    <col min="1" max="1" width="9.125" style="4" customWidth="1"/>
    <col min="2" max="2" width="4.75" customWidth="1"/>
  </cols>
  <sheetData>
    <row r="2" spans="1:9" x14ac:dyDescent="0.3">
      <c r="A2" s="3" t="str">
        <f>HYPERLINK("#'〓 목 차 〓'!B2","목차 →")</f>
        <v>목차 →</v>
      </c>
      <c r="B2" s="162" t="s">
        <v>1332</v>
      </c>
    </row>
    <row r="4" spans="1:9" ht="18.75" x14ac:dyDescent="0.3">
      <c r="B4" s="163" t="s">
        <v>1333</v>
      </c>
    </row>
    <row r="6" spans="1:9" x14ac:dyDescent="0.3">
      <c r="B6" s="143" t="s">
        <v>1334</v>
      </c>
    </row>
    <row r="7" spans="1:9" x14ac:dyDescent="0.3">
      <c r="B7" s="143" t="s">
        <v>1335</v>
      </c>
    </row>
    <row r="8" spans="1:9" x14ac:dyDescent="0.3">
      <c r="B8" s="164" t="s">
        <v>1336</v>
      </c>
    </row>
    <row r="9" spans="1:9" x14ac:dyDescent="0.3">
      <c r="B9" s="143" t="s">
        <v>1337</v>
      </c>
    </row>
    <row r="10" spans="1:9" x14ac:dyDescent="0.3">
      <c r="B10" s="143" t="s">
        <v>1338</v>
      </c>
    </row>
    <row r="11" spans="1:9" x14ac:dyDescent="0.3">
      <c r="B11" s="143" t="s">
        <v>1339</v>
      </c>
    </row>
    <row r="12" spans="1:9" x14ac:dyDescent="0.3">
      <c r="B12" s="181" t="str">
        <f ca="1">HYPERLINK("#"&amp;단가산출근거!G2&amp;"!Y3","◈ 단가산출근거의 수량부분은 산출근거 우측 연두색 부분에서 수정합니다. →")</f>
        <v>◈ 단가산출근거의 수량부분은 산출근거 우측 연두색 부분에서 수정합니다. →</v>
      </c>
      <c r="C12" s="182"/>
      <c r="D12" s="182"/>
      <c r="E12" s="182"/>
      <c r="F12" s="182"/>
      <c r="G12" s="182"/>
      <c r="H12" s="182"/>
      <c r="I12" s="182"/>
    </row>
    <row r="13" spans="1:9" x14ac:dyDescent="0.3">
      <c r="B13" s="143" t="s">
        <v>1340</v>
      </c>
    </row>
    <row r="15" spans="1:9" x14ac:dyDescent="0.3">
      <c r="B15" s="165" t="s">
        <v>1341</v>
      </c>
    </row>
    <row r="16" spans="1:9" x14ac:dyDescent="0.3">
      <c r="B16" s="2" t="str">
        <f ca="1">HYPERLINK("#"&amp;환율및기초자료!I2&amp;"!D"&amp;ROW(환율및기초자료!D8)," → ")</f>
        <v xml:space="preserve"> → </v>
      </c>
      <c r="C16" s="1" t="s">
        <v>1342</v>
      </c>
    </row>
    <row r="17" spans="2:3" x14ac:dyDescent="0.3">
      <c r="B17" s="2" t="str">
        <f ca="1">HYPERLINK("#"&amp;환율및기초자료!I2&amp;"!F"&amp;ROW(환율및기초자료!F14)," → ")</f>
        <v xml:space="preserve"> → </v>
      </c>
      <c r="C17" s="1" t="s">
        <v>1343</v>
      </c>
    </row>
    <row r="18" spans="2:3" x14ac:dyDescent="0.3">
      <c r="B18" s="2" t="str">
        <f ca="1">HYPERLINK("#"&amp;총괄내역서!H2&amp;"!I"&amp;ROW(총괄내역서!I70)," → ")</f>
        <v xml:space="preserve"> → </v>
      </c>
      <c r="C18" s="166" t="s">
        <v>1344</v>
      </c>
    </row>
    <row r="19" spans="2:3" x14ac:dyDescent="0.3">
      <c r="B19" s="2" t="str">
        <f ca="1">HYPERLINK("#"&amp;총괄내역서!H2&amp;"!I"&amp;ROW(총괄내역서!I71)," → ")</f>
        <v xml:space="preserve"> → </v>
      </c>
      <c r="C19" s="166" t="s">
        <v>1345</v>
      </c>
    </row>
    <row r="20" spans="2:3" x14ac:dyDescent="0.3">
      <c r="B20" s="2" t="str">
        <f ca="1">HYPERLINK("#"&amp;총괄내역서!H2&amp;"!D"&amp;ROW(총괄내역서!D76)," → ")</f>
        <v xml:space="preserve"> → </v>
      </c>
      <c r="C20" s="1" t="s">
        <v>1346</v>
      </c>
    </row>
    <row r="21" spans="2:3" x14ac:dyDescent="0.3">
      <c r="B21" s="2" t="str">
        <f ca="1">HYPERLINK("#"&amp;총괄내역서!H2&amp;"!D"&amp;ROW(총괄내역서!D77)," → ")</f>
        <v xml:space="preserve"> → </v>
      </c>
      <c r="C21" s="1" t="s">
        <v>1347</v>
      </c>
    </row>
    <row r="22" spans="2:3" x14ac:dyDescent="0.3">
      <c r="B22" s="2" t="str">
        <f ca="1">HYPERLINK("#"&amp;일위대가표!N2&amp;"!C"&amp;ROW(일위대가표!C20)," → ")</f>
        <v xml:space="preserve"> → </v>
      </c>
      <c r="C22" s="1" t="s">
        <v>1348</v>
      </c>
    </row>
    <row r="23" spans="2:3" x14ac:dyDescent="0.3">
      <c r="B23" s="2" t="str">
        <f ca="1">HYPERLINK("#"&amp;일위대가표!N2&amp;"!C"&amp;ROW(일위대가표!C53)," → ")</f>
        <v xml:space="preserve"> → </v>
      </c>
      <c r="C23" s="1" t="s">
        <v>1349</v>
      </c>
    </row>
  </sheetData>
  <mergeCells count="1">
    <mergeCell ref="B12:I12"/>
  </mergeCells>
  <phoneticPr fontId="25" type="noConversion"/>
  <printOptions horizontalCentered="1"/>
  <pageMargins left="0.59055118110236215" right="0.59055118110236215" top="0.78740157480314965" bottom="1" header="0" footer="0.5"/>
  <pageSetup paperSize="9" fitToWidth="0" fitToHeight="0" orientation="portrait"/>
  <headerFooter alignWithMargins="0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8" width="11.5" style="6" customWidth="1"/>
    <col min="9" max="9" width="10" style="6" customWidth="1"/>
    <col min="10" max="10" width="9.125" style="16" hidden="1" customWidth="1"/>
    <col min="11" max="11" width="9.125" style="18" customWidth="1"/>
    <col min="12" max="16384" width="9.125" style="6"/>
  </cols>
  <sheetData>
    <row r="1" spans="1:11" ht="24.95" customHeight="1" x14ac:dyDescent="0.3">
      <c r="A1" s="183" t="s">
        <v>214</v>
      </c>
      <c r="B1" s="182"/>
      <c r="C1" s="182"/>
      <c r="D1" s="182"/>
      <c r="E1" s="182"/>
      <c r="F1" s="182"/>
      <c r="G1" s="182"/>
      <c r="H1" s="182"/>
      <c r="I1" s="182"/>
      <c r="J1" s="5" t="s">
        <v>47</v>
      </c>
      <c r="K1" s="19" t="s">
        <v>47</v>
      </c>
    </row>
    <row r="2" spans="1:11" ht="22.35" customHeight="1" x14ac:dyDescent="0.3">
      <c r="A2" s="1" t="s">
        <v>1</v>
      </c>
      <c r="J2" s="20" t="str">
        <f ca="1">MID(CELL("filename",$A$1),FIND("]",CELL("filename",$A$1))+1,LEN(CELL("filename",$A$1)))</f>
        <v>일식견적목록표</v>
      </c>
    </row>
    <row r="3" spans="1:11" ht="22.3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K3" s="3" t="str">
        <f>HYPERLINK("#'〓 목 차 〓'!B2","목차 →")</f>
        <v>목차 →</v>
      </c>
    </row>
    <row r="4" spans="1:11" ht="22.35" customHeight="1" x14ac:dyDescent="0.3">
      <c r="A4" s="9" t="s">
        <v>102</v>
      </c>
      <c r="B4" s="10" t="s">
        <v>215</v>
      </c>
      <c r="C4" s="10" t="s">
        <v>216</v>
      </c>
      <c r="D4" s="9" t="s">
        <v>163</v>
      </c>
      <c r="E4" s="11">
        <f>G4+F4+H4</f>
        <v>0</v>
      </c>
      <c r="F4" s="12">
        <v>0</v>
      </c>
      <c r="G4" s="13">
        <v>0</v>
      </c>
      <c r="H4" s="11">
        <v>0</v>
      </c>
      <c r="I4" s="15" t="s">
        <v>102</v>
      </c>
      <c r="J4" s="17" t="s">
        <v>217</v>
      </c>
    </row>
  </sheetData>
  <mergeCells count="1">
    <mergeCell ref="A1:I1"/>
  </mergeCells>
  <phoneticPr fontId="25" type="noConversion"/>
  <hyperlinks>
    <hyperlink ref="K1" r:id="rId1" tooltip="설계예산시스템(STmate w25.05)으로 작성 하였으며,_x000a_엑셀 인쇄품질 600 dpi에 최적화 되어 있습니다._x000a_경영정보(주) http://www.stma.co.kr_x000a_Tel) 070-4350-0040_x000a_Fax) 0505-300-3948"/>
    <hyperlink ref="J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/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1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17" width="10" style="6" customWidth="1"/>
    <col min="18" max="18" width="9.125" style="16" hidden="1" customWidth="1"/>
    <col min="19" max="19" width="9.125" style="18" customWidth="1"/>
    <col min="20" max="20" width="10" style="6" customWidth="1"/>
    <col min="21" max="21" width="2.5" style="6" customWidth="1"/>
    <col min="22" max="22" width="10" style="6" customWidth="1"/>
    <col min="23" max="23" width="8.5" style="6" customWidth="1"/>
    <col min="24" max="16384" width="9.125" style="6"/>
  </cols>
  <sheetData>
    <row r="1" spans="1:25" ht="24.95" customHeight="1" x14ac:dyDescent="0.3">
      <c r="A1" s="183" t="s">
        <v>235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5" t="s">
        <v>47</v>
      </c>
      <c r="S1" s="19" t="s">
        <v>47</v>
      </c>
    </row>
    <row r="2" spans="1:25" ht="34.700000000000003" customHeight="1" x14ac:dyDescent="0.3">
      <c r="A2" s="1" t="s">
        <v>1</v>
      </c>
      <c r="R2" s="20" t="str">
        <f ca="1">MID(CELL("filename",$A$1),FIND("]",CELL("filename",$A$1))+1,LEN(CELL("filename",$A$1)))</f>
        <v>자재단가대비표</v>
      </c>
    </row>
    <row r="3" spans="1:25" ht="34.700000000000003" customHeight="1" x14ac:dyDescent="0.3">
      <c r="A3" s="206" t="s">
        <v>2</v>
      </c>
      <c r="B3" s="206" t="s">
        <v>3</v>
      </c>
      <c r="C3" s="206" t="s">
        <v>4</v>
      </c>
      <c r="D3" s="206" t="s">
        <v>5</v>
      </c>
      <c r="E3" s="186" t="s">
        <v>236</v>
      </c>
      <c r="F3" s="192"/>
      <c r="G3" s="186" t="s">
        <v>238</v>
      </c>
      <c r="H3" s="192"/>
      <c r="I3" s="186" t="s">
        <v>239</v>
      </c>
      <c r="J3" s="192"/>
      <c r="K3" s="186" t="s">
        <v>240</v>
      </c>
      <c r="L3" s="192"/>
      <c r="M3" s="186" t="s">
        <v>241</v>
      </c>
      <c r="N3" s="192"/>
      <c r="O3" s="186" t="s">
        <v>242</v>
      </c>
      <c r="P3" s="192"/>
      <c r="Q3" s="186" t="s">
        <v>10</v>
      </c>
      <c r="U3" s="237" t="s">
        <v>244</v>
      </c>
      <c r="V3" s="182"/>
      <c r="W3" s="182"/>
    </row>
    <row r="4" spans="1:25" ht="34.700000000000003" customHeight="1" x14ac:dyDescent="0.3">
      <c r="A4" s="192"/>
      <c r="B4" s="192"/>
      <c r="C4" s="192"/>
      <c r="D4" s="192"/>
      <c r="E4" s="9" t="s">
        <v>156</v>
      </c>
      <c r="F4" s="9" t="s">
        <v>237</v>
      </c>
      <c r="G4" s="9" t="s">
        <v>156</v>
      </c>
      <c r="H4" s="9" t="s">
        <v>237</v>
      </c>
      <c r="I4" s="9" t="s">
        <v>156</v>
      </c>
      <c r="J4" s="9" t="s">
        <v>237</v>
      </c>
      <c r="K4" s="9" t="s">
        <v>156</v>
      </c>
      <c r="L4" s="9" t="s">
        <v>237</v>
      </c>
      <c r="M4" s="9" t="s">
        <v>156</v>
      </c>
      <c r="N4" s="9" t="s">
        <v>237</v>
      </c>
      <c r="O4" s="9" t="s">
        <v>156</v>
      </c>
      <c r="P4" s="9" t="s">
        <v>237</v>
      </c>
      <c r="Q4" s="187"/>
      <c r="S4" s="3" t="str">
        <f>HYPERLINK("#'〓 목 차 〓'!B2","목차 →")</f>
        <v>목차 →</v>
      </c>
      <c r="T4" s="34" t="s">
        <v>243</v>
      </c>
      <c r="U4" s="34" t="s">
        <v>245</v>
      </c>
      <c r="V4" s="34" t="s">
        <v>156</v>
      </c>
      <c r="W4" s="34" t="s">
        <v>237</v>
      </c>
      <c r="X4" s="34" t="s">
        <v>246</v>
      </c>
      <c r="Y4" s="34" t="s">
        <v>247</v>
      </c>
    </row>
    <row r="5" spans="1:25" ht="34.700000000000003" customHeight="1" x14ac:dyDescent="0.3">
      <c r="A5" s="9" t="s">
        <v>102</v>
      </c>
      <c r="B5" s="10" t="s">
        <v>157</v>
      </c>
      <c r="C5" s="10" t="s">
        <v>158</v>
      </c>
      <c r="D5" s="9" t="s">
        <v>159</v>
      </c>
      <c r="E5" s="22">
        <v>0</v>
      </c>
      <c r="F5" s="9"/>
      <c r="G5" s="22">
        <v>0</v>
      </c>
      <c r="H5" s="9"/>
      <c r="I5" s="22">
        <v>0</v>
      </c>
      <c r="J5" s="9"/>
      <c r="K5" s="22">
        <v>0</v>
      </c>
      <c r="L5" s="9"/>
      <c r="M5" s="22">
        <v>0</v>
      </c>
      <c r="N5" s="9"/>
      <c r="O5" s="22">
        <v>1261</v>
      </c>
      <c r="P5" s="23"/>
      <c r="Q5" s="15" t="s">
        <v>102</v>
      </c>
      <c r="R5" s="17" t="s">
        <v>160</v>
      </c>
      <c r="S5" s="3" t="str">
        <f ca="1">HYPERLINK("#"&amp;재료비목록표!G2&amp;"!A"&amp;ROW(재료비목록표!A4),"M00758 →")</f>
        <v>M00758 →</v>
      </c>
      <c r="T5" s="35">
        <v>1261</v>
      </c>
      <c r="U5" s="36" t="str">
        <f t="shared" ref="U5:U11" si="0">IF(OR(V5=0,ISERROR(MATCH(V5,E5:M5,0))),"",CHOOSE(TRUNC((MATCH(V5,E5:M5,0)/2+1)),1,2,3,4,5))</f>
        <v/>
      </c>
      <c r="V5" s="37">
        <f t="shared" ref="V5:V11" si="1">IF(AND(E5=0,G5=0,I5=0,K5=0,M5=0),T5,MIN(IF(E5=0,MAX(E5:M5),E5),IF(G5=0,MAX(E5:M5),G5),IF(I5=0,MAX(E5:M5),I5),IF(K5=0,MAX(E5:M5),K5),IF(M5=0,MAX(E5:M5),M5)))</f>
        <v>1261</v>
      </c>
      <c r="W5" s="38" t="str">
        <f t="shared" ref="W5:W11" si="2">IF(OR(O5=0,U5=""),"",CHOOSE(U5,Y$5,Y$6,Y$7,Y$8,Y$9))</f>
        <v/>
      </c>
      <c r="X5" s="34" t="s">
        <v>236</v>
      </c>
      <c r="Y5" s="34" t="s">
        <v>248</v>
      </c>
    </row>
    <row r="6" spans="1:25" ht="34.700000000000003" customHeight="1" x14ac:dyDescent="0.3">
      <c r="A6" s="9" t="s">
        <v>107</v>
      </c>
      <c r="B6" s="10" t="s">
        <v>161</v>
      </c>
      <c r="C6" s="10" t="s">
        <v>162</v>
      </c>
      <c r="D6" s="9" t="s">
        <v>163</v>
      </c>
      <c r="E6" s="22">
        <v>0</v>
      </c>
      <c r="F6" s="9"/>
      <c r="G6" s="22">
        <v>0</v>
      </c>
      <c r="H6" s="9"/>
      <c r="I6" s="22">
        <v>0</v>
      </c>
      <c r="J6" s="9"/>
      <c r="K6" s="22">
        <v>0</v>
      </c>
      <c r="L6" s="9"/>
      <c r="M6" s="22">
        <v>0</v>
      </c>
      <c r="N6" s="9"/>
      <c r="O6" s="22">
        <v>0</v>
      </c>
      <c r="P6" s="23"/>
      <c r="Q6" s="15" t="s">
        <v>107</v>
      </c>
      <c r="R6" s="17" t="s">
        <v>164</v>
      </c>
      <c r="S6" s="3" t="str">
        <f ca="1">HYPERLINK("#"&amp;재료비목록표!G2&amp;"!A"&amp;ROW(재료비목록표!A5),"M00770 →")</f>
        <v>M00770 →</v>
      </c>
      <c r="T6" s="35">
        <v>0</v>
      </c>
      <c r="U6" s="36" t="str">
        <f t="shared" si="0"/>
        <v/>
      </c>
      <c r="V6" s="37">
        <f t="shared" si="1"/>
        <v>0</v>
      </c>
      <c r="W6" s="38" t="str">
        <f t="shared" si="2"/>
        <v/>
      </c>
      <c r="X6" s="34" t="s">
        <v>238</v>
      </c>
      <c r="Y6" s="34" t="s">
        <v>249</v>
      </c>
    </row>
    <row r="7" spans="1:25" ht="34.700000000000003" customHeight="1" x14ac:dyDescent="0.3">
      <c r="A7" s="9" t="s">
        <v>110</v>
      </c>
      <c r="B7" s="10" t="s">
        <v>165</v>
      </c>
      <c r="C7" s="10" t="s">
        <v>166</v>
      </c>
      <c r="D7" s="9" t="s">
        <v>167</v>
      </c>
      <c r="E7" s="22">
        <v>0</v>
      </c>
      <c r="F7" s="9"/>
      <c r="G7" s="22">
        <v>0</v>
      </c>
      <c r="H7" s="9"/>
      <c r="I7" s="22">
        <v>0</v>
      </c>
      <c r="J7" s="9"/>
      <c r="K7" s="22">
        <v>0</v>
      </c>
      <c r="L7" s="9"/>
      <c r="M7" s="22">
        <v>0</v>
      </c>
      <c r="N7" s="9"/>
      <c r="O7" s="22">
        <v>24</v>
      </c>
      <c r="P7" s="23" t="s">
        <v>252</v>
      </c>
      <c r="Q7" s="15" t="s">
        <v>110</v>
      </c>
      <c r="R7" s="17" t="s">
        <v>168</v>
      </c>
      <c r="S7" s="3" t="str">
        <f ca="1">HYPERLINK("#"&amp;재료비목록표!G2&amp;"!A"&amp;ROW(재료비목록표!A6),"M00775 →")</f>
        <v>M00775 →</v>
      </c>
      <c r="T7" s="35">
        <v>24</v>
      </c>
      <c r="U7" s="36" t="str">
        <f t="shared" si="0"/>
        <v/>
      </c>
      <c r="V7" s="37">
        <f t="shared" si="1"/>
        <v>24</v>
      </c>
      <c r="W7" s="38" t="str">
        <f t="shared" si="2"/>
        <v/>
      </c>
      <c r="X7" s="34" t="s">
        <v>239</v>
      </c>
      <c r="Y7" s="34" t="s">
        <v>250</v>
      </c>
    </row>
    <row r="8" spans="1:25" ht="34.700000000000003" customHeight="1" x14ac:dyDescent="0.3">
      <c r="A8" s="9" t="s">
        <v>113</v>
      </c>
      <c r="B8" s="10" t="s">
        <v>169</v>
      </c>
      <c r="C8" s="10" t="s">
        <v>170</v>
      </c>
      <c r="D8" s="9" t="s">
        <v>167</v>
      </c>
      <c r="E8" s="22">
        <v>0</v>
      </c>
      <c r="F8" s="9"/>
      <c r="G8" s="22">
        <v>0</v>
      </c>
      <c r="H8" s="9"/>
      <c r="I8" s="22">
        <v>0</v>
      </c>
      <c r="J8" s="9"/>
      <c r="K8" s="22">
        <v>0</v>
      </c>
      <c r="L8" s="9"/>
      <c r="M8" s="22">
        <v>0</v>
      </c>
      <c r="N8" s="9"/>
      <c r="O8" s="22">
        <v>150</v>
      </c>
      <c r="P8" s="23" t="s">
        <v>252</v>
      </c>
      <c r="Q8" s="15" t="s">
        <v>113</v>
      </c>
      <c r="R8" s="17" t="s">
        <v>171</v>
      </c>
      <c r="S8" s="3" t="str">
        <f ca="1">HYPERLINK("#"&amp;재료비목록표!G2&amp;"!A"&amp;ROW(재료비목록표!A7),"M00776 →")</f>
        <v>M00776 →</v>
      </c>
      <c r="T8" s="35">
        <v>150</v>
      </c>
      <c r="U8" s="36" t="str">
        <f t="shared" si="0"/>
        <v/>
      </c>
      <c r="V8" s="37">
        <f t="shared" si="1"/>
        <v>150</v>
      </c>
      <c r="W8" s="38" t="str">
        <f t="shared" si="2"/>
        <v/>
      </c>
      <c r="X8" s="34" t="s">
        <v>240</v>
      </c>
      <c r="Y8" s="34" t="s">
        <v>251</v>
      </c>
    </row>
    <row r="9" spans="1:25" ht="34.700000000000003" customHeight="1" x14ac:dyDescent="0.3">
      <c r="A9" s="9" t="s">
        <v>116</v>
      </c>
      <c r="B9" s="10" t="s">
        <v>172</v>
      </c>
      <c r="C9" s="10" t="s">
        <v>173</v>
      </c>
      <c r="D9" s="9" t="s">
        <v>174</v>
      </c>
      <c r="E9" s="22">
        <v>0</v>
      </c>
      <c r="F9" s="9"/>
      <c r="G9" s="22">
        <v>0</v>
      </c>
      <c r="H9" s="9"/>
      <c r="I9" s="22">
        <v>0</v>
      </c>
      <c r="J9" s="9"/>
      <c r="K9" s="22">
        <v>0</v>
      </c>
      <c r="L9" s="9"/>
      <c r="M9" s="22">
        <v>0</v>
      </c>
      <c r="N9" s="9"/>
      <c r="O9" s="22">
        <v>30</v>
      </c>
      <c r="P9" s="23" t="s">
        <v>250</v>
      </c>
      <c r="Q9" s="15" t="s">
        <v>116</v>
      </c>
      <c r="R9" s="17" t="s">
        <v>175</v>
      </c>
      <c r="S9" s="3" t="str">
        <f ca="1">HYPERLINK("#"&amp;재료비목록표!G2&amp;"!A"&amp;ROW(재료비목록표!A8),"M00777 →")</f>
        <v>M00777 →</v>
      </c>
      <c r="T9" s="35">
        <v>30</v>
      </c>
      <c r="U9" s="36" t="str">
        <f t="shared" si="0"/>
        <v/>
      </c>
      <c r="V9" s="37">
        <f t="shared" si="1"/>
        <v>30</v>
      </c>
      <c r="W9" s="38" t="str">
        <f t="shared" si="2"/>
        <v/>
      </c>
      <c r="X9" s="34" t="s">
        <v>241</v>
      </c>
      <c r="Y9" s="34" t="s">
        <v>252</v>
      </c>
    </row>
    <row r="10" spans="1:25" ht="34.700000000000003" customHeight="1" x14ac:dyDescent="0.3">
      <c r="A10" s="9" t="s">
        <v>120</v>
      </c>
      <c r="B10" s="10" t="s">
        <v>176</v>
      </c>
      <c r="C10" s="10" t="s">
        <v>177</v>
      </c>
      <c r="D10" s="9" t="s">
        <v>174</v>
      </c>
      <c r="E10" s="22">
        <v>0</v>
      </c>
      <c r="F10" s="9"/>
      <c r="G10" s="22">
        <v>0</v>
      </c>
      <c r="H10" s="9"/>
      <c r="I10" s="22">
        <v>0</v>
      </c>
      <c r="J10" s="9"/>
      <c r="K10" s="22">
        <v>0</v>
      </c>
      <c r="L10" s="9"/>
      <c r="M10" s="22">
        <v>0</v>
      </c>
      <c r="N10" s="9"/>
      <c r="O10" s="22">
        <v>38</v>
      </c>
      <c r="P10" s="23" t="s">
        <v>249</v>
      </c>
      <c r="Q10" s="15" t="s">
        <v>120</v>
      </c>
      <c r="R10" s="17" t="s">
        <v>178</v>
      </c>
      <c r="S10" s="3" t="str">
        <f ca="1">HYPERLINK("#"&amp;재료비목록표!G2&amp;"!A"&amp;ROW(재료비목록표!A9),"M00778 →")</f>
        <v>M00778 →</v>
      </c>
      <c r="T10" s="35">
        <v>38</v>
      </c>
      <c r="U10" s="36" t="str">
        <f t="shared" si="0"/>
        <v/>
      </c>
      <c r="V10" s="37">
        <f t="shared" si="1"/>
        <v>38</v>
      </c>
      <c r="W10" s="38" t="str">
        <f t="shared" si="2"/>
        <v/>
      </c>
      <c r="X10" s="34" t="s">
        <v>242</v>
      </c>
      <c r="Y10" s="34"/>
    </row>
    <row r="11" spans="1:25" ht="34.700000000000003" customHeight="1" x14ac:dyDescent="0.3">
      <c r="A11" s="9" t="s">
        <v>123</v>
      </c>
      <c r="B11" s="10" t="s">
        <v>179</v>
      </c>
      <c r="C11" s="10" t="s">
        <v>180</v>
      </c>
      <c r="D11" s="9" t="s">
        <v>181</v>
      </c>
      <c r="E11" s="22">
        <v>0</v>
      </c>
      <c r="F11" s="9"/>
      <c r="G11" s="22">
        <v>0</v>
      </c>
      <c r="H11" s="9"/>
      <c r="I11" s="22">
        <v>0</v>
      </c>
      <c r="J11" s="9"/>
      <c r="K11" s="22">
        <v>0</v>
      </c>
      <c r="L11" s="9"/>
      <c r="M11" s="22">
        <v>17160</v>
      </c>
      <c r="N11" s="9"/>
      <c r="O11" s="22">
        <v>17160</v>
      </c>
      <c r="P11" s="23" t="s">
        <v>252</v>
      </c>
      <c r="Q11" s="15" t="s">
        <v>123</v>
      </c>
      <c r="R11" s="17" t="s">
        <v>182</v>
      </c>
      <c r="S11" s="3" t="str">
        <f ca="1">HYPERLINK("#"&amp;재료비목록표!G2&amp;"!A"&amp;ROW(재료비목록표!A10),"M00779 →")</f>
        <v>M00779 →</v>
      </c>
      <c r="T11" s="35">
        <v>17160</v>
      </c>
      <c r="U11" s="36">
        <f t="shared" si="0"/>
        <v>5</v>
      </c>
      <c r="V11" s="37">
        <f t="shared" si="1"/>
        <v>17160</v>
      </c>
      <c r="W11" s="38" t="str">
        <f t="shared" si="2"/>
        <v>견적</v>
      </c>
    </row>
  </sheetData>
  <mergeCells count="13">
    <mergeCell ref="O3:P3"/>
    <mergeCell ref="Q3:Q4"/>
    <mergeCell ref="U3:W3"/>
    <mergeCell ref="A1:Q1"/>
    <mergeCell ref="A3:A4"/>
    <mergeCell ref="B3:B4"/>
    <mergeCell ref="C3:C4"/>
    <mergeCell ref="D3:D4"/>
    <mergeCell ref="E3:F3"/>
    <mergeCell ref="G3:H3"/>
    <mergeCell ref="I3:J3"/>
    <mergeCell ref="K3:L3"/>
    <mergeCell ref="M3:N3"/>
  </mergeCells>
  <phoneticPr fontId="25" type="noConversion"/>
  <conditionalFormatting sqref="V5:V11">
    <cfRule type="expression" dxfId="9" priority="1" stopIfTrue="1">
      <formula>$O5&lt;&gt;$V5</formula>
    </cfRule>
  </conditionalFormatting>
  <hyperlinks>
    <hyperlink ref="S1" r:id="rId1" tooltip="설계예산시스템(STmate w25.05)으로 작성 하였으며,_x000a_엑셀 인쇄품질 600 dpi에 최적화 되어 있습니다._x000a_경영정보(주) http://www.stma.co.kr_x000a_Tel) 070-4350-0040_x000a_Fax) 0505-300-3948"/>
    <hyperlink ref="R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61" fitToWidth="0" fitToHeight="0" orientation="landscape" r:id="rId3"/>
  <headerFooter alignWithMargins="0"/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"/>
  <sheetViews>
    <sheetView workbookViewId="0">
      <pane ySplit="3" topLeftCell="A4" activePane="bottomLeft" state="frozenSplit"/>
      <selection pane="bottomLeft" activeCell="A4" sqref="A4:A5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6" width="10" style="6" customWidth="1"/>
    <col min="7" max="8" width="11.5" style="6" customWidth="1"/>
    <col min="9" max="9" width="9.125" style="6" hidden="1" customWidth="1"/>
    <col min="10" max="10" width="9.125" style="18" customWidth="1"/>
    <col min="11" max="16384" width="9.125" style="6"/>
  </cols>
  <sheetData>
    <row r="1" spans="1:10" ht="24.95" customHeight="1" x14ac:dyDescent="0.3">
      <c r="A1" s="183" t="s">
        <v>154</v>
      </c>
      <c r="B1" s="182"/>
      <c r="C1" s="182"/>
      <c r="D1" s="182"/>
      <c r="E1" s="182"/>
      <c r="F1" s="182"/>
      <c r="G1" s="182"/>
      <c r="H1" s="182"/>
      <c r="I1" s="5" t="s">
        <v>47</v>
      </c>
      <c r="J1" s="19" t="s">
        <v>47</v>
      </c>
    </row>
    <row r="2" spans="1:10" ht="21.75" customHeight="1" x14ac:dyDescent="0.3">
      <c r="A2" s="1" t="s">
        <v>1</v>
      </c>
      <c r="I2" s="20" t="str">
        <f ca="1">MID(CELL("filename",$A$1),FIND("]",CELL("filename",$A$1))+1,LEN(CELL("filename",$A$1)))</f>
        <v>재료비수량금액집계표</v>
      </c>
    </row>
    <row r="3" spans="1:10" ht="21.75" customHeight="1" x14ac:dyDescent="0.3">
      <c r="A3" s="8" t="s">
        <v>2</v>
      </c>
      <c r="B3" s="8" t="s">
        <v>3</v>
      </c>
      <c r="C3" s="8" t="s">
        <v>4</v>
      </c>
      <c r="D3" s="8" t="s">
        <v>255</v>
      </c>
      <c r="E3" s="8" t="s">
        <v>5</v>
      </c>
      <c r="F3" s="8" t="s">
        <v>156</v>
      </c>
      <c r="G3" s="8" t="s">
        <v>256</v>
      </c>
      <c r="H3" s="14" t="s">
        <v>10</v>
      </c>
      <c r="J3" s="3" t="str">
        <f>HYPERLINK("#'〓 목 차 〓'!B2","목차 →")</f>
        <v>목차 →</v>
      </c>
    </row>
    <row r="4" spans="1:10" ht="21.75" customHeight="1" x14ac:dyDescent="0.3">
      <c r="A4" s="238" t="s">
        <v>102</v>
      </c>
      <c r="B4" s="196" t="s">
        <v>165</v>
      </c>
      <c r="C4" s="196" t="s">
        <v>166</v>
      </c>
      <c r="D4" s="70">
        <v>0</v>
      </c>
      <c r="E4" s="229" t="s">
        <v>167</v>
      </c>
      <c r="F4" s="160">
        <f>재료비목록표!E6</f>
        <v>24</v>
      </c>
      <c r="G4" s="58">
        <f t="shared" ref="G4:G13" si="0">ROUND(D4*F4,0)</f>
        <v>0</v>
      </c>
      <c r="H4" s="239" t="s">
        <v>102</v>
      </c>
      <c r="J4" s="3" t="str">
        <f ca="1">HYPERLINK("#"&amp;재료비목록표!G2&amp;"!A"&amp;ROW(재료비목록표!A6),"M00775 →")</f>
        <v>M00775 →</v>
      </c>
    </row>
    <row r="5" spans="1:10" ht="21.75" customHeight="1" x14ac:dyDescent="0.3">
      <c r="A5" s="197"/>
      <c r="B5" s="197"/>
      <c r="C5" s="197"/>
      <c r="D5" s="142">
        <v>420</v>
      </c>
      <c r="E5" s="202"/>
      <c r="F5" s="161">
        <f>재료비목록표!E6</f>
        <v>24</v>
      </c>
      <c r="G5" s="59">
        <f t="shared" si="0"/>
        <v>10080</v>
      </c>
      <c r="H5" s="240"/>
    </row>
    <row r="6" spans="1:10" ht="21.75" customHeight="1" x14ac:dyDescent="0.3">
      <c r="A6" s="238" t="s">
        <v>107</v>
      </c>
      <c r="B6" s="196" t="s">
        <v>169</v>
      </c>
      <c r="C6" s="196" t="s">
        <v>170</v>
      </c>
      <c r="D6" s="70">
        <v>0</v>
      </c>
      <c r="E6" s="229" t="s">
        <v>167</v>
      </c>
      <c r="F6" s="160">
        <f>재료비목록표!E7</f>
        <v>150</v>
      </c>
      <c r="G6" s="58">
        <f t="shared" si="0"/>
        <v>0</v>
      </c>
      <c r="H6" s="239" t="s">
        <v>107</v>
      </c>
      <c r="J6" s="3" t="str">
        <f ca="1">HYPERLINK("#"&amp;재료비목록표!G2&amp;"!A"&amp;ROW(재료비목록표!A7),"M00776 →")</f>
        <v>M00776 →</v>
      </c>
    </row>
    <row r="7" spans="1:10" ht="21.75" customHeight="1" x14ac:dyDescent="0.3">
      <c r="A7" s="197"/>
      <c r="B7" s="197"/>
      <c r="C7" s="197"/>
      <c r="D7" s="142">
        <v>480</v>
      </c>
      <c r="E7" s="202"/>
      <c r="F7" s="161">
        <f>재료비목록표!E7</f>
        <v>150</v>
      </c>
      <c r="G7" s="59">
        <f t="shared" si="0"/>
        <v>72000</v>
      </c>
      <c r="H7" s="240"/>
    </row>
    <row r="8" spans="1:10" ht="21.75" customHeight="1" x14ac:dyDescent="0.3">
      <c r="A8" s="238" t="s">
        <v>110</v>
      </c>
      <c r="B8" s="196" t="s">
        <v>172</v>
      </c>
      <c r="C8" s="196" t="s">
        <v>173</v>
      </c>
      <c r="D8" s="70">
        <v>0</v>
      </c>
      <c r="E8" s="229" t="s">
        <v>174</v>
      </c>
      <c r="F8" s="160">
        <f>재료비목록표!E8</f>
        <v>30</v>
      </c>
      <c r="G8" s="58">
        <f t="shared" si="0"/>
        <v>0</v>
      </c>
      <c r="H8" s="239" t="s">
        <v>110</v>
      </c>
      <c r="J8" s="3" t="str">
        <f ca="1">HYPERLINK("#"&amp;재료비목록표!G2&amp;"!A"&amp;ROW(재료비목록표!A8),"M00777 →")</f>
        <v>M00777 →</v>
      </c>
    </row>
    <row r="9" spans="1:10" ht="21.75" customHeight="1" x14ac:dyDescent="0.3">
      <c r="A9" s="197"/>
      <c r="B9" s="197"/>
      <c r="C9" s="197"/>
      <c r="D9" s="142">
        <v>42</v>
      </c>
      <c r="E9" s="202"/>
      <c r="F9" s="161">
        <f>재료비목록표!E8</f>
        <v>30</v>
      </c>
      <c r="G9" s="59">
        <f t="shared" si="0"/>
        <v>1260</v>
      </c>
      <c r="H9" s="240"/>
    </row>
    <row r="10" spans="1:10" ht="21.75" customHeight="1" x14ac:dyDescent="0.3">
      <c r="A10" s="238" t="s">
        <v>113</v>
      </c>
      <c r="B10" s="196" t="s">
        <v>176</v>
      </c>
      <c r="C10" s="196" t="s">
        <v>177</v>
      </c>
      <c r="D10" s="70">
        <v>0</v>
      </c>
      <c r="E10" s="229" t="s">
        <v>174</v>
      </c>
      <c r="F10" s="160">
        <f>재료비목록표!E9</f>
        <v>38</v>
      </c>
      <c r="G10" s="58">
        <f t="shared" si="0"/>
        <v>0</v>
      </c>
      <c r="H10" s="239" t="s">
        <v>113</v>
      </c>
      <c r="J10" s="3" t="str">
        <f ca="1">HYPERLINK("#"&amp;재료비목록표!G2&amp;"!A"&amp;ROW(재료비목록표!A9),"M00778 →")</f>
        <v>M00778 →</v>
      </c>
    </row>
    <row r="11" spans="1:10" ht="21.75" customHeight="1" x14ac:dyDescent="0.3">
      <c r="A11" s="197"/>
      <c r="B11" s="197"/>
      <c r="C11" s="197"/>
      <c r="D11" s="142">
        <v>18</v>
      </c>
      <c r="E11" s="202"/>
      <c r="F11" s="161">
        <f>재료비목록표!E9</f>
        <v>38</v>
      </c>
      <c r="G11" s="59">
        <f t="shared" si="0"/>
        <v>684</v>
      </c>
      <c r="H11" s="240"/>
    </row>
    <row r="12" spans="1:10" ht="21.75" customHeight="1" x14ac:dyDescent="0.3">
      <c r="A12" s="238" t="s">
        <v>116</v>
      </c>
      <c r="B12" s="196" t="s">
        <v>179</v>
      </c>
      <c r="C12" s="196" t="s">
        <v>180</v>
      </c>
      <c r="D12" s="70">
        <v>0</v>
      </c>
      <c r="E12" s="229" t="s">
        <v>181</v>
      </c>
      <c r="F12" s="160">
        <f>재료비목록표!E10</f>
        <v>17160</v>
      </c>
      <c r="G12" s="58">
        <f t="shared" si="0"/>
        <v>0</v>
      </c>
      <c r="H12" s="239" t="s">
        <v>116</v>
      </c>
      <c r="J12" s="3" t="str">
        <f ca="1">HYPERLINK("#"&amp;재료비목록표!G2&amp;"!A"&amp;ROW(재료비목록표!A10),"M00779 →")</f>
        <v>M00779 →</v>
      </c>
    </row>
    <row r="13" spans="1:10" ht="21.75" customHeight="1" x14ac:dyDescent="0.3">
      <c r="A13" s="197"/>
      <c r="B13" s="197"/>
      <c r="C13" s="197"/>
      <c r="D13" s="142">
        <v>32</v>
      </c>
      <c r="E13" s="202"/>
      <c r="F13" s="161">
        <f>재료비목록표!E10</f>
        <v>17160</v>
      </c>
      <c r="G13" s="59">
        <f t="shared" si="0"/>
        <v>549120</v>
      </c>
      <c r="H13" s="240"/>
    </row>
  </sheetData>
  <mergeCells count="26">
    <mergeCell ref="A10:A11"/>
    <mergeCell ref="B10:B11"/>
    <mergeCell ref="C10:C11"/>
    <mergeCell ref="E10:E11"/>
    <mergeCell ref="H10:H11"/>
    <mergeCell ref="A12:A13"/>
    <mergeCell ref="B12:B13"/>
    <mergeCell ref="C12:C13"/>
    <mergeCell ref="E12:E13"/>
    <mergeCell ref="H12:H13"/>
    <mergeCell ref="A6:A7"/>
    <mergeCell ref="B6:B7"/>
    <mergeCell ref="C6:C7"/>
    <mergeCell ref="E6:E7"/>
    <mergeCell ref="H6:H7"/>
    <mergeCell ref="A8:A9"/>
    <mergeCell ref="B8:B9"/>
    <mergeCell ref="C8:C9"/>
    <mergeCell ref="E8:E9"/>
    <mergeCell ref="H8:H9"/>
    <mergeCell ref="A1:H1"/>
    <mergeCell ref="A4:A5"/>
    <mergeCell ref="B4:B5"/>
    <mergeCell ref="C4:C5"/>
    <mergeCell ref="E4:E5"/>
    <mergeCell ref="H4:H5"/>
  </mergeCells>
  <phoneticPr fontId="25" type="noConversion"/>
  <hyperlinks>
    <hyperlink ref="J1" r:id="rId1" tooltip="설계예산시스템(STmate w25.05)으로 작성 하였으며,_x000a_엑셀 인쇄품질 600 dpi에 최적화 되어 있습니다._x000a_경영정보(주) http://www.stma.co.kr_x000a_Tel) 070-4350-0040_x000a_Fax) 0505-300-3948"/>
    <hyperlink ref="I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>&amp;L&amp;"굴림체,"&amp;9 ( 상단:당초 , 하단:변경 )</oddFooter>
  </headerFooter>
  <legacy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"/>
  <sheetViews>
    <sheetView workbookViewId="0">
      <pane ySplit="3" topLeftCell="A4" activePane="bottomLeft" state="frozenSplit"/>
      <selection pane="bottomLeft" activeCell="A4" sqref="A4:A5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6" width="10" style="6" customWidth="1"/>
    <col min="7" max="8" width="11.5" style="6" customWidth="1"/>
    <col min="9" max="9" width="9.125" style="6" hidden="1" customWidth="1"/>
    <col min="10" max="10" width="9.125" style="18" customWidth="1"/>
    <col min="11" max="16384" width="9.125" style="6"/>
  </cols>
  <sheetData>
    <row r="1" spans="1:10" ht="24.95" customHeight="1" x14ac:dyDescent="0.3">
      <c r="A1" s="183" t="s">
        <v>1330</v>
      </c>
      <c r="B1" s="182"/>
      <c r="C1" s="182"/>
      <c r="D1" s="182"/>
      <c r="E1" s="182"/>
      <c r="F1" s="182"/>
      <c r="G1" s="182"/>
      <c r="H1" s="182"/>
      <c r="I1" s="5" t="s">
        <v>47</v>
      </c>
      <c r="J1" s="19" t="s">
        <v>47</v>
      </c>
    </row>
    <row r="2" spans="1:10" ht="21.75" customHeight="1" x14ac:dyDescent="0.3">
      <c r="A2" s="1" t="s">
        <v>1</v>
      </c>
      <c r="I2" s="20" t="str">
        <f ca="1">MID(CELL("filename",$A$1),FIND("]",CELL("filename",$A$1))+1,LEN(CELL("filename",$A$1)))</f>
        <v>노무비수량금액집계표</v>
      </c>
    </row>
    <row r="3" spans="1:10" ht="21.75" customHeight="1" x14ac:dyDescent="0.3">
      <c r="A3" s="8" t="s">
        <v>2</v>
      </c>
      <c r="B3" s="8" t="s">
        <v>3</v>
      </c>
      <c r="C3" s="8" t="s">
        <v>4</v>
      </c>
      <c r="D3" s="8" t="s">
        <v>255</v>
      </c>
      <c r="E3" s="8" t="s">
        <v>5</v>
      </c>
      <c r="F3" s="8" t="s">
        <v>156</v>
      </c>
      <c r="G3" s="8" t="s">
        <v>256</v>
      </c>
      <c r="H3" s="14" t="s">
        <v>10</v>
      </c>
      <c r="J3" s="3" t="str">
        <f>HYPERLINK("#'〓 목 차 〓'!B2","목차 →")</f>
        <v>목차 →</v>
      </c>
    </row>
    <row r="4" spans="1:10" ht="21.75" customHeight="1" x14ac:dyDescent="0.3">
      <c r="A4" s="238" t="s">
        <v>102</v>
      </c>
      <c r="B4" s="196" t="s">
        <v>184</v>
      </c>
      <c r="C4" s="196"/>
      <c r="D4" s="70">
        <v>0</v>
      </c>
      <c r="E4" s="229" t="s">
        <v>185</v>
      </c>
      <c r="F4" s="160">
        <f>노무비목록표!E4</f>
        <v>169804</v>
      </c>
      <c r="G4" s="58">
        <f t="shared" ref="G4:G11" si="0">ROUND(D4*F4,0)</f>
        <v>0</v>
      </c>
      <c r="H4" s="239" t="s">
        <v>102</v>
      </c>
      <c r="J4" s="3" t="str">
        <f ca="1">HYPERLINK("#"&amp;노무비목록표!G2&amp;"!A"&amp;ROW(노무비목록표!A4),"L00002 →")</f>
        <v>L00002 →</v>
      </c>
    </row>
    <row r="5" spans="1:10" ht="21.75" customHeight="1" x14ac:dyDescent="0.3">
      <c r="A5" s="197"/>
      <c r="B5" s="197"/>
      <c r="C5" s="197"/>
      <c r="D5" s="142">
        <v>29.18</v>
      </c>
      <c r="E5" s="202"/>
      <c r="F5" s="161">
        <f>노무비목록표!E4</f>
        <v>169804</v>
      </c>
      <c r="G5" s="59">
        <f t="shared" si="0"/>
        <v>4954881</v>
      </c>
      <c r="H5" s="240"/>
    </row>
    <row r="6" spans="1:10" ht="21.75" customHeight="1" x14ac:dyDescent="0.3">
      <c r="A6" s="238" t="s">
        <v>107</v>
      </c>
      <c r="B6" s="196" t="s">
        <v>187</v>
      </c>
      <c r="C6" s="196"/>
      <c r="D6" s="70">
        <v>0</v>
      </c>
      <c r="E6" s="229" t="s">
        <v>185</v>
      </c>
      <c r="F6" s="160">
        <f>노무비목록표!E5</f>
        <v>221506</v>
      </c>
      <c r="G6" s="58">
        <f t="shared" si="0"/>
        <v>0</v>
      </c>
      <c r="H6" s="239" t="s">
        <v>107</v>
      </c>
      <c r="J6" s="3" t="str">
        <f ca="1">HYPERLINK("#"&amp;노무비목록표!G2&amp;"!A"&amp;ROW(노무비목록표!A5),"L00003 →")</f>
        <v>L00003 →</v>
      </c>
    </row>
    <row r="7" spans="1:10" ht="21.75" customHeight="1" x14ac:dyDescent="0.3">
      <c r="A7" s="197"/>
      <c r="B7" s="197"/>
      <c r="C7" s="197"/>
      <c r="D7" s="142">
        <v>0.2</v>
      </c>
      <c r="E7" s="202"/>
      <c r="F7" s="161">
        <f>노무비목록표!E5</f>
        <v>221506</v>
      </c>
      <c r="G7" s="59">
        <f t="shared" si="0"/>
        <v>44301</v>
      </c>
      <c r="H7" s="240"/>
    </row>
    <row r="8" spans="1:10" ht="21.75" customHeight="1" x14ac:dyDescent="0.3">
      <c r="A8" s="238" t="s">
        <v>110</v>
      </c>
      <c r="B8" s="196" t="s">
        <v>189</v>
      </c>
      <c r="C8" s="196"/>
      <c r="D8" s="70">
        <v>0</v>
      </c>
      <c r="E8" s="229" t="s">
        <v>185</v>
      </c>
      <c r="F8" s="160">
        <f>노무비목록표!E6</f>
        <v>266246</v>
      </c>
      <c r="G8" s="58">
        <f t="shared" si="0"/>
        <v>0</v>
      </c>
      <c r="H8" s="239" t="s">
        <v>110</v>
      </c>
      <c r="J8" s="3" t="str">
        <f ca="1">HYPERLINK("#"&amp;노무비목록표!G2&amp;"!A"&amp;ROW(노무비목록표!A6),"L00019 →")</f>
        <v>L00019 →</v>
      </c>
    </row>
    <row r="9" spans="1:10" ht="21.75" customHeight="1" x14ac:dyDescent="0.3">
      <c r="A9" s="197"/>
      <c r="B9" s="197"/>
      <c r="C9" s="197"/>
      <c r="D9" s="142">
        <v>59.3</v>
      </c>
      <c r="E9" s="202"/>
      <c r="F9" s="161">
        <f>노무비목록표!E6</f>
        <v>266246</v>
      </c>
      <c r="G9" s="59">
        <f t="shared" si="0"/>
        <v>15788388</v>
      </c>
      <c r="H9" s="240"/>
    </row>
    <row r="10" spans="1:10" ht="21.75" customHeight="1" x14ac:dyDescent="0.3">
      <c r="A10" s="238" t="s">
        <v>113</v>
      </c>
      <c r="B10" s="196" t="s">
        <v>191</v>
      </c>
      <c r="C10" s="196"/>
      <c r="D10" s="70">
        <v>0</v>
      </c>
      <c r="E10" s="229" t="s">
        <v>185</v>
      </c>
      <c r="F10" s="160">
        <f>노무비목록표!E7</f>
        <v>224132</v>
      </c>
      <c r="G10" s="58">
        <f t="shared" si="0"/>
        <v>0</v>
      </c>
      <c r="H10" s="239" t="s">
        <v>113</v>
      </c>
      <c r="J10" s="3" t="str">
        <f ca="1">HYPERLINK("#"&amp;노무비목록표!G2&amp;"!A"&amp;ROW(노무비목록표!A7),"L00021 →")</f>
        <v>L00021 →</v>
      </c>
    </row>
    <row r="11" spans="1:10" ht="21.75" customHeight="1" x14ac:dyDescent="0.3">
      <c r="A11" s="197"/>
      <c r="B11" s="197"/>
      <c r="C11" s="197"/>
      <c r="D11" s="142">
        <v>22.2</v>
      </c>
      <c r="E11" s="202"/>
      <c r="F11" s="161">
        <f>노무비목록표!E7</f>
        <v>224132</v>
      </c>
      <c r="G11" s="59">
        <f t="shared" si="0"/>
        <v>4975730</v>
      </c>
      <c r="H11" s="240"/>
    </row>
  </sheetData>
  <mergeCells count="21">
    <mergeCell ref="A10:A11"/>
    <mergeCell ref="B10:B11"/>
    <mergeCell ref="C10:C11"/>
    <mergeCell ref="E10:E11"/>
    <mergeCell ref="H10:H11"/>
    <mergeCell ref="A6:A7"/>
    <mergeCell ref="B6:B7"/>
    <mergeCell ref="C6:C7"/>
    <mergeCell ref="E6:E7"/>
    <mergeCell ref="H6:H7"/>
    <mergeCell ref="A8:A9"/>
    <mergeCell ref="B8:B9"/>
    <mergeCell ref="C8:C9"/>
    <mergeCell ref="E8:E9"/>
    <mergeCell ref="H8:H9"/>
    <mergeCell ref="A1:H1"/>
    <mergeCell ref="A4:A5"/>
    <mergeCell ref="B4:B5"/>
    <mergeCell ref="C4:C5"/>
    <mergeCell ref="E4:E5"/>
    <mergeCell ref="H4:H5"/>
  </mergeCells>
  <phoneticPr fontId="25" type="noConversion"/>
  <hyperlinks>
    <hyperlink ref="J1" r:id="rId1" tooltip="설계예산시스템(STmate w25.05)으로 작성 하였으며,_x000a_엑셀 인쇄품질 600 dpi에 최적화 되어 있습니다._x000a_경영정보(주) http://www.stma.co.kr_x000a_Tel) 070-4350-0040_x000a_Fax) 0505-300-3948"/>
    <hyperlink ref="I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>&amp;L&amp;"굴림체,"&amp;9 ( 상단:당초 , 하단:변경 )</oddFooter>
  </headerFooter>
  <legacy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ySplit="3" topLeftCell="A4" activePane="bottomLeft" state="frozenSplit"/>
      <selection pane="bottomLeft" activeCell="A4" sqref="A4:A5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9" width="13" style="6" customWidth="1"/>
    <col min="10" max="10" width="10" style="6" customWidth="1"/>
    <col min="11" max="11" width="9.125" style="6" hidden="1" customWidth="1"/>
    <col min="12" max="12" width="9.125" style="18" customWidth="1"/>
    <col min="13" max="16384" width="9.125" style="6"/>
  </cols>
  <sheetData>
    <row r="1" spans="1:12" ht="24.95" customHeight="1" x14ac:dyDescent="0.3">
      <c r="A1" s="183" t="s">
        <v>1331</v>
      </c>
      <c r="B1" s="182"/>
      <c r="C1" s="182"/>
      <c r="D1" s="182"/>
      <c r="E1" s="182"/>
      <c r="F1" s="182"/>
      <c r="G1" s="182"/>
      <c r="H1" s="182"/>
      <c r="I1" s="182"/>
      <c r="J1" s="182"/>
      <c r="K1" s="5" t="s">
        <v>47</v>
      </c>
      <c r="L1" s="19" t="s">
        <v>47</v>
      </c>
    </row>
    <row r="2" spans="1:12" ht="24.95" customHeight="1" x14ac:dyDescent="0.3">
      <c r="A2" s="1" t="s">
        <v>1</v>
      </c>
      <c r="K2" s="20" t="str">
        <f ca="1">MID(CELL("filename",$A$1),FIND("]",CELL("filename",$A$1))+1,LEN(CELL("filename",$A$1)))</f>
        <v>중기시간금액집계표</v>
      </c>
    </row>
    <row r="3" spans="1:12" ht="24.95" customHeight="1" x14ac:dyDescent="0.3">
      <c r="A3" s="8" t="s">
        <v>2</v>
      </c>
      <c r="B3" s="8" t="s">
        <v>3</v>
      </c>
      <c r="C3" s="8" t="s">
        <v>4</v>
      </c>
      <c r="D3" s="8" t="s">
        <v>255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4" t="s">
        <v>10</v>
      </c>
      <c r="L3" s="3" t="str">
        <f>HYPERLINK("#'〓 목 차 〓'!B2","목차 →")</f>
        <v>목차 →</v>
      </c>
    </row>
    <row r="4" spans="1:12" ht="24.95" customHeight="1" x14ac:dyDescent="0.3">
      <c r="A4" s="227" t="s">
        <v>102</v>
      </c>
      <c r="B4" s="228" t="s">
        <v>103</v>
      </c>
      <c r="C4" s="228" t="s">
        <v>104</v>
      </c>
      <c r="D4" s="70">
        <v>0</v>
      </c>
      <c r="E4" s="229" t="s">
        <v>105</v>
      </c>
      <c r="F4" s="58">
        <f t="shared" ref="F4:F29" si="0">H4+G4+I4</f>
        <v>0</v>
      </c>
      <c r="G4" s="54">
        <f>ROUND(D4*중기목록표!F4,0)</f>
        <v>0</v>
      </c>
      <c r="H4" s="85">
        <f>ROUND(D4*중기목록표!G4,0)</f>
        <v>0</v>
      </c>
      <c r="I4" s="58">
        <f>ROUND(D4*중기목록표!H4,0)</f>
        <v>0</v>
      </c>
      <c r="J4" s="230" t="s">
        <v>102</v>
      </c>
      <c r="L4" s="3" t="str">
        <f ca="1">HYPERLINK("#"&amp;중기목록표!J2&amp;"!A"&amp;ROW(중기목록표!A4),"X00003 →")</f>
        <v>X00003 →</v>
      </c>
    </row>
    <row r="5" spans="1:12" ht="24.95" customHeight="1" x14ac:dyDescent="0.3">
      <c r="A5" s="217"/>
      <c r="B5" s="217"/>
      <c r="C5" s="217"/>
      <c r="D5" s="142">
        <v>1.61</v>
      </c>
      <c r="E5" s="202"/>
      <c r="F5" s="59">
        <f t="shared" si="0"/>
        <v>125749</v>
      </c>
      <c r="G5" s="55">
        <f>ROUND(D5*중기목록표!F4,0)</f>
        <v>91894</v>
      </c>
      <c r="H5" s="86">
        <f>ROUND(D5*중기목록표!G4,0)</f>
        <v>12283</v>
      </c>
      <c r="I5" s="59">
        <f>ROUND(D5*중기목록표!H4,0)</f>
        <v>21572</v>
      </c>
      <c r="J5" s="203"/>
    </row>
    <row r="6" spans="1:12" ht="24.95" customHeight="1" x14ac:dyDescent="0.3">
      <c r="A6" s="227" t="s">
        <v>107</v>
      </c>
      <c r="B6" s="228" t="s">
        <v>103</v>
      </c>
      <c r="C6" s="228" t="s">
        <v>108</v>
      </c>
      <c r="D6" s="70">
        <v>0</v>
      </c>
      <c r="E6" s="229" t="s">
        <v>105</v>
      </c>
      <c r="F6" s="58">
        <f t="shared" si="0"/>
        <v>0</v>
      </c>
      <c r="G6" s="54">
        <f>ROUND(D6*중기목록표!F5,0)</f>
        <v>0</v>
      </c>
      <c r="H6" s="85">
        <f>ROUND(D6*중기목록표!G5,0)</f>
        <v>0</v>
      </c>
      <c r="I6" s="58">
        <f>ROUND(D6*중기목록표!H5,0)</f>
        <v>0</v>
      </c>
      <c r="J6" s="230" t="s">
        <v>107</v>
      </c>
      <c r="L6" s="3" t="str">
        <f ca="1">HYPERLINK("#"&amp;중기목록표!J2&amp;"!A"&amp;ROW(중기목록표!A5),"X00005 →")</f>
        <v>X00005 →</v>
      </c>
    </row>
    <row r="7" spans="1:12" ht="24.95" customHeight="1" x14ac:dyDescent="0.3">
      <c r="A7" s="217"/>
      <c r="B7" s="217"/>
      <c r="C7" s="217"/>
      <c r="D7" s="142">
        <v>7.23</v>
      </c>
      <c r="E7" s="202"/>
      <c r="F7" s="59">
        <f t="shared" si="0"/>
        <v>715213</v>
      </c>
      <c r="G7" s="55">
        <f>ROUND(D7*중기목록표!F5,0)</f>
        <v>412667</v>
      </c>
      <c r="H7" s="86">
        <f>ROUND(D7*중기목록표!G5,0)</f>
        <v>129019</v>
      </c>
      <c r="I7" s="59">
        <f>ROUND(D7*중기목록표!H5,0)</f>
        <v>173527</v>
      </c>
      <c r="J7" s="203"/>
    </row>
    <row r="8" spans="1:12" ht="24.95" customHeight="1" x14ac:dyDescent="0.3">
      <c r="A8" s="227" t="s">
        <v>110</v>
      </c>
      <c r="B8" s="228" t="s">
        <v>103</v>
      </c>
      <c r="C8" s="228" t="s">
        <v>111</v>
      </c>
      <c r="D8" s="70">
        <v>0</v>
      </c>
      <c r="E8" s="229" t="s">
        <v>105</v>
      </c>
      <c r="F8" s="58">
        <f t="shared" si="0"/>
        <v>0</v>
      </c>
      <c r="G8" s="54">
        <f>ROUND(D8*중기목록표!F6,0)</f>
        <v>0</v>
      </c>
      <c r="H8" s="85">
        <f>ROUND(D8*중기목록표!G6,0)</f>
        <v>0</v>
      </c>
      <c r="I8" s="58">
        <f>ROUND(D8*중기목록표!H6,0)</f>
        <v>0</v>
      </c>
      <c r="J8" s="230" t="s">
        <v>110</v>
      </c>
      <c r="L8" s="3" t="str">
        <f ca="1">HYPERLINK("#"&amp;중기목록표!J2&amp;"!A"&amp;ROW(중기목록표!A6),"X00007 →")</f>
        <v>X00007 →</v>
      </c>
    </row>
    <row r="9" spans="1:12" ht="24.95" customHeight="1" x14ac:dyDescent="0.3">
      <c r="A9" s="217"/>
      <c r="B9" s="217"/>
      <c r="C9" s="217"/>
      <c r="D9" s="142">
        <v>15.04</v>
      </c>
      <c r="E9" s="202"/>
      <c r="F9" s="59">
        <f t="shared" si="0"/>
        <v>1205636</v>
      </c>
      <c r="G9" s="55">
        <f>ROUND(D9*중기목록표!F6,0)</f>
        <v>858438</v>
      </c>
      <c r="H9" s="86">
        <f>ROUND(D9*중기목록표!G6,0)</f>
        <v>114740</v>
      </c>
      <c r="I9" s="59">
        <f>ROUND(D9*중기목록표!H6,0)</f>
        <v>232458</v>
      </c>
      <c r="J9" s="203"/>
    </row>
    <row r="10" spans="1:12" ht="24.95" customHeight="1" x14ac:dyDescent="0.3">
      <c r="A10" s="227" t="s">
        <v>113</v>
      </c>
      <c r="B10" s="228" t="s">
        <v>103</v>
      </c>
      <c r="C10" s="228" t="s">
        <v>114</v>
      </c>
      <c r="D10" s="70">
        <v>0</v>
      </c>
      <c r="E10" s="229" t="s">
        <v>105</v>
      </c>
      <c r="F10" s="58">
        <f t="shared" si="0"/>
        <v>0</v>
      </c>
      <c r="G10" s="54">
        <f>ROUND(D10*중기목록표!F7,0)</f>
        <v>0</v>
      </c>
      <c r="H10" s="85">
        <f>ROUND(D10*중기목록표!G7,0)</f>
        <v>0</v>
      </c>
      <c r="I10" s="58">
        <f>ROUND(D10*중기목록표!H7,0)</f>
        <v>0</v>
      </c>
      <c r="J10" s="230" t="s">
        <v>113</v>
      </c>
      <c r="L10" s="3" t="str">
        <f ca="1">HYPERLINK("#"&amp;중기목록표!J2&amp;"!A"&amp;ROW(중기목록표!A7),"X00009 →")</f>
        <v>X00009 →</v>
      </c>
    </row>
    <row r="11" spans="1:12" ht="24.95" customHeight="1" x14ac:dyDescent="0.3">
      <c r="A11" s="217"/>
      <c r="B11" s="217"/>
      <c r="C11" s="217"/>
      <c r="D11" s="142">
        <v>16.559999999999999</v>
      </c>
      <c r="E11" s="202"/>
      <c r="F11" s="59">
        <f t="shared" si="0"/>
        <v>1699172</v>
      </c>
      <c r="G11" s="55">
        <f>ROUND(D11*중기목록표!F7,0)</f>
        <v>945195</v>
      </c>
      <c r="H11" s="86">
        <f>ROUND(D11*중기목록표!G7,0)</f>
        <v>295513</v>
      </c>
      <c r="I11" s="59">
        <f>ROUND(D11*중기목록표!H7,0)</f>
        <v>458464</v>
      </c>
      <c r="J11" s="203"/>
    </row>
    <row r="12" spans="1:12" ht="24.95" customHeight="1" x14ac:dyDescent="0.3">
      <c r="A12" s="227" t="s">
        <v>116</v>
      </c>
      <c r="B12" s="228" t="s">
        <v>117</v>
      </c>
      <c r="C12" s="228" t="s">
        <v>118</v>
      </c>
      <c r="D12" s="70">
        <v>0</v>
      </c>
      <c r="E12" s="229" t="s">
        <v>105</v>
      </c>
      <c r="F12" s="58">
        <f t="shared" si="0"/>
        <v>0</v>
      </c>
      <c r="G12" s="54">
        <f>ROUND(D12*중기목록표!F8,0)</f>
        <v>0</v>
      </c>
      <c r="H12" s="85">
        <f>ROUND(D12*중기목록표!G8,0)</f>
        <v>0</v>
      </c>
      <c r="I12" s="58">
        <f>ROUND(D12*중기목록표!H8,0)</f>
        <v>0</v>
      </c>
      <c r="J12" s="230" t="s">
        <v>116</v>
      </c>
      <c r="L12" s="3" t="str">
        <f ca="1">HYPERLINK("#"&amp;중기목록표!J2&amp;"!A"&amp;ROW(중기목록표!A8),"X00024 →")</f>
        <v>X00024 →</v>
      </c>
    </row>
    <row r="13" spans="1:12" ht="24.95" customHeight="1" x14ac:dyDescent="0.3">
      <c r="A13" s="217"/>
      <c r="B13" s="217"/>
      <c r="C13" s="217"/>
      <c r="D13" s="142">
        <v>4.6399999999999997</v>
      </c>
      <c r="E13" s="202"/>
      <c r="F13" s="59">
        <f t="shared" si="0"/>
        <v>304621</v>
      </c>
      <c r="G13" s="55">
        <f>ROUND(D13*중기목록표!F8,0)</f>
        <v>229583</v>
      </c>
      <c r="H13" s="86">
        <f>ROUND(D13*중기목록표!G8,0)</f>
        <v>40368</v>
      </c>
      <c r="I13" s="59">
        <f>ROUND(D13*중기목록표!H8,0)</f>
        <v>34670</v>
      </c>
      <c r="J13" s="203"/>
    </row>
    <row r="14" spans="1:12" ht="24.95" customHeight="1" x14ac:dyDescent="0.3">
      <c r="A14" s="227" t="s">
        <v>120</v>
      </c>
      <c r="B14" s="228" t="s">
        <v>117</v>
      </c>
      <c r="C14" s="228" t="s">
        <v>124</v>
      </c>
      <c r="D14" s="70">
        <v>0</v>
      </c>
      <c r="E14" s="229" t="s">
        <v>105</v>
      </c>
      <c r="F14" s="58">
        <f t="shared" si="0"/>
        <v>0</v>
      </c>
      <c r="G14" s="54">
        <f>ROUND(D14*중기목록표!F10,0)</f>
        <v>0</v>
      </c>
      <c r="H14" s="85">
        <f>ROUND(D14*중기목록표!G10,0)</f>
        <v>0</v>
      </c>
      <c r="I14" s="58">
        <f>ROUND(D14*중기목록표!H10,0)</f>
        <v>0</v>
      </c>
      <c r="J14" s="230" t="s">
        <v>120</v>
      </c>
      <c r="L14" s="3" t="str">
        <f ca="1">HYPERLINK("#"&amp;중기목록표!J2&amp;"!A"&amp;ROW(중기목록표!A10),"X00031 →")</f>
        <v>X00031 →</v>
      </c>
    </row>
    <row r="15" spans="1:12" ht="24.95" customHeight="1" x14ac:dyDescent="0.3">
      <c r="A15" s="217"/>
      <c r="B15" s="217"/>
      <c r="C15" s="217"/>
      <c r="D15" s="142">
        <v>5.5</v>
      </c>
      <c r="E15" s="202"/>
      <c r="F15" s="59">
        <f t="shared" si="0"/>
        <v>597191</v>
      </c>
      <c r="G15" s="55">
        <f>ROUND(D15*중기목록표!F10,0)</f>
        <v>313924</v>
      </c>
      <c r="H15" s="86">
        <f>ROUND(D15*중기목록표!G10,0)</f>
        <v>152174</v>
      </c>
      <c r="I15" s="59">
        <f>ROUND(D15*중기목록표!H10,0)</f>
        <v>131093</v>
      </c>
      <c r="J15" s="203"/>
    </row>
    <row r="16" spans="1:12" ht="24.95" customHeight="1" x14ac:dyDescent="0.3">
      <c r="A16" s="227" t="s">
        <v>123</v>
      </c>
      <c r="B16" s="228" t="s">
        <v>127</v>
      </c>
      <c r="C16" s="228" t="s">
        <v>131</v>
      </c>
      <c r="D16" s="70">
        <v>0</v>
      </c>
      <c r="E16" s="229" t="s">
        <v>105</v>
      </c>
      <c r="F16" s="58">
        <f t="shared" si="0"/>
        <v>0</v>
      </c>
      <c r="G16" s="54">
        <f>ROUND(D16*중기목록표!F12,0)</f>
        <v>0</v>
      </c>
      <c r="H16" s="85">
        <f>ROUND(D16*중기목록표!G12,0)</f>
        <v>0</v>
      </c>
      <c r="I16" s="58">
        <f>ROUND(D16*중기목록표!H12,0)</f>
        <v>0</v>
      </c>
      <c r="J16" s="230" t="s">
        <v>123</v>
      </c>
      <c r="L16" s="3" t="str">
        <f ca="1">HYPERLINK("#"&amp;중기목록표!J2&amp;"!A"&amp;ROW(중기목록표!A12),"X00084 →")</f>
        <v>X00084 →</v>
      </c>
    </row>
    <row r="17" spans="1:12" ht="24.95" customHeight="1" x14ac:dyDescent="0.3">
      <c r="A17" s="217"/>
      <c r="B17" s="217"/>
      <c r="C17" s="217"/>
      <c r="D17" s="142">
        <v>4.6399999999999997</v>
      </c>
      <c r="E17" s="202"/>
      <c r="F17" s="59">
        <f t="shared" si="0"/>
        <v>2315</v>
      </c>
      <c r="G17" s="55">
        <f>ROUND(D17*중기목록표!F12,0)</f>
        <v>0</v>
      </c>
      <c r="H17" s="86">
        <f>ROUND(D17*중기목록표!G12,0)</f>
        <v>0</v>
      </c>
      <c r="I17" s="59">
        <f>ROUND(D17*중기목록표!H12,0)</f>
        <v>2315</v>
      </c>
      <c r="J17" s="203"/>
    </row>
    <row r="18" spans="1:12" ht="24.95" customHeight="1" x14ac:dyDescent="0.3">
      <c r="A18" s="227" t="s">
        <v>126</v>
      </c>
      <c r="B18" s="228" t="s">
        <v>117</v>
      </c>
      <c r="C18" s="228" t="s">
        <v>134</v>
      </c>
      <c r="D18" s="70">
        <v>0</v>
      </c>
      <c r="E18" s="229" t="s">
        <v>105</v>
      </c>
      <c r="F18" s="58">
        <f t="shared" si="0"/>
        <v>0</v>
      </c>
      <c r="G18" s="54">
        <f>ROUND(D18*중기목록표!F13,0)</f>
        <v>0</v>
      </c>
      <c r="H18" s="85">
        <f>ROUND(D18*중기목록표!G13,0)</f>
        <v>0</v>
      </c>
      <c r="I18" s="58">
        <f>ROUND(D18*중기목록표!H13,0)</f>
        <v>0</v>
      </c>
      <c r="J18" s="230" t="s">
        <v>126</v>
      </c>
      <c r="L18" s="3" t="str">
        <f ca="1">HYPERLINK("#"&amp;중기목록표!J2&amp;"!A"&amp;ROW(중기목록표!A13),"X00085 →")</f>
        <v>X00085 →</v>
      </c>
    </row>
    <row r="19" spans="1:12" ht="24.95" customHeight="1" x14ac:dyDescent="0.3">
      <c r="A19" s="217"/>
      <c r="B19" s="217"/>
      <c r="C19" s="217"/>
      <c r="D19" s="142">
        <v>4.6399999999999997</v>
      </c>
      <c r="E19" s="202"/>
      <c r="F19" s="59">
        <f t="shared" si="0"/>
        <v>600527</v>
      </c>
      <c r="G19" s="55">
        <f>ROUND(D19*중기목록표!F13,0)</f>
        <v>264837</v>
      </c>
      <c r="H19" s="86">
        <f>ROUND(D19*중기목록표!G13,0)</f>
        <v>185711</v>
      </c>
      <c r="I19" s="59">
        <f>ROUND(D19*중기목록표!H13,0)</f>
        <v>149979</v>
      </c>
      <c r="J19" s="203"/>
    </row>
    <row r="20" spans="1:12" ht="24.95" customHeight="1" x14ac:dyDescent="0.3">
      <c r="A20" s="227" t="s">
        <v>130</v>
      </c>
      <c r="B20" s="228" t="s">
        <v>137</v>
      </c>
      <c r="C20" s="228" t="s">
        <v>138</v>
      </c>
      <c r="D20" s="70">
        <v>0</v>
      </c>
      <c r="E20" s="229" t="s">
        <v>105</v>
      </c>
      <c r="F20" s="58">
        <f t="shared" si="0"/>
        <v>0</v>
      </c>
      <c r="G20" s="54">
        <f>ROUND(D20*중기목록표!F14,0)</f>
        <v>0</v>
      </c>
      <c r="H20" s="85">
        <f>ROUND(D20*중기목록표!G14,0)</f>
        <v>0</v>
      </c>
      <c r="I20" s="58">
        <f>ROUND(D20*중기목록표!H14,0)</f>
        <v>0</v>
      </c>
      <c r="J20" s="230" t="s">
        <v>130</v>
      </c>
      <c r="L20" s="3" t="str">
        <f ca="1">HYPERLINK("#"&amp;중기목록표!J2&amp;"!A"&amp;ROW(중기목록표!A14),"X00087 →")</f>
        <v>X00087 →</v>
      </c>
    </row>
    <row r="21" spans="1:12" ht="24.95" customHeight="1" x14ac:dyDescent="0.3">
      <c r="A21" s="217"/>
      <c r="B21" s="217"/>
      <c r="C21" s="217"/>
      <c r="D21" s="142">
        <v>163.63</v>
      </c>
      <c r="E21" s="202"/>
      <c r="F21" s="59">
        <f t="shared" si="0"/>
        <v>17563390</v>
      </c>
      <c r="G21" s="55">
        <f>ROUND(D21*중기목록표!F14,0)</f>
        <v>9339510</v>
      </c>
      <c r="H21" s="86">
        <f>ROUND(D21*중기목록표!G14,0)</f>
        <v>2967921</v>
      </c>
      <c r="I21" s="59">
        <f>ROUND(D21*중기목록표!H14,0)</f>
        <v>5255959</v>
      </c>
      <c r="J21" s="203"/>
    </row>
    <row r="22" spans="1:12" ht="24.95" customHeight="1" x14ac:dyDescent="0.3">
      <c r="A22" s="227" t="s">
        <v>133</v>
      </c>
      <c r="B22" s="228" t="s">
        <v>141</v>
      </c>
      <c r="C22" s="228" t="s">
        <v>142</v>
      </c>
      <c r="D22" s="70">
        <v>0</v>
      </c>
      <c r="E22" s="229" t="s">
        <v>105</v>
      </c>
      <c r="F22" s="58">
        <f t="shared" si="0"/>
        <v>0</v>
      </c>
      <c r="G22" s="54">
        <f>ROUND(D22*중기목록표!F15,0)</f>
        <v>0</v>
      </c>
      <c r="H22" s="85">
        <f>ROUND(D22*중기목록표!G15,0)</f>
        <v>0</v>
      </c>
      <c r="I22" s="58">
        <f>ROUND(D22*중기목록표!H15,0)</f>
        <v>0</v>
      </c>
      <c r="J22" s="230" t="s">
        <v>133</v>
      </c>
      <c r="L22" s="3" t="str">
        <f ca="1">HYPERLINK("#"&amp;중기목록표!J2&amp;"!A"&amp;ROW(중기목록표!A15),"X00088 →")</f>
        <v>X00088 →</v>
      </c>
    </row>
    <row r="23" spans="1:12" ht="24.95" customHeight="1" x14ac:dyDescent="0.3">
      <c r="A23" s="217"/>
      <c r="B23" s="217"/>
      <c r="C23" s="217"/>
      <c r="D23" s="142">
        <v>5.84</v>
      </c>
      <c r="E23" s="202"/>
      <c r="F23" s="59">
        <f t="shared" si="0"/>
        <v>599225</v>
      </c>
      <c r="G23" s="55">
        <f>ROUND(D23*중기목록표!F15,0)</f>
        <v>333330</v>
      </c>
      <c r="H23" s="86">
        <f>ROUND(D23*중기목록표!G15,0)</f>
        <v>104215</v>
      </c>
      <c r="I23" s="59">
        <f>ROUND(D23*중기목록표!H15,0)</f>
        <v>161680</v>
      </c>
      <c r="J23" s="203"/>
    </row>
    <row r="24" spans="1:12" ht="24.95" customHeight="1" x14ac:dyDescent="0.3">
      <c r="A24" s="227" t="s">
        <v>136</v>
      </c>
      <c r="B24" s="228" t="s">
        <v>145</v>
      </c>
      <c r="C24" s="228" t="s">
        <v>146</v>
      </c>
      <c r="D24" s="70">
        <v>0</v>
      </c>
      <c r="E24" s="229" t="s">
        <v>105</v>
      </c>
      <c r="F24" s="58">
        <f t="shared" si="0"/>
        <v>0</v>
      </c>
      <c r="G24" s="54">
        <f>ROUND(D24*중기목록표!F16,0)</f>
        <v>0</v>
      </c>
      <c r="H24" s="85">
        <f>ROUND(D24*중기목록표!G16,0)</f>
        <v>0</v>
      </c>
      <c r="I24" s="58">
        <f>ROUND(D24*중기목록표!H16,0)</f>
        <v>0</v>
      </c>
      <c r="J24" s="230" t="s">
        <v>136</v>
      </c>
      <c r="L24" s="3" t="str">
        <f ca="1">HYPERLINK("#"&amp;중기목록표!J2&amp;"!A"&amp;ROW(중기목록표!A16),"X00090 →")</f>
        <v>X00090 →</v>
      </c>
    </row>
    <row r="25" spans="1:12" ht="24.95" customHeight="1" x14ac:dyDescent="0.3">
      <c r="A25" s="217"/>
      <c r="B25" s="217"/>
      <c r="C25" s="217"/>
      <c r="D25" s="142">
        <v>5.13</v>
      </c>
      <c r="E25" s="202"/>
      <c r="F25" s="59">
        <f t="shared" si="0"/>
        <v>318809</v>
      </c>
      <c r="G25" s="55">
        <f>ROUND(D25*중기목록표!F16,0)</f>
        <v>253827</v>
      </c>
      <c r="H25" s="86">
        <f>ROUND(D25*중기목록표!G16,0)</f>
        <v>25886</v>
      </c>
      <c r="I25" s="59">
        <f>ROUND(D25*중기목록표!H16,0)</f>
        <v>39096</v>
      </c>
      <c r="J25" s="203"/>
    </row>
    <row r="26" spans="1:12" ht="24.95" customHeight="1" x14ac:dyDescent="0.3">
      <c r="A26" s="227" t="s">
        <v>140</v>
      </c>
      <c r="B26" s="228" t="s">
        <v>117</v>
      </c>
      <c r="C26" s="228" t="s">
        <v>149</v>
      </c>
      <c r="D26" s="70">
        <v>0</v>
      </c>
      <c r="E26" s="229" t="s">
        <v>105</v>
      </c>
      <c r="F26" s="58">
        <f t="shared" si="0"/>
        <v>0</v>
      </c>
      <c r="G26" s="54">
        <f>ROUND(D26*중기목록표!F17,0)</f>
        <v>0</v>
      </c>
      <c r="H26" s="85">
        <f>ROUND(D26*중기목록표!G17,0)</f>
        <v>0</v>
      </c>
      <c r="I26" s="58">
        <f>ROUND(D26*중기목록표!H17,0)</f>
        <v>0</v>
      </c>
      <c r="J26" s="230" t="s">
        <v>140</v>
      </c>
      <c r="L26" s="3" t="str">
        <f ca="1">HYPERLINK("#"&amp;중기목록표!J2&amp;"!A"&amp;ROW(중기목록표!A17),"X00092 →")</f>
        <v>X00092 →</v>
      </c>
    </row>
    <row r="27" spans="1:12" ht="24.95" customHeight="1" x14ac:dyDescent="0.3">
      <c r="A27" s="217"/>
      <c r="B27" s="217"/>
      <c r="C27" s="217"/>
      <c r="D27" s="142">
        <v>15.16</v>
      </c>
      <c r="E27" s="202"/>
      <c r="F27" s="59">
        <f t="shared" si="0"/>
        <v>1016873</v>
      </c>
      <c r="G27" s="55">
        <f>ROUND(D27*중기목록표!F17,0)</f>
        <v>750102</v>
      </c>
      <c r="H27" s="86">
        <f>ROUND(D27*중기목록표!G17,0)</f>
        <v>131892</v>
      </c>
      <c r="I27" s="59">
        <f>ROUND(D27*중기목록표!H17,0)</f>
        <v>134879</v>
      </c>
      <c r="J27" s="203"/>
    </row>
    <row r="28" spans="1:12" ht="24.95" customHeight="1" x14ac:dyDescent="0.3">
      <c r="A28" s="227" t="s">
        <v>144</v>
      </c>
      <c r="B28" s="228" t="s">
        <v>152</v>
      </c>
      <c r="C28" s="228" t="s">
        <v>153</v>
      </c>
      <c r="D28" s="70">
        <v>0</v>
      </c>
      <c r="E28" s="229" t="s">
        <v>105</v>
      </c>
      <c r="F28" s="58">
        <f t="shared" si="0"/>
        <v>0</v>
      </c>
      <c r="G28" s="54">
        <f>ROUND(D28*중기목록표!F18,0)</f>
        <v>0</v>
      </c>
      <c r="H28" s="85">
        <f>ROUND(D28*중기목록표!G18,0)</f>
        <v>0</v>
      </c>
      <c r="I28" s="58">
        <f>ROUND(D28*중기목록표!H18,0)</f>
        <v>0</v>
      </c>
      <c r="J28" s="230" t="s">
        <v>144</v>
      </c>
      <c r="L28" s="3" t="str">
        <f ca="1">HYPERLINK("#"&amp;중기목록표!J2&amp;"!A"&amp;ROW(중기목록표!A18),"X00094 →")</f>
        <v>X00094 →</v>
      </c>
    </row>
    <row r="29" spans="1:12" ht="24.95" customHeight="1" x14ac:dyDescent="0.3">
      <c r="A29" s="217"/>
      <c r="B29" s="217"/>
      <c r="C29" s="217"/>
      <c r="D29" s="142">
        <v>0.61</v>
      </c>
      <c r="E29" s="202"/>
      <c r="F29" s="59">
        <f t="shared" si="0"/>
        <v>65194</v>
      </c>
      <c r="G29" s="55">
        <f>ROUND(D29*중기목록표!F18,0)</f>
        <v>34817</v>
      </c>
      <c r="H29" s="86">
        <f>ROUND(D29*중기목록표!G18,0)</f>
        <v>14399</v>
      </c>
      <c r="I29" s="59">
        <f>ROUND(D29*중기목록표!H18,0)</f>
        <v>15978</v>
      </c>
      <c r="J29" s="203"/>
    </row>
  </sheetData>
  <mergeCells count="66">
    <mergeCell ref="A26:A27"/>
    <mergeCell ref="B26:B27"/>
    <mergeCell ref="C26:C27"/>
    <mergeCell ref="E26:E27"/>
    <mergeCell ref="J26:J27"/>
    <mergeCell ref="A28:A29"/>
    <mergeCell ref="B28:B29"/>
    <mergeCell ref="C28:C29"/>
    <mergeCell ref="E28:E29"/>
    <mergeCell ref="J28:J29"/>
    <mergeCell ref="A22:A23"/>
    <mergeCell ref="B22:B23"/>
    <mergeCell ref="C22:C23"/>
    <mergeCell ref="E22:E23"/>
    <mergeCell ref="J22:J23"/>
    <mergeCell ref="A24:A25"/>
    <mergeCell ref="B24:B25"/>
    <mergeCell ref="C24:C25"/>
    <mergeCell ref="E24:E25"/>
    <mergeCell ref="J24:J25"/>
    <mergeCell ref="A18:A19"/>
    <mergeCell ref="B18:B19"/>
    <mergeCell ref="C18:C19"/>
    <mergeCell ref="E18:E19"/>
    <mergeCell ref="J18:J19"/>
    <mergeCell ref="A20:A21"/>
    <mergeCell ref="B20:B21"/>
    <mergeCell ref="C20:C21"/>
    <mergeCell ref="E20:E21"/>
    <mergeCell ref="J20:J21"/>
    <mergeCell ref="A14:A15"/>
    <mergeCell ref="B14:B15"/>
    <mergeCell ref="C14:C15"/>
    <mergeCell ref="E14:E15"/>
    <mergeCell ref="J14:J15"/>
    <mergeCell ref="A16:A17"/>
    <mergeCell ref="B16:B17"/>
    <mergeCell ref="C16:C17"/>
    <mergeCell ref="E16:E17"/>
    <mergeCell ref="J16:J17"/>
    <mergeCell ref="A10:A11"/>
    <mergeCell ref="B10:B11"/>
    <mergeCell ref="C10:C11"/>
    <mergeCell ref="E10:E11"/>
    <mergeCell ref="J10:J11"/>
    <mergeCell ref="A12:A13"/>
    <mergeCell ref="B12:B13"/>
    <mergeCell ref="C12:C13"/>
    <mergeCell ref="E12:E13"/>
    <mergeCell ref="J12:J13"/>
    <mergeCell ref="A6:A7"/>
    <mergeCell ref="B6:B7"/>
    <mergeCell ref="C6:C7"/>
    <mergeCell ref="E6:E7"/>
    <mergeCell ref="J6:J7"/>
    <mergeCell ref="A8:A9"/>
    <mergeCell ref="B8:B9"/>
    <mergeCell ref="C8:C9"/>
    <mergeCell ref="E8:E9"/>
    <mergeCell ref="J8:J9"/>
    <mergeCell ref="A1:J1"/>
    <mergeCell ref="A4:A5"/>
    <mergeCell ref="B4:B5"/>
    <mergeCell ref="C4:C5"/>
    <mergeCell ref="E4:E5"/>
    <mergeCell ref="J4:J5"/>
  </mergeCells>
  <phoneticPr fontId="25" type="noConversion"/>
  <hyperlinks>
    <hyperlink ref="L1" r:id="rId1" tooltip="설계예산시스템(STmate w25.05)으로 작성 하였으며,_x000a_엑셀 인쇄품질 600 dpi에 최적화 되어 있습니다._x000a_경영정보(주) http://www.stma.co.kr_x000a_Tel) 070-4350-0040_x000a_Fax) 0505-300-3948"/>
    <hyperlink ref="K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87" fitToWidth="0" fitToHeight="0" orientation="landscape" r:id="rId3"/>
  <headerFooter alignWithMargins="0">
    <oddFooter>&amp;L&amp;"굴림체,"&amp;9 ( 상단:당초 , 하단:변경 )</oddFooter>
  </headerFooter>
  <legacy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X80"/>
  <sheetViews>
    <sheetView workbookViewId="0"/>
  </sheetViews>
  <sheetFormatPr defaultColWidth="9.125" defaultRowHeight="16.5" x14ac:dyDescent="0.3"/>
  <cols>
    <col min="1" max="1" width="9.125" style="168" customWidth="1"/>
    <col min="2" max="2" width="16.75" style="168" customWidth="1"/>
    <col min="3" max="3" width="15.25" style="168" customWidth="1"/>
    <col min="4" max="24" width="2.5" style="168" customWidth="1"/>
    <col min="25" max="16384" width="9.125" style="168"/>
  </cols>
  <sheetData>
    <row r="2" spans="2:24" ht="19.5" x14ac:dyDescent="0.3">
      <c r="B2" s="241" t="s">
        <v>1374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</row>
    <row r="4" spans="2:24" hidden="1" x14ac:dyDescent="0.3">
      <c r="B4" s="169" t="s">
        <v>1375</v>
      </c>
      <c r="C4" s="172" t="b">
        <f ca="1">ISERROR(SUM(C6:X15,C18:X23))</f>
        <v>0</v>
      </c>
      <c r="D4" s="176">
        <f>ROW(C24)</f>
        <v>24</v>
      </c>
    </row>
    <row r="5" spans="2:24" hidden="1" x14ac:dyDescent="0.3">
      <c r="B5" s="170" t="s">
        <v>1376</v>
      </c>
      <c r="C5" s="170" t="s">
        <v>1377</v>
      </c>
      <c r="D5" s="170" t="s">
        <v>1378</v>
      </c>
      <c r="E5" s="170" t="s">
        <v>1379</v>
      </c>
      <c r="F5" s="170" t="s">
        <v>1380</v>
      </c>
      <c r="G5" s="170" t="s">
        <v>1381</v>
      </c>
      <c r="H5" s="170" t="s">
        <v>841</v>
      </c>
      <c r="I5" s="170" t="s">
        <v>1382</v>
      </c>
      <c r="J5" s="170" t="s">
        <v>1383</v>
      </c>
      <c r="K5" s="170" t="s">
        <v>1384</v>
      </c>
      <c r="L5" s="170" t="s">
        <v>1385</v>
      </c>
      <c r="M5" s="170" t="s">
        <v>1386</v>
      </c>
      <c r="N5" s="170" t="s">
        <v>1387</v>
      </c>
      <c r="O5" s="170" t="s">
        <v>1388</v>
      </c>
      <c r="P5" s="170" t="s">
        <v>1389</v>
      </c>
      <c r="Q5" s="170" t="s">
        <v>1390</v>
      </c>
      <c r="R5" s="170" t="s">
        <v>1391</v>
      </c>
      <c r="S5" s="170" t="s">
        <v>1392</v>
      </c>
      <c r="T5" s="170" t="s">
        <v>1393</v>
      </c>
      <c r="U5" s="170" t="s">
        <v>1394</v>
      </c>
      <c r="V5" s="170" t="s">
        <v>1395</v>
      </c>
      <c r="W5" s="170" t="s">
        <v>1396</v>
      </c>
      <c r="X5" s="170" t="s">
        <v>1397</v>
      </c>
    </row>
    <row r="6" spans="2:24" hidden="1" x14ac:dyDescent="0.3">
      <c r="B6" s="171" t="s">
        <v>1398</v>
      </c>
      <c r="C6" s="173" t="str">
        <f ca="1">IF(D6="","재료비목록표",MID(D6,FIND("]",D6)+1,LEN(D6)))</f>
        <v>재료비목록표</v>
      </c>
      <c r="D6" s="173" t="str">
        <f ca="1">CELL("filename",재료비목록표!A1)</f>
        <v>C:\Users\user\AppData\Roaming\Microsoft\Templates\[Xls-2025_0527_182852_633.Tmp]재료비목록표</v>
      </c>
      <c r="E6" s="177"/>
      <c r="F6" s="178">
        <f ca="1">HYPERLINK("#"&amp;C6&amp;"!"&amp;ADDRESS(3,COLUMN(재료비목록표!B1),1),COLUMN(재료비목록표!B1))</f>
        <v>2</v>
      </c>
      <c r="G6" s="178">
        <f ca="1">HYPERLINK("#"&amp;C6&amp;"!"&amp;ADDRESS(3,COLUMN(재료비목록표!C1),1),COLUMN(재료비목록표!C1))</f>
        <v>3</v>
      </c>
      <c r="H6" s="177"/>
      <c r="I6" s="178">
        <f ca="1">HYPERLINK("#"&amp;C6&amp;"!"&amp;ADDRESS(3,COLUMN(재료비목록표!D1),1),COLUMN(재료비목록표!D1))</f>
        <v>4</v>
      </c>
      <c r="J6" s="178">
        <f ca="1">HYPERLINK("#"&amp;C6&amp;"!A"&amp;ROW(재료비목록표!A4),ROW(재료비목록표!A4))</f>
        <v>4</v>
      </c>
      <c r="K6" s="178">
        <f ca="1">HYPERLINK("#"&amp;C6&amp;"!A"&amp;ROW(재료비목록표!A10),ROW(재료비목록표!A10))</f>
        <v>10</v>
      </c>
      <c r="L6" s="178">
        <f ca="1">HYPERLINK("#"&amp;C6&amp;"!"&amp;ADDRESS(3,COLUMN(재료비목록표!E1),1),COLUMN(재료비목록표!E1))</f>
        <v>5</v>
      </c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8">
        <f ca="1">HYPERLINK("#"&amp;C6&amp;"!"&amp;ADDRESS(3,COLUMN(재료비목록표!G1),1),COLUMN(재료비목록표!G1))</f>
        <v>7</v>
      </c>
    </row>
    <row r="7" spans="2:24" hidden="1" x14ac:dyDescent="0.3">
      <c r="B7" s="171" t="s">
        <v>1399</v>
      </c>
      <c r="C7" s="173" t="str">
        <f ca="1">IF(D7="","노무비목록표",MID(D7,FIND("]",D7)+1,LEN(D7)))</f>
        <v>노무비목록표</v>
      </c>
      <c r="D7" s="173" t="str">
        <f ca="1">CELL("filename",노무비목록표!A1)</f>
        <v>C:\Users\user\AppData\Roaming\Microsoft\Templates\[Xls-2025_0527_182852_633.Tmp]노무비목록표</v>
      </c>
      <c r="E7" s="177"/>
      <c r="F7" s="178">
        <f ca="1">HYPERLINK("#"&amp;C7&amp;"!"&amp;ADDRESS(3,COLUMN(노무비목록표!B1),1),COLUMN(노무비목록표!B1))</f>
        <v>2</v>
      </c>
      <c r="G7" s="178">
        <f ca="1">HYPERLINK("#"&amp;C7&amp;"!"&amp;ADDRESS(3,COLUMN(노무비목록표!C1),1),COLUMN(노무비목록표!C1))</f>
        <v>3</v>
      </c>
      <c r="H7" s="177"/>
      <c r="I7" s="178">
        <f ca="1">HYPERLINK("#"&amp;C7&amp;"!"&amp;ADDRESS(3,COLUMN(노무비목록표!D1),1),COLUMN(노무비목록표!D1))</f>
        <v>4</v>
      </c>
      <c r="J7" s="178">
        <f ca="1">HYPERLINK("#"&amp;C7&amp;"!A"&amp;ROW(노무비목록표!A4),ROW(노무비목록표!A4))</f>
        <v>4</v>
      </c>
      <c r="K7" s="178">
        <f ca="1">HYPERLINK("#"&amp;C7&amp;"!A"&amp;ROW(노무비목록표!A9),ROW(노무비목록표!A9))</f>
        <v>9</v>
      </c>
      <c r="L7" s="178">
        <f ca="1">HYPERLINK("#"&amp;C7&amp;"!"&amp;ADDRESS(3,COLUMN(노무비목록표!E1),1),COLUMN(노무비목록표!E1))</f>
        <v>5</v>
      </c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8">
        <f ca="1">HYPERLINK("#"&amp;C7&amp;"!"&amp;ADDRESS(3,COLUMN(노무비목록표!G1),1),COLUMN(노무비목록표!G1))</f>
        <v>7</v>
      </c>
    </row>
    <row r="8" spans="2:24" hidden="1" x14ac:dyDescent="0.3">
      <c r="B8" s="171" t="s">
        <v>1400</v>
      </c>
      <c r="C8" s="173" t="str">
        <f ca="1">IF(D8="","경비목록표",MID(D8,FIND("]",D8)+1,LEN(D8)))</f>
        <v>경비목록표</v>
      </c>
      <c r="D8" s="173" t="str">
        <f ca="1">CELL("filename",경비목록표!A1)</f>
        <v>C:\Users\user\AppData\Roaming\Microsoft\Templates\[Xls-2025_0527_182852_633.Tmp]경비목록표</v>
      </c>
      <c r="E8" s="177"/>
      <c r="F8" s="178">
        <f ca="1">HYPERLINK("#"&amp;C8&amp;"!"&amp;ADDRESS(3,COLUMN(경비목록표!B1),1),COLUMN(경비목록표!B1))</f>
        <v>2</v>
      </c>
      <c r="G8" s="178">
        <f ca="1">HYPERLINK("#"&amp;C8&amp;"!"&amp;ADDRESS(3,COLUMN(경비목록표!C1),1),COLUMN(경비목록표!C1))</f>
        <v>3</v>
      </c>
      <c r="H8" s="177"/>
      <c r="I8" s="178">
        <f ca="1">HYPERLINK("#"&amp;C8&amp;"!"&amp;ADDRESS(3,COLUMN(경비목록표!D1),1),COLUMN(경비목록표!D1))</f>
        <v>4</v>
      </c>
      <c r="J8" s="178">
        <f ca="1">HYPERLINK("#"&amp;C8&amp;"!A"&amp;ROW(경비목록표!A4),ROW(경비목록표!A4))</f>
        <v>4</v>
      </c>
      <c r="K8" s="178">
        <f ca="1">HYPERLINK("#"&amp;C8&amp;"!A"&amp;ROW(경비목록표!A14),ROW(경비목록표!A14))</f>
        <v>14</v>
      </c>
      <c r="L8" s="178">
        <f ca="1">HYPERLINK("#"&amp;C8&amp;"!"&amp;ADDRESS(3,COLUMN(경비목록표!E1),1),COLUMN(경비목록표!E1))</f>
        <v>5</v>
      </c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8">
        <f ca="1">HYPERLINK("#"&amp;C8&amp;"!"&amp;ADDRESS(3,COLUMN(경비목록표!G1),1),COLUMN(경비목록표!G1))</f>
        <v>7</v>
      </c>
    </row>
    <row r="9" spans="2:24" hidden="1" x14ac:dyDescent="0.3">
      <c r="B9" s="171" t="s">
        <v>1401</v>
      </c>
      <c r="C9" s="173" t="str">
        <f ca="1">IF(D9="","일식견적목록표",MID(D9,FIND("]",D9)+1,LEN(D9)))</f>
        <v>일식견적목록표</v>
      </c>
      <c r="D9" s="173" t="str">
        <f ca="1">CELL("filename",일식견적목록표!A1)</f>
        <v>C:\Users\user\AppData\Roaming\Microsoft\Templates\[Xls-2025_0527_182852_633.Tmp]일식견적목록표</v>
      </c>
      <c r="E9" s="177"/>
      <c r="F9" s="178">
        <f ca="1">HYPERLINK("#"&amp;C9&amp;"!"&amp;ADDRESS(3,COLUMN(일식견적목록표!B1),1),COLUMN(일식견적목록표!B1))</f>
        <v>2</v>
      </c>
      <c r="G9" s="178">
        <f ca="1">HYPERLINK("#"&amp;C9&amp;"!"&amp;ADDRESS(3,COLUMN(일식견적목록표!C1),1),COLUMN(일식견적목록표!C1))</f>
        <v>3</v>
      </c>
      <c r="H9" s="177"/>
      <c r="I9" s="178">
        <f ca="1">HYPERLINK("#"&amp;C9&amp;"!"&amp;ADDRESS(3,COLUMN(일식견적목록표!D1),1),COLUMN(일식견적목록표!D1))</f>
        <v>4</v>
      </c>
      <c r="J9" s="178">
        <f ca="1">HYPERLINK("#"&amp;C9&amp;"!A"&amp;ROW(일식견적목록표!A4),ROW(일식견적목록표!A4))</f>
        <v>4</v>
      </c>
      <c r="K9" s="178">
        <f ca="1">HYPERLINK("#"&amp;C9&amp;"!A"&amp;ROW(일식견적목록표!A4),ROW(일식견적목록표!A4))</f>
        <v>4</v>
      </c>
      <c r="L9" s="178">
        <f ca="1">HYPERLINK("#"&amp;C9&amp;"!"&amp;ADDRESS(3,COLUMN(일식견적목록표!E1),1),COLUMN(일식견적목록표!E1))</f>
        <v>5</v>
      </c>
      <c r="M9" s="177"/>
      <c r="N9" s="178">
        <f ca="1">HYPERLINK("#"&amp;C9&amp;"!"&amp;ADDRESS(3,COLUMN(일식견적목록표!G1),1),COLUMN(일식견적목록표!G1))</f>
        <v>7</v>
      </c>
      <c r="O9" s="177"/>
      <c r="P9" s="178">
        <f ca="1">HYPERLINK("#"&amp;C9&amp;"!"&amp;ADDRESS(3,COLUMN(일식견적목록표!F1),1),COLUMN(일식견적목록표!F1))</f>
        <v>6</v>
      </c>
      <c r="Q9" s="177"/>
      <c r="R9" s="178">
        <f ca="1">HYPERLINK("#"&amp;C9&amp;"!"&amp;ADDRESS(3,COLUMN(일식견적목록표!H1),1),COLUMN(일식견적목록표!H1))</f>
        <v>8</v>
      </c>
      <c r="S9" s="177"/>
      <c r="T9" s="177"/>
      <c r="U9" s="177"/>
      <c r="V9" s="177"/>
      <c r="W9" s="177"/>
      <c r="X9" s="178">
        <f ca="1">HYPERLINK("#"&amp;C9&amp;"!"&amp;ADDRESS(3,COLUMN(일식견적목록표!J1),1),COLUMN(일식견적목록표!J1))</f>
        <v>10</v>
      </c>
    </row>
    <row r="10" spans="2:24" hidden="1" x14ac:dyDescent="0.3">
      <c r="B10" s="171" t="s">
        <v>1402</v>
      </c>
      <c r="C10" s="173" t="str">
        <f ca="1">IF(D10="","환율및기초자료",MID(D10,FIND("]",D10)+1,LEN(D10)))</f>
        <v>환율및기초자료</v>
      </c>
      <c r="D10" s="173" t="str">
        <f ca="1">CELL("filename",환율및기초자료!A1)</f>
        <v>C:\Users\user\AppData\Roaming\Microsoft\Templates\[Xls-2025_0527_182852_633.Tmp]환율및기초자료</v>
      </c>
      <c r="E10" s="178">
        <f ca="1">HYPERLINK("#"&amp;C10&amp;"!"&amp;ADDRESS(5,COLUMN(환율및기초자료!B1),1),COLUMN(환율및기초자료!B1))</f>
        <v>2</v>
      </c>
      <c r="F10" s="178">
        <f ca="1">HYPERLINK("#"&amp;C10&amp;"!"&amp;ADDRESS(5,COLUMN(환율및기초자료!C1),1),COLUMN(환율및기초자료!C1))</f>
        <v>3</v>
      </c>
      <c r="G10" s="178">
        <f ca="1">HYPERLINK("#"&amp;C10&amp;"!"&amp;ADDRESS(5,COLUMN(환율및기초자료!D1),1),COLUMN(환율및기초자료!D1))</f>
        <v>4</v>
      </c>
      <c r="H10" s="177"/>
      <c r="I10" s="178">
        <f ca="1">HYPERLINK("#"&amp;C10&amp;"!"&amp;ADDRESS(5,COLUMN(환율및기초자료!E1),1),COLUMN(환율및기초자료!E1))</f>
        <v>5</v>
      </c>
      <c r="J10" s="178">
        <f ca="1">HYPERLINK("#"&amp;C10&amp;"!A"&amp;ROW(환율및기초자료!A6),ROW(환율및기초자료!A6))</f>
        <v>6</v>
      </c>
      <c r="K10" s="178">
        <f ca="1">HYPERLINK("#"&amp;C10&amp;"!A"&amp;ROW(환율및기초자료!A15),ROW(환율및기초자료!A15))</f>
        <v>15</v>
      </c>
      <c r="L10" s="178">
        <f ca="1">HYPERLINK("#"&amp;C10&amp;"!"&amp;ADDRESS(5,COLUMN(환율및기초자료!F1),1),COLUMN(환율및기초자료!F1))</f>
        <v>6</v>
      </c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8">
        <f ca="1">HYPERLINK("#"&amp;C10&amp;"!"&amp;ADDRESS(5,COLUMN(환율및기초자료!I1),1),COLUMN(환율및기초자료!I1))</f>
        <v>9</v>
      </c>
    </row>
    <row r="11" spans="2:24" hidden="1" x14ac:dyDescent="0.3">
      <c r="B11" s="171" t="s">
        <v>1403</v>
      </c>
      <c r="C11" s="173" t="str">
        <f ca="1">IF(D11="","중기목록표",MID(D11,FIND("]",D11)+1,LEN(D11)))</f>
        <v>중기목록표</v>
      </c>
      <c r="D11" s="173" t="str">
        <f ca="1">CELL("filename",중기목록표!A1)</f>
        <v>C:\Users\user\AppData\Roaming\Microsoft\Templates\[Xls-2025_0527_182852_633.Tmp]중기목록표</v>
      </c>
      <c r="E11" s="177"/>
      <c r="F11" s="178">
        <f ca="1">HYPERLINK("#"&amp;C11&amp;"!"&amp;ADDRESS(3,COLUMN(중기목록표!B1),1),COLUMN(중기목록표!B1))</f>
        <v>2</v>
      </c>
      <c r="G11" s="178">
        <f ca="1">HYPERLINK("#"&amp;C11&amp;"!"&amp;ADDRESS(3,COLUMN(중기목록표!C1),1),COLUMN(중기목록표!C1))</f>
        <v>3</v>
      </c>
      <c r="H11" s="177"/>
      <c r="I11" s="178">
        <f ca="1">HYPERLINK("#"&amp;C11&amp;"!"&amp;ADDRESS(3,COLUMN(중기목록표!D1),1),COLUMN(중기목록표!D1))</f>
        <v>4</v>
      </c>
      <c r="J11" s="178">
        <f ca="1">HYPERLINK("#"&amp;C11&amp;"!A"&amp;ROW(중기목록표!A4),ROW(중기목록표!A4))</f>
        <v>4</v>
      </c>
      <c r="K11" s="178">
        <f ca="1">HYPERLINK("#"&amp;C11&amp;"!A"&amp;ROW(중기목록표!A18),ROW(중기목록표!A18))</f>
        <v>18</v>
      </c>
      <c r="L11" s="178">
        <f ca="1">HYPERLINK("#"&amp;C11&amp;"!"&amp;ADDRESS(3,COLUMN(중기목록표!E1),1),COLUMN(중기목록표!E1))</f>
        <v>5</v>
      </c>
      <c r="M11" s="177"/>
      <c r="N11" s="178">
        <f ca="1">HYPERLINK("#"&amp;C11&amp;"!"&amp;ADDRESS(3,COLUMN(중기목록표!G1),1),COLUMN(중기목록표!G1))</f>
        <v>7</v>
      </c>
      <c r="O11" s="177"/>
      <c r="P11" s="178">
        <f ca="1">HYPERLINK("#"&amp;C11&amp;"!"&amp;ADDRESS(3,COLUMN(중기목록표!F1),1),COLUMN(중기목록표!F1))</f>
        <v>6</v>
      </c>
      <c r="Q11" s="177"/>
      <c r="R11" s="178">
        <f ca="1">HYPERLINK("#"&amp;C11&amp;"!"&amp;ADDRESS(3,COLUMN(중기목록표!H1),1),COLUMN(중기목록표!H1))</f>
        <v>8</v>
      </c>
      <c r="S11" s="177"/>
      <c r="T11" s="177"/>
      <c r="U11" s="177"/>
      <c r="V11" s="177"/>
      <c r="W11" s="177"/>
      <c r="X11" s="178">
        <f ca="1">HYPERLINK("#"&amp;C11&amp;"!"&amp;ADDRESS(3,COLUMN(중기목록표!J1),1),COLUMN(중기목록표!J1))</f>
        <v>10</v>
      </c>
    </row>
    <row r="12" spans="2:24" hidden="1" x14ac:dyDescent="0.3">
      <c r="B12" s="171" t="s">
        <v>1404</v>
      </c>
      <c r="C12" s="171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</row>
    <row r="13" spans="2:24" hidden="1" x14ac:dyDescent="0.3">
      <c r="B13" s="171" t="s">
        <v>1405</v>
      </c>
      <c r="C13" s="173" t="str">
        <f ca="1">IF(D13="","일위대가목록표",MID(D13,FIND("]",D13)+1,LEN(D13)))</f>
        <v>일위대가목록표</v>
      </c>
      <c r="D13" s="173" t="str">
        <f ca="1">CELL("filename",일위대가목록표!A1)</f>
        <v>C:\Users\user\AppData\Roaming\Microsoft\Templates\[Xls-2025_0527_182852_633.Tmp]일위대가목록표</v>
      </c>
      <c r="E13" s="177"/>
      <c r="F13" s="178">
        <f ca="1">HYPERLINK("#"&amp;C13&amp;"!"&amp;ADDRESS(3,COLUMN(일위대가목록표!B1),1),COLUMN(일위대가목록표!B1))</f>
        <v>2</v>
      </c>
      <c r="G13" s="178">
        <f ca="1">HYPERLINK("#"&amp;C13&amp;"!"&amp;ADDRESS(3,COLUMN(일위대가목록표!C1),1),COLUMN(일위대가목록표!C1))</f>
        <v>3</v>
      </c>
      <c r="H13" s="177"/>
      <c r="I13" s="178">
        <f ca="1">HYPERLINK("#"&amp;C13&amp;"!"&amp;ADDRESS(3,COLUMN(일위대가목록표!D1),1),COLUMN(일위대가목록표!D1))</f>
        <v>4</v>
      </c>
      <c r="J13" s="178">
        <f ca="1">HYPERLINK("#"&amp;C13&amp;"!A"&amp;ROW(일위대가목록표!A4),ROW(일위대가목록표!A4))</f>
        <v>4</v>
      </c>
      <c r="K13" s="178">
        <f ca="1">HYPERLINK("#"&amp;C13&amp;"!A"&amp;ROW(일위대가목록표!A12),ROW(일위대가목록표!A12))</f>
        <v>12</v>
      </c>
      <c r="L13" s="178">
        <f ca="1">HYPERLINK("#"&amp;C13&amp;"!"&amp;ADDRESS(3,COLUMN(일위대가목록표!E1),1),COLUMN(일위대가목록표!E1))</f>
        <v>5</v>
      </c>
      <c r="M13" s="177"/>
      <c r="N13" s="178">
        <f ca="1">HYPERLINK("#"&amp;C13&amp;"!"&amp;ADDRESS(3,COLUMN(일위대가목록표!G1),1),COLUMN(일위대가목록표!G1))</f>
        <v>7</v>
      </c>
      <c r="O13" s="177"/>
      <c r="P13" s="178">
        <f ca="1">HYPERLINK("#"&amp;C13&amp;"!"&amp;ADDRESS(3,COLUMN(일위대가목록표!F1),1),COLUMN(일위대가목록표!F1))</f>
        <v>6</v>
      </c>
      <c r="Q13" s="177"/>
      <c r="R13" s="178">
        <f ca="1">HYPERLINK("#"&amp;C13&amp;"!"&amp;ADDRESS(3,COLUMN(일위대가목록표!H1),1),COLUMN(일위대가목록표!H1))</f>
        <v>8</v>
      </c>
      <c r="S13" s="177"/>
      <c r="T13" s="177"/>
      <c r="U13" s="177"/>
      <c r="V13" s="177"/>
      <c r="W13" s="177"/>
      <c r="X13" s="178">
        <f ca="1">HYPERLINK("#"&amp;C13&amp;"!"&amp;ADDRESS(3,COLUMN(일위대가목록표!J1),1),COLUMN(일위대가목록표!J1))</f>
        <v>10</v>
      </c>
    </row>
    <row r="14" spans="2:24" hidden="1" x14ac:dyDescent="0.3">
      <c r="B14" s="171" t="s">
        <v>1406</v>
      </c>
      <c r="C14" s="173" t="str">
        <f ca="1">IF(D14="","단가산출근거목록표",MID(D14,FIND("]",D14)+1,LEN(D14)))</f>
        <v>단가산출근거목록표</v>
      </c>
      <c r="D14" s="173" t="str">
        <f ca="1">CELL("filename",단가산출근거목록표!A1)</f>
        <v>C:\Users\user\AppData\Roaming\Microsoft\Templates\[Xls-2025_0527_182852_633.Tmp]단가산출근거목록표</v>
      </c>
      <c r="E14" s="177"/>
      <c r="F14" s="178">
        <f ca="1">HYPERLINK("#"&amp;C14&amp;"!"&amp;ADDRESS(3,COLUMN(단가산출근거목록표!B1),1),COLUMN(단가산출근거목록표!B1))</f>
        <v>2</v>
      </c>
      <c r="G14" s="178">
        <f ca="1">HYPERLINK("#"&amp;C14&amp;"!"&amp;ADDRESS(3,COLUMN(단가산출근거목록표!C1),1),COLUMN(단가산출근거목록표!C1))</f>
        <v>3</v>
      </c>
      <c r="H14" s="177"/>
      <c r="I14" s="178">
        <f ca="1">HYPERLINK("#"&amp;C14&amp;"!"&amp;ADDRESS(3,COLUMN(단가산출근거목록표!D1),1),COLUMN(단가산출근거목록표!D1))</f>
        <v>4</v>
      </c>
      <c r="J14" s="178">
        <f ca="1">HYPERLINK("#"&amp;C14&amp;"!A"&amp;ROW(단가산출근거목록표!A4),ROW(단가산출근거목록표!A4))</f>
        <v>4</v>
      </c>
      <c r="K14" s="178">
        <f ca="1">HYPERLINK("#"&amp;C14&amp;"!A"&amp;ROW(단가산출근거목록표!A18),ROW(단가산출근거목록표!A18))</f>
        <v>18</v>
      </c>
      <c r="L14" s="178">
        <f ca="1">HYPERLINK("#"&amp;C14&amp;"!"&amp;ADDRESS(3,COLUMN(단가산출근거목록표!E1),1),COLUMN(단가산출근거목록표!E1))</f>
        <v>5</v>
      </c>
      <c r="M14" s="177"/>
      <c r="N14" s="178">
        <f ca="1">HYPERLINK("#"&amp;C14&amp;"!"&amp;ADDRESS(3,COLUMN(단가산출근거목록표!G1),1),COLUMN(단가산출근거목록표!G1))</f>
        <v>7</v>
      </c>
      <c r="O14" s="177"/>
      <c r="P14" s="178">
        <f ca="1">HYPERLINK("#"&amp;C14&amp;"!"&amp;ADDRESS(3,COLUMN(단가산출근거목록표!F1),1),COLUMN(단가산출근거목록표!F1))</f>
        <v>6</v>
      </c>
      <c r="Q14" s="177"/>
      <c r="R14" s="178">
        <f ca="1">HYPERLINK("#"&amp;C14&amp;"!"&amp;ADDRESS(3,COLUMN(단가산출근거목록표!H1),1),COLUMN(단가산출근거목록표!H1))</f>
        <v>8</v>
      </c>
      <c r="S14" s="177"/>
      <c r="T14" s="177"/>
      <c r="U14" s="177"/>
      <c r="V14" s="177"/>
      <c r="W14" s="177"/>
      <c r="X14" s="178">
        <f ca="1">HYPERLINK("#"&amp;C14&amp;"!"&amp;ADDRESS(3,COLUMN(단가산출근거목록표!J1),1),COLUMN(단가산출근거목록표!J1))</f>
        <v>10</v>
      </c>
    </row>
    <row r="15" spans="2:24" hidden="1" x14ac:dyDescent="0.3">
      <c r="B15" s="171" t="s">
        <v>1407</v>
      </c>
      <c r="C15" s="173" t="str">
        <f ca="1">IF(D15="","자재단가대비표",MID(D15,FIND("]",D15)+1,LEN(D15)))</f>
        <v>자재단가대비표</v>
      </c>
      <c r="D15" s="173" t="str">
        <f ca="1">CELL("filename",자재단가대비표!A1)</f>
        <v>C:\Users\user\AppData\Roaming\Microsoft\Templates\[Xls-2025_0527_182852_633.Tmp]자재단가대비표</v>
      </c>
      <c r="E15" s="177"/>
      <c r="F15" s="178">
        <f ca="1">HYPERLINK("#"&amp;C15&amp;"!"&amp;ADDRESS(4,COLUMN(자재단가대비표!B1),1),COLUMN(자재단가대비표!B1))</f>
        <v>2</v>
      </c>
      <c r="G15" s="178">
        <f ca="1">HYPERLINK("#"&amp;C15&amp;"!"&amp;ADDRESS(4,COLUMN(자재단가대비표!C1),1),COLUMN(자재단가대비표!C1))</f>
        <v>3</v>
      </c>
      <c r="H15" s="177"/>
      <c r="I15" s="178">
        <f ca="1">HYPERLINK("#"&amp;C15&amp;"!"&amp;ADDRESS(4,COLUMN(자재단가대비표!D1),1),COLUMN(자재단가대비표!D1))</f>
        <v>4</v>
      </c>
      <c r="J15" s="178">
        <f ca="1">HYPERLINK("#"&amp;C15&amp;"!A"&amp;ROW(자재단가대비표!A5),ROW(자재단가대비표!A5))</f>
        <v>5</v>
      </c>
      <c r="K15" s="178">
        <f ca="1">HYPERLINK("#"&amp;C15&amp;"!A"&amp;ROW(자재단가대비표!A11),ROW(자재단가대비표!A11))</f>
        <v>11</v>
      </c>
      <c r="L15" s="178">
        <f ca="1">HYPERLINK("#"&amp;C15&amp;"!"&amp;ADDRESS(4,COLUMN(자재단가대비표!E1),1),COLUMN(자재단가대비표!E1))</f>
        <v>5</v>
      </c>
      <c r="M15" s="178">
        <f ca="1">HYPERLINK("#"&amp;C15&amp;"!"&amp;ADDRESS(4,COLUMN(자재단가대비표!F1),1),COLUMN(자재단가대비표!F1))</f>
        <v>6</v>
      </c>
      <c r="N15" s="178">
        <f ca="1">HYPERLINK("#"&amp;C15&amp;"!"&amp;ADDRESS(4,COLUMN(자재단가대비표!G1),1),COLUMN(자재단가대비표!G1))</f>
        <v>7</v>
      </c>
      <c r="O15" s="178">
        <f ca="1">HYPERLINK("#"&amp;C15&amp;"!"&amp;ADDRESS(4,COLUMN(자재단가대비표!H1),1),COLUMN(자재단가대비표!H1))</f>
        <v>8</v>
      </c>
      <c r="P15" s="178">
        <f ca="1">HYPERLINK("#"&amp;C15&amp;"!"&amp;ADDRESS(4,COLUMN(자재단가대비표!I1),1),COLUMN(자재단가대비표!I1))</f>
        <v>9</v>
      </c>
      <c r="Q15" s="178">
        <f ca="1">HYPERLINK("#"&amp;C15&amp;"!"&amp;ADDRESS(4,COLUMN(자재단가대비표!J1),1),COLUMN(자재단가대비표!J1))</f>
        <v>10</v>
      </c>
      <c r="R15" s="178">
        <f ca="1">HYPERLINK("#"&amp;C15&amp;"!"&amp;ADDRESS(4,COLUMN(자재단가대비표!K1),1),COLUMN(자재단가대비표!K1))</f>
        <v>11</v>
      </c>
      <c r="S15" s="178">
        <f ca="1">HYPERLINK("#"&amp;C15&amp;"!"&amp;ADDRESS(4,COLUMN(자재단가대비표!L1),1),COLUMN(자재단가대비표!L1))</f>
        <v>12</v>
      </c>
      <c r="T15" s="178">
        <f ca="1">HYPERLINK("#"&amp;C15&amp;"!"&amp;ADDRESS(4,COLUMN(자재단가대비표!M1),1),COLUMN(자재단가대비표!M1))</f>
        <v>13</v>
      </c>
      <c r="U15" s="178">
        <f ca="1">HYPERLINK("#"&amp;C15&amp;"!"&amp;ADDRESS(4,COLUMN(자재단가대비표!N1),1),COLUMN(자재단가대비표!N1))</f>
        <v>14</v>
      </c>
      <c r="V15" s="178">
        <f ca="1">HYPERLINK("#"&amp;C15&amp;"!"&amp;ADDRESS(4,COLUMN(자재단가대비표!O1),1),COLUMN(자재단가대비표!O1))</f>
        <v>15</v>
      </c>
      <c r="W15" s="178">
        <f ca="1">HYPERLINK("#"&amp;C15&amp;"!"&amp;ADDRESS(4,COLUMN(자재단가대비표!P1),1),COLUMN(자재단가대비표!P1))</f>
        <v>16</v>
      </c>
      <c r="X15" s="178">
        <f ca="1">HYPERLINK("#"&amp;C15&amp;"!"&amp;ADDRESS(4,COLUMN(자재단가대비표!R1),1),COLUMN(자재단가대비표!R1))</f>
        <v>18</v>
      </c>
    </row>
    <row r="16" spans="2:24" hidden="1" x14ac:dyDescent="0.3">
      <c r="B16" s="171" t="s">
        <v>1408</v>
      </c>
      <c r="C16" s="173" t="str">
        <f ca="1">IF(D16="","설계변경내역서",MID(D16,FIND("]",D16)+1,LEN(D16)))</f>
        <v>설계변경내역서</v>
      </c>
      <c r="D16" s="173" t="str">
        <f ca="1">CELL("filename",설계변경내역서!A1)</f>
        <v>C:\Users\user\AppData\Roaming\Microsoft\Templates\[Xls-2025_0527_182852_633.Tmp]설계변경내역서</v>
      </c>
      <c r="E16" s="178">
        <f ca="1">HYPERLINK("#"&amp;C16&amp;"!"&amp;ADDRESS(4,COLUMN(설계변경내역서!A1),1),COLUMN(설계변경내역서!A1))</f>
        <v>1</v>
      </c>
      <c r="F16" s="178">
        <f ca="1">HYPERLINK("#"&amp;C16&amp;"!"&amp;ADDRESS(4,COLUMN(설계변경내역서!B1),1),COLUMN(설계변경내역서!B1))</f>
        <v>2</v>
      </c>
      <c r="G16" s="178">
        <f ca="1">HYPERLINK("#"&amp;C16&amp;"!"&amp;ADDRESS(4,COLUMN(설계변경내역서!C1),1),COLUMN(설계변경내역서!C1))</f>
        <v>3</v>
      </c>
      <c r="H16" s="178">
        <f ca="1">HYPERLINK("#"&amp;C16&amp;"!"&amp;ADDRESS(4,COLUMN(설계변경내역서!D1),1),COLUMN(설계변경내역서!D1))</f>
        <v>4</v>
      </c>
      <c r="I16" s="178">
        <f ca="1">HYPERLINK("#"&amp;C16&amp;"!"&amp;ADDRESS(4,COLUMN(설계변경내역서!E1),1),COLUMN(설계변경내역서!E1))</f>
        <v>5</v>
      </c>
      <c r="J16" s="178">
        <f ca="1">HYPERLINK("#"&amp;C16&amp;"!A"&amp;ROW(설계변경내역서!A5),ROW(설계변경내역서!A5))</f>
        <v>5</v>
      </c>
      <c r="K16" s="178">
        <f ca="1">HYPERLINK("#"&amp;C16&amp;"!A"&amp;ROW(설계변경내역서!A266),ROW(설계변경내역서!A266))</f>
        <v>266</v>
      </c>
      <c r="L16" s="178">
        <f ca="1">HYPERLINK("#"&amp;C16&amp;"!"&amp;ADDRESS(4,COLUMN(설계변경내역서!H1),1),COLUMN(설계변경내역서!H1))</f>
        <v>8</v>
      </c>
      <c r="M16" s="178">
        <f ca="1">HYPERLINK("#"&amp;C16&amp;"!"&amp;ADDRESS(4,COLUMN(설계변경내역서!I1),1),COLUMN(설계변경내역서!I1))</f>
        <v>9</v>
      </c>
      <c r="N16" s="178">
        <f ca="1">HYPERLINK("#"&amp;C16&amp;"!"&amp;ADDRESS(4,COLUMN(설계변경내역서!L1),1),COLUMN(설계변경내역서!L1))</f>
        <v>12</v>
      </c>
      <c r="O16" s="178">
        <f ca="1">HYPERLINK("#"&amp;C16&amp;"!"&amp;ADDRESS(4,COLUMN(설계변경내역서!M1),1),COLUMN(설계변경내역서!M1))</f>
        <v>13</v>
      </c>
      <c r="P16" s="178">
        <f ca="1">HYPERLINK("#"&amp;C16&amp;"!"&amp;ADDRESS(4,COLUMN(설계변경내역서!J1),1),COLUMN(설계변경내역서!J1))</f>
        <v>10</v>
      </c>
      <c r="Q16" s="178">
        <f ca="1">HYPERLINK("#"&amp;C16&amp;"!"&amp;ADDRESS(4,COLUMN(설계변경내역서!K1),1),COLUMN(설계변경내역서!K1))</f>
        <v>11</v>
      </c>
      <c r="R16" s="178">
        <f ca="1">HYPERLINK("#"&amp;C16&amp;"!"&amp;ADDRESS(4,COLUMN(설계변경내역서!N1),1),COLUMN(설계변경내역서!N1))</f>
        <v>14</v>
      </c>
      <c r="S16" s="178">
        <f ca="1">HYPERLINK("#"&amp;C16&amp;"!"&amp;ADDRESS(4,COLUMN(설계변경내역서!O1),1),COLUMN(설계변경내역서!O1))</f>
        <v>15</v>
      </c>
      <c r="T16" s="177"/>
      <c r="U16" s="177"/>
      <c r="V16" s="177"/>
      <c r="W16" s="177"/>
      <c r="X16" s="178">
        <f ca="1">HYPERLINK("#"&amp;C16&amp;"!"&amp;ADDRESS(4,COLUMN(설계변경내역서!O1),1),COLUMN(설계변경내역서!O1))</f>
        <v>15</v>
      </c>
    </row>
    <row r="17" spans="2:24" hidden="1" x14ac:dyDescent="0.3">
      <c r="B17" s="171" t="s">
        <v>1409</v>
      </c>
      <c r="C17" s="173" t="str">
        <f ca="1">IF(D17="","총괄내역서",MID(D17,FIND("]",D17)+1,LEN(D17)))</f>
        <v>총괄내역서</v>
      </c>
      <c r="D17" s="173" t="str">
        <f ca="1">CELL("filename",총괄내역서!A1)</f>
        <v>C:\Users\user\AppData\Roaming\Microsoft\Templates\[Xls-2025_0527_182852_633.Tmp]총괄내역서</v>
      </c>
      <c r="E17" s="178">
        <f ca="1">HYPERLINK("#"&amp;C17&amp;"!"&amp;ADDRESS(3,COLUMN(총괄내역서!A1),1),COLUMN(총괄내역서!A1))</f>
        <v>1</v>
      </c>
      <c r="F17" s="178">
        <f ca="1">HYPERLINK("#"&amp;C17&amp;"!"&amp;ADDRESS(3,COLUMN(총괄내역서!B1),1),COLUMN(총괄내역서!B1))</f>
        <v>2</v>
      </c>
      <c r="G17" s="178">
        <f ca="1">HYPERLINK("#"&amp;C17&amp;"!"&amp;ADDRESS(3,COLUMN(총괄내역서!C1),1),COLUMN(총괄내역서!C1))</f>
        <v>3</v>
      </c>
      <c r="H17" s="177"/>
      <c r="I17" s="178">
        <f ca="1">HYPERLINK("#"&amp;C17&amp;"!"&amp;ADDRESS(3,COLUMN(총괄내역서!E1),1),COLUMN(총괄내역서!E1))</f>
        <v>5</v>
      </c>
      <c r="J17" s="178">
        <f ca="1">HYPERLINK("#"&amp;C17&amp;"!A"&amp;ROW(총괄내역서!A4),ROW(총괄내역서!A4))</f>
        <v>4</v>
      </c>
      <c r="K17" s="178">
        <f ca="1">HYPERLINK("#"&amp;C17&amp;"!A"&amp;ROW(총괄내역서!A77),ROW(총괄내역서!A77))</f>
        <v>77</v>
      </c>
      <c r="L17" s="178">
        <f ca="1">HYPERLINK("#"&amp;C17&amp;"!"&amp;ADDRESS(3,COLUMN(총괄내역서!D1),1),COLUMN(총괄내역서!D1))</f>
        <v>4</v>
      </c>
      <c r="M17" s="178">
        <f ca="1">HYPERLINK("#"&amp;C17&amp;"!"&amp;ADDRESS(3,COLUMN(총괄내역서!I1),1),COLUMN(총괄내역서!I1))</f>
        <v>9</v>
      </c>
      <c r="N17" s="178">
        <f ca="1">HYPERLINK("#"&amp;C17&amp;"!"&amp;ADDRESS(3,COLUMN(총괄내역서!M1),1),COLUMN(총괄내역서!M1))</f>
        <v>13</v>
      </c>
      <c r="O17" s="178">
        <f ca="1">HYPERLINK("#"&amp;C17&amp;"!"&amp;ADDRESS(3,COLUMN(총괄내역서!N1),1),COLUMN(총괄내역서!N1))</f>
        <v>14</v>
      </c>
      <c r="P17" s="178">
        <f ca="1">HYPERLINK("#"&amp;C17&amp;"!"&amp;ADDRESS(3,COLUMN(총괄내역서!O1),1),COLUMN(총괄내역서!O1))</f>
        <v>15</v>
      </c>
      <c r="Q17" s="178">
        <f ca="1">HYPERLINK("#"&amp;C17&amp;"!"&amp;ADDRESS(3,COLUMN(총괄내역서!P1),1),COLUMN(총괄내역서!P1))</f>
        <v>16</v>
      </c>
      <c r="R17" s="177"/>
      <c r="S17" s="177"/>
      <c r="T17" s="177"/>
      <c r="U17" s="177"/>
      <c r="V17" s="177"/>
      <c r="W17" s="177"/>
      <c r="X17" s="178">
        <f ca="1">HYPERLINK("#"&amp;C17&amp;"!"&amp;ADDRESS(3,COLUMN(총괄내역서!H1),1),COLUMN(총괄내역서!H1))</f>
        <v>8</v>
      </c>
    </row>
    <row r="18" spans="2:24" hidden="1" x14ac:dyDescent="0.3">
      <c r="B18" s="171" t="s">
        <v>1410</v>
      </c>
      <c r="C18" s="173" t="str">
        <f ca="1">IF(D18="","중기사용료",MID(D18,FIND("]",D18)+1,LEN(D18)))</f>
        <v>중기사용료</v>
      </c>
      <c r="D18" s="173" t="str">
        <f ca="1">CELL("filename",중기사용료!A1)</f>
        <v>C:\Users\user\AppData\Roaming\Microsoft\Templates\[Xls-2025_0527_182852_633.Tmp]중기사용료</v>
      </c>
      <c r="E18" s="177"/>
      <c r="F18" s="178">
        <f ca="1">HYPERLINK("#"&amp;C18&amp;"!"&amp;ADDRESS(4,COLUMN(중기사용료!A1),1),COLUMN(중기사용료!A1))</f>
        <v>1</v>
      </c>
      <c r="G18" s="178">
        <f ca="1">HYPERLINK("#"&amp;C18&amp;"!"&amp;ADDRESS(4,COLUMN(중기사용료!B1),1),COLUMN(중기사용료!B1))</f>
        <v>2</v>
      </c>
      <c r="H18" s="178">
        <f ca="1">HYPERLINK("#"&amp;C18&amp;"!"&amp;ADDRESS(4,COLUMN(중기사용료!C1),1),COLUMN(중기사용료!C1))</f>
        <v>3</v>
      </c>
      <c r="I18" s="178">
        <f ca="1">HYPERLINK("#"&amp;C18&amp;"!"&amp;ADDRESS(4,COLUMN(중기사용료!D1),1),COLUMN(중기사용료!D1))</f>
        <v>4</v>
      </c>
      <c r="J18" s="178">
        <f ca="1">HYPERLINK("#"&amp;C18&amp;"!A"&amp;ROW(중기사용료!A5),ROW(중기사용료!A5))</f>
        <v>5</v>
      </c>
      <c r="K18" s="178">
        <f ca="1">HYPERLINK("#"&amp;C18&amp;"!A"&amp;ROW(중기사용료!A104),ROW(중기사용료!A104))</f>
        <v>104</v>
      </c>
      <c r="L18" s="178">
        <f ca="1">HYPERLINK("#"&amp;C18&amp;"!"&amp;ADDRESS(4,COLUMN(중기사용료!E1),1),COLUMN(중기사용료!E1))</f>
        <v>5</v>
      </c>
      <c r="M18" s="178">
        <f ca="1">HYPERLINK("#"&amp;C18&amp;"!"&amp;ADDRESS(4,COLUMN(중기사용료!F1),1),COLUMN(중기사용료!F1))</f>
        <v>6</v>
      </c>
      <c r="N18" s="178">
        <f ca="1">HYPERLINK("#"&amp;C18&amp;"!"&amp;ADDRESS(4,COLUMN(중기사용료!I1),1),COLUMN(중기사용료!I1))</f>
        <v>9</v>
      </c>
      <c r="O18" s="178">
        <f ca="1">HYPERLINK("#"&amp;C18&amp;"!"&amp;ADDRESS(4,COLUMN(중기사용료!J1),1),COLUMN(중기사용료!J1))</f>
        <v>10</v>
      </c>
      <c r="P18" s="178">
        <f ca="1">HYPERLINK("#"&amp;C18&amp;"!"&amp;ADDRESS(4,COLUMN(중기사용료!G1),1),COLUMN(중기사용료!G1))</f>
        <v>7</v>
      </c>
      <c r="Q18" s="178">
        <f ca="1">HYPERLINK("#"&amp;C18&amp;"!"&amp;ADDRESS(4,COLUMN(중기사용료!H1),1),COLUMN(중기사용료!H1))</f>
        <v>8</v>
      </c>
      <c r="R18" s="178">
        <f ca="1">HYPERLINK("#"&amp;C18&amp;"!"&amp;ADDRESS(4,COLUMN(중기사용료!K1),1),COLUMN(중기사용료!K1))</f>
        <v>11</v>
      </c>
      <c r="S18" s="178">
        <f ca="1">HYPERLINK("#"&amp;C18&amp;"!"&amp;ADDRESS(4,COLUMN(중기사용료!L1),1),COLUMN(중기사용료!L1))</f>
        <v>12</v>
      </c>
      <c r="T18" s="177"/>
      <c r="U18" s="177"/>
      <c r="V18" s="177"/>
      <c r="W18" s="177"/>
      <c r="X18" s="178">
        <f ca="1">HYPERLINK("#"&amp;C18&amp;"!"&amp;ADDRESS(4,COLUMN(중기사용료!N1),1),COLUMN(중기사용료!N1))</f>
        <v>14</v>
      </c>
    </row>
    <row r="19" spans="2:24" hidden="1" x14ac:dyDescent="0.3">
      <c r="B19" s="171" t="s">
        <v>1411</v>
      </c>
      <c r="C19" s="173" t="str">
        <f ca="1">IF(D19="","일위대가표",MID(D19,FIND("]",D19)+1,LEN(D19)))</f>
        <v>일위대가표</v>
      </c>
      <c r="D19" s="173" t="str">
        <f ca="1">CELL("filename",일위대가표!A1)</f>
        <v>C:\Users\user\AppData\Roaming\Microsoft\Templates\[Xls-2025_0527_182852_633.Tmp]일위대가표</v>
      </c>
      <c r="E19" s="177"/>
      <c r="F19" s="178">
        <f ca="1">HYPERLINK("#"&amp;C19&amp;"!"&amp;ADDRESS(4,COLUMN(일위대가표!A1),1),COLUMN(일위대가표!A1))</f>
        <v>1</v>
      </c>
      <c r="G19" s="178">
        <f ca="1">HYPERLINK("#"&amp;C19&amp;"!"&amp;ADDRESS(4,COLUMN(일위대가표!B1),1),COLUMN(일위대가표!B1))</f>
        <v>2</v>
      </c>
      <c r="H19" s="178">
        <f ca="1">HYPERLINK("#"&amp;C19&amp;"!"&amp;ADDRESS(4,COLUMN(일위대가표!C1),1),COLUMN(일위대가표!C1))</f>
        <v>3</v>
      </c>
      <c r="I19" s="178">
        <f ca="1">HYPERLINK("#"&amp;C19&amp;"!"&amp;ADDRESS(4,COLUMN(일위대가표!D1),1),COLUMN(일위대가표!D1))</f>
        <v>4</v>
      </c>
      <c r="J19" s="178">
        <f ca="1">HYPERLINK("#"&amp;C19&amp;"!A"&amp;ROW(일위대가표!A5),ROW(일위대가표!A5))</f>
        <v>5</v>
      </c>
      <c r="K19" s="178">
        <f ca="1">HYPERLINK("#"&amp;C19&amp;"!A"&amp;ROW(일위대가표!A76),ROW(일위대가표!A76))</f>
        <v>76</v>
      </c>
      <c r="L19" s="178">
        <f ca="1">HYPERLINK("#"&amp;C19&amp;"!"&amp;ADDRESS(4,COLUMN(일위대가표!E1),1),COLUMN(일위대가표!E1))</f>
        <v>5</v>
      </c>
      <c r="M19" s="178">
        <f ca="1">HYPERLINK("#"&amp;C19&amp;"!"&amp;ADDRESS(4,COLUMN(일위대가표!F1),1),COLUMN(일위대가표!F1))</f>
        <v>6</v>
      </c>
      <c r="N19" s="178">
        <f ca="1">HYPERLINK("#"&amp;C19&amp;"!"&amp;ADDRESS(4,COLUMN(일위대가표!I1),1),COLUMN(일위대가표!I1))</f>
        <v>9</v>
      </c>
      <c r="O19" s="178">
        <f ca="1">HYPERLINK("#"&amp;C19&amp;"!"&amp;ADDRESS(4,COLUMN(일위대가표!J1),1),COLUMN(일위대가표!J1))</f>
        <v>10</v>
      </c>
      <c r="P19" s="178">
        <f ca="1">HYPERLINK("#"&amp;C19&amp;"!"&amp;ADDRESS(4,COLUMN(일위대가표!G1),1),COLUMN(일위대가표!G1))</f>
        <v>7</v>
      </c>
      <c r="Q19" s="178">
        <f ca="1">HYPERLINK("#"&amp;C19&amp;"!"&amp;ADDRESS(4,COLUMN(일위대가표!H1),1),COLUMN(일위대가표!H1))</f>
        <v>8</v>
      </c>
      <c r="R19" s="178">
        <f ca="1">HYPERLINK("#"&amp;C19&amp;"!"&amp;ADDRESS(4,COLUMN(일위대가표!K1),1),COLUMN(일위대가표!K1))</f>
        <v>11</v>
      </c>
      <c r="S19" s="178">
        <f ca="1">HYPERLINK("#"&amp;C19&amp;"!"&amp;ADDRESS(4,COLUMN(일위대가표!L1),1),COLUMN(일위대가표!L1))</f>
        <v>12</v>
      </c>
      <c r="T19" s="177"/>
      <c r="U19" s="177"/>
      <c r="V19" s="177"/>
      <c r="W19" s="177"/>
      <c r="X19" s="178">
        <f ca="1">HYPERLINK("#"&amp;C19&amp;"!"&amp;ADDRESS(4,COLUMN(일위대가표!N1),1),COLUMN(일위대가표!N1))</f>
        <v>14</v>
      </c>
    </row>
    <row r="20" spans="2:24" hidden="1" x14ac:dyDescent="0.3">
      <c r="B20" s="171" t="s">
        <v>1412</v>
      </c>
      <c r="C20" s="173" t="str">
        <f ca="1">IF(D20="","단가산출근거",MID(D20,FIND("]",D20)+1,LEN(D20)))</f>
        <v>단가산출근거</v>
      </c>
      <c r="D20" s="173" t="str">
        <f ca="1">CELL("filename",단가산출근거!A1)</f>
        <v>C:\Users\user\AppData\Roaming\Microsoft\Templates\[Xls-2025_0527_182852_633.Tmp]단가산출근거</v>
      </c>
      <c r="E20" s="178">
        <f ca="1">HYPERLINK("#"&amp;C20&amp;"!"&amp;ADDRESS(4,COLUMN(단가산출근거!A1),1),COLUMN(단가산출근거!A1))</f>
        <v>1</v>
      </c>
      <c r="F20" s="178">
        <f ca="1">HYPERLINK("#"&amp;C20&amp;"!"&amp;ADDRESS(4,COLUMN(단가산출근거!B1),1),COLUMN(단가산출근거!B1))</f>
        <v>2</v>
      </c>
      <c r="G20" s="177"/>
      <c r="H20" s="177"/>
      <c r="I20" s="177"/>
      <c r="J20" s="178">
        <f ca="1">HYPERLINK("#"&amp;C20&amp;"!A"&amp;ROW(단가산출근거!A5),ROW(단가산출근거!A5))</f>
        <v>5</v>
      </c>
      <c r="K20" s="178">
        <f ca="1">HYPERLINK("#"&amp;C20&amp;"!A"&amp;ROW(단가산출근거!A1111),ROW(단가산출근거!A1111))</f>
        <v>1111</v>
      </c>
      <c r="L20" s="178">
        <f ca="1">HYPERLINK("#"&amp;C20&amp;"!"&amp;ADDRESS(4,COLUMN(단가산출근거!C1),1),COLUMN(단가산출근거!C1))</f>
        <v>3</v>
      </c>
      <c r="M20" s="177"/>
      <c r="N20" s="178">
        <f ca="1">HYPERLINK("#"&amp;C20&amp;"!"&amp;ADDRESS(4,COLUMN(단가산출근거!E1),1),COLUMN(단가산출근거!E1))</f>
        <v>5</v>
      </c>
      <c r="O20" s="177"/>
      <c r="P20" s="178">
        <f ca="1">HYPERLINK("#"&amp;C20&amp;"!"&amp;ADDRESS(4,COLUMN(단가산출근거!D1),1),COLUMN(단가산출근거!D1))</f>
        <v>4</v>
      </c>
      <c r="Q20" s="177"/>
      <c r="R20" s="178">
        <f ca="1">HYPERLINK("#"&amp;C20&amp;"!"&amp;ADDRESS(4,COLUMN(단가산출근거!F1),1),COLUMN(단가산출근거!F1))</f>
        <v>6</v>
      </c>
      <c r="S20" s="177"/>
      <c r="T20" s="177"/>
      <c r="U20" s="177"/>
      <c r="V20" s="177"/>
      <c r="W20" s="177"/>
      <c r="X20" s="178">
        <f ca="1">HYPERLINK("#"&amp;C20&amp;"!"&amp;ADDRESS(4,COLUMN(단가산출근거!G1),1),COLUMN(단가산출근거!G1))</f>
        <v>7</v>
      </c>
    </row>
    <row r="21" spans="2:24" hidden="1" x14ac:dyDescent="0.3">
      <c r="B21" s="171" t="s">
        <v>1413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</row>
    <row r="22" spans="2:24" hidden="1" x14ac:dyDescent="0.3">
      <c r="B22" s="171" t="s">
        <v>1414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</row>
    <row r="23" spans="2:24" hidden="1" x14ac:dyDescent="0.3">
      <c r="B23" s="171" t="s">
        <v>1415</v>
      </c>
      <c r="C23" s="171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</row>
    <row r="24" spans="2:24" hidden="1" x14ac:dyDescent="0.3">
      <c r="B24" s="169" t="s">
        <v>1416</v>
      </c>
      <c r="D24" s="176">
        <f>ROW(C33)</f>
        <v>33</v>
      </c>
    </row>
    <row r="25" spans="2:24" hidden="1" x14ac:dyDescent="0.3">
      <c r="B25" s="171" t="s">
        <v>1417</v>
      </c>
      <c r="C25" s="171" t="s">
        <v>1418</v>
      </c>
    </row>
    <row r="26" spans="2:24" hidden="1" x14ac:dyDescent="0.3">
      <c r="B26" s="171" t="s">
        <v>1419</v>
      </c>
      <c r="C26" s="171" t="s">
        <v>721</v>
      </c>
    </row>
    <row r="27" spans="2:24" hidden="1" x14ac:dyDescent="0.3">
      <c r="B27" s="171" t="s">
        <v>1420</v>
      </c>
      <c r="C27" s="171" t="s">
        <v>123</v>
      </c>
    </row>
    <row r="28" spans="2:24" hidden="1" x14ac:dyDescent="0.3">
      <c r="B28" s="171" t="s">
        <v>1421</v>
      </c>
      <c r="C28" s="171" t="s">
        <v>1422</v>
      </c>
    </row>
    <row r="29" spans="2:24" hidden="1" x14ac:dyDescent="0.3">
      <c r="B29" s="171" t="s">
        <v>1423</v>
      </c>
      <c r="C29" s="171" t="s">
        <v>102</v>
      </c>
    </row>
    <row r="30" spans="2:24" hidden="1" x14ac:dyDescent="0.3">
      <c r="B30" s="171" t="s">
        <v>1424</v>
      </c>
      <c r="C30" s="174" t="s">
        <v>1425</v>
      </c>
    </row>
    <row r="31" spans="2:24" hidden="1" x14ac:dyDescent="0.3">
      <c r="B31" s="171" t="s">
        <v>1426</v>
      </c>
      <c r="C31" s="171" t="s">
        <v>102</v>
      </c>
    </row>
    <row r="32" spans="2:24" hidden="1" x14ac:dyDescent="0.3">
      <c r="B32" s="171" t="s">
        <v>1427</v>
      </c>
      <c r="C32" s="171" t="s">
        <v>107</v>
      </c>
    </row>
    <row r="33" spans="2:10" hidden="1" x14ac:dyDescent="0.3">
      <c r="B33" s="169" t="s">
        <v>1428</v>
      </c>
      <c r="D33" s="176">
        <f>ROW(C52)</f>
        <v>52</v>
      </c>
    </row>
    <row r="34" spans="2:10" hidden="1" x14ac:dyDescent="0.3">
      <c r="B34" s="171" t="s">
        <v>1429</v>
      </c>
      <c r="C34" s="171" t="s">
        <v>107</v>
      </c>
      <c r="D34" s="171" t="s">
        <v>102</v>
      </c>
      <c r="E34" s="171" t="s">
        <v>107</v>
      </c>
      <c r="F34" s="171" t="s">
        <v>1422</v>
      </c>
      <c r="G34" s="171" t="s">
        <v>1422</v>
      </c>
      <c r="H34" s="171" t="s">
        <v>1422</v>
      </c>
    </row>
    <row r="35" spans="2:10" hidden="1" x14ac:dyDescent="0.3">
      <c r="B35" s="171" t="s">
        <v>1430</v>
      </c>
      <c r="C35" s="175">
        <f>환율및기초자료!C3</f>
        <v>1466</v>
      </c>
      <c r="D35" s="175">
        <f>환율및기초자료!D3</f>
        <v>1466</v>
      </c>
      <c r="E35" s="175">
        <f>환율및기초자료!C3</f>
        <v>1466</v>
      </c>
      <c r="F35" s="175">
        <f>환율및기초자료!D3</f>
        <v>1466</v>
      </c>
      <c r="G35" s="175">
        <f>환율및기초자료!E3</f>
        <v>1000</v>
      </c>
      <c r="H35" s="175">
        <f>환율및기초자료!E3</f>
        <v>1000</v>
      </c>
      <c r="I35" s="175">
        <f>환율및기초자료!G3</f>
        <v>1000</v>
      </c>
      <c r="J35" s="175">
        <f>환율및기초자료!G3</f>
        <v>1000</v>
      </c>
    </row>
    <row r="36" spans="2:10" hidden="1" x14ac:dyDescent="0.3">
      <c r="B36" s="171" t="s">
        <v>1431</v>
      </c>
      <c r="C36" s="174" t="s">
        <v>1432</v>
      </c>
    </row>
    <row r="37" spans="2:10" hidden="1" x14ac:dyDescent="0.3">
      <c r="B37" s="171" t="s">
        <v>1433</v>
      </c>
      <c r="C37" s="171" t="s">
        <v>1434</v>
      </c>
      <c r="D37" s="171"/>
      <c r="E37" s="171"/>
      <c r="F37" s="171"/>
      <c r="G37" s="171"/>
      <c r="H37" s="171"/>
    </row>
    <row r="38" spans="2:10" hidden="1" x14ac:dyDescent="0.3">
      <c r="B38" s="171" t="s">
        <v>1435</v>
      </c>
      <c r="C38" s="171" t="s">
        <v>1436</v>
      </c>
      <c r="D38" s="171"/>
      <c r="E38" s="171"/>
      <c r="F38" s="171"/>
      <c r="G38" s="171"/>
      <c r="H38" s="171"/>
    </row>
    <row r="39" spans="2:10" hidden="1" x14ac:dyDescent="0.3">
      <c r="B39" s="171" t="s">
        <v>1437</v>
      </c>
      <c r="C39" s="171" t="s">
        <v>102</v>
      </c>
    </row>
    <row r="40" spans="2:10" hidden="1" x14ac:dyDescent="0.3">
      <c r="B40" s="171" t="s">
        <v>1438</v>
      </c>
      <c r="C40" s="171" t="s">
        <v>1422</v>
      </c>
    </row>
    <row r="41" spans="2:10" hidden="1" x14ac:dyDescent="0.3">
      <c r="B41" s="171" t="s">
        <v>1439</v>
      </c>
      <c r="C41" s="171" t="s">
        <v>1422</v>
      </c>
    </row>
    <row r="42" spans="2:10" hidden="1" x14ac:dyDescent="0.3">
      <c r="B42" s="171" t="s">
        <v>1440</v>
      </c>
      <c r="C42" s="171" t="s">
        <v>102</v>
      </c>
    </row>
    <row r="43" spans="2:10" hidden="1" x14ac:dyDescent="0.3">
      <c r="B43" s="171" t="s">
        <v>1441</v>
      </c>
      <c r="C43" s="171" t="s">
        <v>102</v>
      </c>
    </row>
    <row r="44" spans="2:10" hidden="1" x14ac:dyDescent="0.3">
      <c r="B44" s="171" t="s">
        <v>1442</v>
      </c>
      <c r="C44" s="171" t="s">
        <v>107</v>
      </c>
    </row>
    <row r="45" spans="2:10" hidden="1" x14ac:dyDescent="0.3">
      <c r="B45" s="171" t="s">
        <v>1443</v>
      </c>
      <c r="C45" s="174" t="s">
        <v>1425</v>
      </c>
    </row>
    <row r="46" spans="2:10" hidden="1" x14ac:dyDescent="0.3">
      <c r="B46" s="171" t="s">
        <v>1444</v>
      </c>
      <c r="C46" s="174" t="s">
        <v>1425</v>
      </c>
    </row>
    <row r="47" spans="2:10" hidden="1" x14ac:dyDescent="0.3">
      <c r="B47" s="171" t="s">
        <v>1445</v>
      </c>
      <c r="C47" s="174" t="s">
        <v>1425</v>
      </c>
    </row>
    <row r="48" spans="2:10" hidden="1" x14ac:dyDescent="0.3">
      <c r="B48" s="171" t="s">
        <v>1446</v>
      </c>
      <c r="C48" s="174" t="s">
        <v>1432</v>
      </c>
    </row>
    <row r="49" spans="2:6" hidden="1" x14ac:dyDescent="0.3">
      <c r="B49" s="171" t="s">
        <v>1447</v>
      </c>
      <c r="C49" s="171" t="s">
        <v>1448</v>
      </c>
    </row>
    <row r="50" spans="2:6" hidden="1" x14ac:dyDescent="0.3">
      <c r="B50" s="171" t="s">
        <v>1449</v>
      </c>
      <c r="C50" s="174" t="s">
        <v>1432</v>
      </c>
    </row>
    <row r="51" spans="2:6" hidden="1" x14ac:dyDescent="0.3">
      <c r="B51" s="171" t="s">
        <v>1450</v>
      </c>
      <c r="C51" s="171"/>
    </row>
    <row r="52" spans="2:6" hidden="1" x14ac:dyDescent="0.3">
      <c r="B52" s="169" t="s">
        <v>1451</v>
      </c>
      <c r="D52" s="176">
        <f>ROW(C75)</f>
        <v>75</v>
      </c>
    </row>
    <row r="53" spans="2:6" hidden="1" x14ac:dyDescent="0.3">
      <c r="B53" s="171" t="s">
        <v>1452</v>
      </c>
      <c r="C53" s="171" t="s">
        <v>8</v>
      </c>
      <c r="D53" s="171" t="s">
        <v>7</v>
      </c>
      <c r="E53" s="171" t="s">
        <v>9</v>
      </c>
      <c r="F53" s="171" t="s">
        <v>6</v>
      </c>
    </row>
    <row r="54" spans="2:6" hidden="1" x14ac:dyDescent="0.3">
      <c r="B54" s="171" t="s">
        <v>1453</v>
      </c>
      <c r="C54" s="171" t="s">
        <v>1454</v>
      </c>
    </row>
    <row r="55" spans="2:6" hidden="1" x14ac:dyDescent="0.3">
      <c r="B55" s="171" t="s">
        <v>1455</v>
      </c>
      <c r="C55" s="171" t="s">
        <v>1456</v>
      </c>
    </row>
    <row r="56" spans="2:6" hidden="1" x14ac:dyDescent="0.3">
      <c r="B56" s="171" t="s">
        <v>1457</v>
      </c>
      <c r="C56" s="171" t="s">
        <v>236</v>
      </c>
      <c r="D56" s="171" t="s">
        <v>248</v>
      </c>
    </row>
    <row r="57" spans="2:6" hidden="1" x14ac:dyDescent="0.3">
      <c r="B57" s="171" t="s">
        <v>1458</v>
      </c>
      <c r="C57" s="171" t="s">
        <v>238</v>
      </c>
      <c r="D57" s="171" t="s">
        <v>249</v>
      </c>
    </row>
    <row r="58" spans="2:6" hidden="1" x14ac:dyDescent="0.3">
      <c r="B58" s="171" t="s">
        <v>1459</v>
      </c>
      <c r="C58" s="171" t="s">
        <v>239</v>
      </c>
      <c r="D58" s="171" t="s">
        <v>250</v>
      </c>
    </row>
    <row r="59" spans="2:6" hidden="1" x14ac:dyDescent="0.3">
      <c r="B59" s="171" t="s">
        <v>1460</v>
      </c>
      <c r="C59" s="171" t="s">
        <v>240</v>
      </c>
      <c r="D59" s="171" t="s">
        <v>251</v>
      </c>
    </row>
    <row r="60" spans="2:6" hidden="1" x14ac:dyDescent="0.3">
      <c r="B60" s="171" t="s">
        <v>1461</v>
      </c>
      <c r="C60" s="171" t="s">
        <v>241</v>
      </c>
      <c r="D60" s="171" t="s">
        <v>252</v>
      </c>
    </row>
    <row r="61" spans="2:6" hidden="1" x14ac:dyDescent="0.3">
      <c r="B61" s="171" t="s">
        <v>1462</v>
      </c>
      <c r="C61" s="171" t="s">
        <v>242</v>
      </c>
    </row>
    <row r="62" spans="2:6" hidden="1" x14ac:dyDescent="0.3">
      <c r="B62" s="171" t="s">
        <v>1463</v>
      </c>
      <c r="C62" s="171" t="s">
        <v>1464</v>
      </c>
    </row>
    <row r="63" spans="2:6" hidden="1" x14ac:dyDescent="0.3">
      <c r="B63" s="171" t="s">
        <v>1465</v>
      </c>
      <c r="C63" s="171" t="s">
        <v>2</v>
      </c>
    </row>
    <row r="64" spans="2:6" hidden="1" x14ac:dyDescent="0.3">
      <c r="B64" s="171" t="s">
        <v>1466</v>
      </c>
      <c r="C64" s="171" t="s">
        <v>1467</v>
      </c>
    </row>
    <row r="65" spans="2:4" hidden="1" x14ac:dyDescent="0.3">
      <c r="B65" s="171" t="s">
        <v>1468</v>
      </c>
      <c r="C65" s="171" t="s">
        <v>1469</v>
      </c>
    </row>
    <row r="66" spans="2:4" hidden="1" x14ac:dyDescent="0.3">
      <c r="B66" s="171" t="s">
        <v>1470</v>
      </c>
      <c r="C66" s="171" t="s">
        <v>254</v>
      </c>
    </row>
    <row r="67" spans="2:4" hidden="1" x14ac:dyDescent="0.3">
      <c r="B67" s="171" t="s">
        <v>1471</v>
      </c>
      <c r="C67" s="171" t="s">
        <v>3</v>
      </c>
    </row>
    <row r="68" spans="2:4" hidden="1" x14ac:dyDescent="0.3">
      <c r="B68" s="171" t="s">
        <v>1472</v>
      </c>
      <c r="C68" s="171" t="s">
        <v>4</v>
      </c>
    </row>
    <row r="69" spans="2:4" hidden="1" x14ac:dyDescent="0.3">
      <c r="B69" s="171" t="s">
        <v>1473</v>
      </c>
      <c r="C69" s="171" t="s">
        <v>255</v>
      </c>
    </row>
    <row r="70" spans="2:4" hidden="1" x14ac:dyDescent="0.3">
      <c r="B70" s="171" t="s">
        <v>1474</v>
      </c>
      <c r="C70" s="171" t="s">
        <v>5</v>
      </c>
    </row>
    <row r="71" spans="2:4" hidden="1" x14ac:dyDescent="0.3">
      <c r="B71" s="171" t="s">
        <v>1475</v>
      </c>
      <c r="C71" s="171" t="s">
        <v>156</v>
      </c>
    </row>
    <row r="72" spans="2:4" hidden="1" x14ac:dyDescent="0.3">
      <c r="B72" s="171" t="s">
        <v>1476</v>
      </c>
      <c r="C72" s="171" t="s">
        <v>237</v>
      </c>
    </row>
    <row r="73" spans="2:4" hidden="1" x14ac:dyDescent="0.3">
      <c r="B73" s="171" t="s">
        <v>1477</v>
      </c>
      <c r="C73" s="171" t="s">
        <v>256</v>
      </c>
    </row>
    <row r="74" spans="2:4" hidden="1" x14ac:dyDescent="0.3">
      <c r="B74" s="171" t="s">
        <v>1478</v>
      </c>
      <c r="C74" s="171" t="s">
        <v>10</v>
      </c>
    </row>
    <row r="75" spans="2:4" hidden="1" x14ac:dyDescent="0.3">
      <c r="B75" s="169" t="s">
        <v>1479</v>
      </c>
      <c r="D75" s="176">
        <f>ROW(C79)</f>
        <v>79</v>
      </c>
    </row>
    <row r="76" spans="2:4" hidden="1" x14ac:dyDescent="0.3">
      <c r="B76" s="171" t="s">
        <v>1480</v>
      </c>
      <c r="C76" s="171" t="s">
        <v>1481</v>
      </c>
    </row>
    <row r="77" spans="2:4" hidden="1" x14ac:dyDescent="0.3">
      <c r="B77" s="171" t="s">
        <v>1482</v>
      </c>
      <c r="C77" s="171" t="s">
        <v>1483</v>
      </c>
    </row>
    <row r="78" spans="2:4" hidden="1" x14ac:dyDescent="0.3">
      <c r="B78" s="171" t="s">
        <v>1484</v>
      </c>
      <c r="C78" s="171" t="s">
        <v>1485</v>
      </c>
    </row>
    <row r="79" spans="2:4" hidden="1" x14ac:dyDescent="0.3">
      <c r="B79" s="169" t="s">
        <v>1486</v>
      </c>
    </row>
    <row r="80" spans="2:4" hidden="1" x14ac:dyDescent="0.3"/>
  </sheetData>
  <sheetCalcPr fullCalcOnLoad="1"/>
  <sheetProtection algorithmName="SHA-512" hashValue="VEjd4lPmRLwHRG8DAaNKjEmmcScM2ZDdJARBOCgf5SnHynegGFjjsM2b7Xq+qJ4aEPIo2SiCbBMpHj1Stpk29A==" saltValue="LnZ9uSDVwBDAoSSUAGeMEg==" spinCount="100000" sheet="1" objects="1" scenarios="1" selectLockedCells="1"/>
  <mergeCells count="1">
    <mergeCell ref="B2:X2"/>
  </mergeCells>
  <phoneticPr fontId="25" type="noConversion"/>
  <pageMargins left="0.59055118110236215" right="0.59055118110236215" top="0.78740157480314965" bottom="1" header="0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workbookViewId="0">
      <pane ySplit="4" topLeftCell="A5" activePane="bottomLeft" state="frozenSplit"/>
      <selection pane="bottomLeft" activeCell="A5" sqref="A5:A22"/>
    </sheetView>
  </sheetViews>
  <sheetFormatPr defaultColWidth="9.125" defaultRowHeight="16.5" x14ac:dyDescent="0.3"/>
  <cols>
    <col min="1" max="2" width="4.75" style="6" customWidth="1"/>
    <col min="3" max="3" width="23.5" style="6" customWidth="1"/>
    <col min="4" max="5" width="11.5" style="6" customWidth="1"/>
    <col min="6" max="6" width="9.125" style="6" customWidth="1"/>
    <col min="7" max="7" width="8.5" style="6" customWidth="1"/>
    <col min="8" max="8" width="49.75" style="6" customWidth="1"/>
    <col min="9" max="9" width="9.125" style="6" hidden="1" customWidth="1"/>
    <col min="10" max="10" width="9.125" style="18" customWidth="1"/>
    <col min="11" max="16384" width="9.125" style="6"/>
  </cols>
  <sheetData>
    <row r="1" spans="1:10" ht="24.95" customHeight="1" x14ac:dyDescent="0.3">
      <c r="A1" s="183" t="s">
        <v>684</v>
      </c>
      <c r="B1" s="182"/>
      <c r="C1" s="182"/>
      <c r="D1" s="182"/>
      <c r="E1" s="182"/>
      <c r="F1" s="182"/>
      <c r="G1" s="182"/>
      <c r="H1" s="182"/>
      <c r="I1" s="5" t="s">
        <v>47</v>
      </c>
      <c r="J1" s="19" t="s">
        <v>47</v>
      </c>
    </row>
    <row r="2" spans="1:10" ht="18" customHeight="1" x14ac:dyDescent="0.3">
      <c r="A2" s="1" t="s">
        <v>1</v>
      </c>
      <c r="H2" s="106"/>
      <c r="I2" s="20" t="str">
        <f ca="1">MID(CELL("filename",$A$1),FIND("]",CELL("filename",$A$1))+1,LEN(CELL("filename",$A$1)))</f>
        <v>공사원가계산서</v>
      </c>
    </row>
    <row r="3" spans="1:10" ht="18" customHeight="1" x14ac:dyDescent="0.3">
      <c r="A3" s="184" t="s">
        <v>686</v>
      </c>
      <c r="B3" s="185"/>
      <c r="C3" s="185"/>
      <c r="D3" s="186" t="s">
        <v>256</v>
      </c>
      <c r="E3" s="187"/>
      <c r="F3" s="187"/>
      <c r="G3" s="186" t="s">
        <v>690</v>
      </c>
      <c r="H3" s="186" t="s">
        <v>691</v>
      </c>
    </row>
    <row r="4" spans="1:10" ht="18" customHeight="1" x14ac:dyDescent="0.3">
      <c r="A4" s="188" t="s">
        <v>685</v>
      </c>
      <c r="B4" s="189"/>
      <c r="C4" s="189"/>
      <c r="D4" s="23" t="s">
        <v>687</v>
      </c>
      <c r="E4" s="23" t="s">
        <v>688</v>
      </c>
      <c r="F4" s="23" t="s">
        <v>689</v>
      </c>
      <c r="G4" s="187"/>
      <c r="H4" s="187"/>
      <c r="J4" s="3" t="str">
        <f>HYPERLINK("#'〓 목 차 〓'!B2","목차 →")</f>
        <v>목차 →</v>
      </c>
    </row>
    <row r="5" spans="1:10" ht="18" customHeight="1" x14ac:dyDescent="0.3">
      <c r="A5" s="190" t="s">
        <v>714</v>
      </c>
      <c r="B5" s="190" t="s">
        <v>8</v>
      </c>
      <c r="C5" s="84" t="s">
        <v>692</v>
      </c>
      <c r="D5" s="92">
        <f>총괄내역서!F42-D6+D7</f>
        <v>40003539</v>
      </c>
      <c r="E5" s="96">
        <f>총괄내역서!F43-E6+E7</f>
        <v>26448347</v>
      </c>
      <c r="F5" s="93">
        <f t="shared" ref="F5:F28" si="0">E5-D5</f>
        <v>-13555192</v>
      </c>
      <c r="G5" s="103">
        <f>E5/E28*100</f>
        <v>20.910428987065558</v>
      </c>
      <c r="H5" s="41"/>
      <c r="J5" s="3" t="str">
        <f ca="1">HYPERLINK("#"&amp;총괄내역서!H2&amp;"!F"&amp;ROW(총괄내역서!F42),"총괄표 →")</f>
        <v>총괄표 →</v>
      </c>
    </row>
    <row r="6" spans="1:10" ht="18" customHeight="1" x14ac:dyDescent="0.3">
      <c r="A6" s="191"/>
      <c r="B6" s="191"/>
      <c r="C6" s="84" t="s">
        <v>693</v>
      </c>
      <c r="D6" s="93">
        <v>0</v>
      </c>
      <c r="E6" s="97">
        <v>0</v>
      </c>
      <c r="F6" s="97">
        <f t="shared" si="0"/>
        <v>0</v>
      </c>
      <c r="G6" s="103">
        <f>E6/E28*100</f>
        <v>0</v>
      </c>
      <c r="H6" s="107"/>
    </row>
    <row r="7" spans="1:10" ht="18" customHeight="1" x14ac:dyDescent="0.3">
      <c r="A7" s="191"/>
      <c r="B7" s="191"/>
      <c r="C7" s="84" t="s">
        <v>694</v>
      </c>
      <c r="D7" s="93">
        <v>0</v>
      </c>
      <c r="E7" s="97">
        <v>0</v>
      </c>
      <c r="F7" s="97">
        <f t="shared" si="0"/>
        <v>0</v>
      </c>
      <c r="G7" s="103">
        <f>E7/E28*100</f>
        <v>0</v>
      </c>
      <c r="H7" s="107"/>
    </row>
    <row r="8" spans="1:10" ht="18" customHeight="1" x14ac:dyDescent="0.3">
      <c r="A8" s="191"/>
      <c r="B8" s="189"/>
      <c r="C8" s="14" t="s">
        <v>695</v>
      </c>
      <c r="D8" s="94">
        <f>+D5+D6-D7</f>
        <v>40003539</v>
      </c>
      <c r="E8" s="98">
        <f>+E5+E6-E7</f>
        <v>26448347</v>
      </c>
      <c r="F8" s="100">
        <f t="shared" si="0"/>
        <v>-13555192</v>
      </c>
      <c r="G8" s="104">
        <f>E8/E28*100</f>
        <v>20.910428987065558</v>
      </c>
      <c r="H8" s="108"/>
    </row>
    <row r="9" spans="1:10" ht="18" customHeight="1" x14ac:dyDescent="0.3">
      <c r="A9" s="191"/>
      <c r="B9" s="190" t="s">
        <v>7</v>
      </c>
      <c r="C9" s="84" t="s">
        <v>696</v>
      </c>
      <c r="D9" s="92">
        <f>총괄내역서!E42</f>
        <v>32976276</v>
      </c>
      <c r="E9" s="96">
        <f>총괄내역서!E43</f>
        <v>41778438</v>
      </c>
      <c r="F9" s="97">
        <f t="shared" si="0"/>
        <v>8802162</v>
      </c>
      <c r="G9" s="103">
        <f>E9/E28*100</f>
        <v>33.030610986369815</v>
      </c>
      <c r="H9" s="41"/>
      <c r="J9" s="3" t="str">
        <f ca="1">HYPERLINK("#"&amp;총괄내역서!H2&amp;"!E"&amp;ROW(총괄내역서!E42),"총괄표 →")</f>
        <v>총괄표 →</v>
      </c>
    </row>
    <row r="10" spans="1:10" ht="18" customHeight="1" x14ac:dyDescent="0.3">
      <c r="A10" s="191"/>
      <c r="B10" s="191"/>
      <c r="C10" s="84" t="s">
        <v>697</v>
      </c>
      <c r="D10" s="92">
        <f>총괄내역서!D44</f>
        <v>4715607</v>
      </c>
      <c r="E10" s="96">
        <f>총괄내역서!D45</f>
        <v>5974316</v>
      </c>
      <c r="F10" s="97">
        <f t="shared" si="0"/>
        <v>1258709</v>
      </c>
      <c r="G10" s="103">
        <f>E10/E28*100</f>
        <v>4.7233768698017142</v>
      </c>
      <c r="H10" s="109" t="str">
        <f>총괄내역서!E45</f>
        <v>직접노무비 x 14.3%</v>
      </c>
      <c r="J10" s="3" t="str">
        <f ca="1">HYPERLINK("#"&amp;총괄내역서!H2&amp;"!D"&amp;ROW(총괄내역서!D44),"총괄표 →")</f>
        <v>총괄표 →</v>
      </c>
    </row>
    <row r="11" spans="1:10" ht="18" customHeight="1" x14ac:dyDescent="0.3">
      <c r="A11" s="191"/>
      <c r="B11" s="189"/>
      <c r="C11" s="14" t="s">
        <v>695</v>
      </c>
      <c r="D11" s="94">
        <f>+D9+D10</f>
        <v>37691883</v>
      </c>
      <c r="E11" s="98">
        <f>+E9+E10</f>
        <v>47752754</v>
      </c>
      <c r="F11" s="101">
        <f t="shared" si="0"/>
        <v>10060871</v>
      </c>
      <c r="G11" s="104">
        <f>E11/E28*100</f>
        <v>37.753987856171534</v>
      </c>
      <c r="H11" s="108"/>
    </row>
    <row r="12" spans="1:10" ht="18" customHeight="1" x14ac:dyDescent="0.3">
      <c r="A12" s="191"/>
      <c r="B12" s="190" t="s">
        <v>715</v>
      </c>
      <c r="C12" s="84" t="s">
        <v>698</v>
      </c>
      <c r="D12" s="92">
        <f>총괄내역서!G42</f>
        <v>20047669</v>
      </c>
      <c r="E12" s="96">
        <f>총괄내역서!G43</f>
        <v>16915256</v>
      </c>
      <c r="F12" s="93">
        <f t="shared" si="0"/>
        <v>-3132413</v>
      </c>
      <c r="G12" s="103">
        <f>E12/E28*100</f>
        <v>13.373435375225325</v>
      </c>
      <c r="H12" s="41"/>
      <c r="J12" s="3" t="str">
        <f ca="1">HYPERLINK("#"&amp;총괄내역서!H2&amp;"!G"&amp;ROW(총괄내역서!G42),"총괄표 →")</f>
        <v>총괄표 →</v>
      </c>
    </row>
    <row r="13" spans="1:10" ht="18" customHeight="1" x14ac:dyDescent="0.3">
      <c r="A13" s="191"/>
      <c r="B13" s="191"/>
      <c r="C13" s="84" t="s">
        <v>699</v>
      </c>
      <c r="D13" s="92">
        <f>총괄내역서!D46</f>
        <v>1341831</v>
      </c>
      <c r="E13" s="96">
        <f>총괄내역서!D47</f>
        <v>1699998</v>
      </c>
      <c r="F13" s="97">
        <f t="shared" si="0"/>
        <v>358167</v>
      </c>
      <c r="G13" s="103">
        <f>E13/E28*100</f>
        <v>1.3440419341576799</v>
      </c>
      <c r="H13" s="109" t="str">
        <f>총괄내역서!E47</f>
        <v>(직접노무비+간접노무비) x 3.56%</v>
      </c>
      <c r="J13" s="3" t="str">
        <f ca="1">HYPERLINK("#"&amp;총괄내역서!H2&amp;"!D"&amp;ROW(총괄내역서!D46),"총괄표 →")</f>
        <v>총괄표 →</v>
      </c>
    </row>
    <row r="14" spans="1:10" ht="18" customHeight="1" x14ac:dyDescent="0.3">
      <c r="A14" s="191"/>
      <c r="B14" s="191"/>
      <c r="C14" s="84" t="s">
        <v>700</v>
      </c>
      <c r="D14" s="92">
        <f>총괄내역서!D48</f>
        <v>380688</v>
      </c>
      <c r="E14" s="96">
        <f>총괄내역서!D49</f>
        <v>482302</v>
      </c>
      <c r="F14" s="97">
        <f t="shared" si="0"/>
        <v>101614</v>
      </c>
      <c r="G14" s="103">
        <f>E14/E28*100</f>
        <v>0.38131463268081339</v>
      </c>
      <c r="H14" s="109" t="str">
        <f>총괄내역서!E49</f>
        <v>(직접노무비+간접노무비) x 1.01%</v>
      </c>
      <c r="J14" s="3" t="str">
        <f ca="1">HYPERLINK("#"&amp;총괄내역서!H2&amp;"!D"&amp;ROW(총괄내역서!D48),"총괄표 →")</f>
        <v>총괄표 →</v>
      </c>
    </row>
    <row r="15" spans="1:10" ht="18" customHeight="1" x14ac:dyDescent="0.3">
      <c r="A15" s="191"/>
      <c r="B15" s="191"/>
      <c r="C15" s="84" t="s">
        <v>701</v>
      </c>
      <c r="D15" s="92">
        <f>총괄내역서!D50</f>
        <v>1328500</v>
      </c>
      <c r="E15" s="96">
        <f>총괄내역서!D51</f>
        <v>1328500</v>
      </c>
      <c r="F15" s="97">
        <f t="shared" si="0"/>
        <v>0</v>
      </c>
      <c r="G15" s="103">
        <f>E15/E28*100</f>
        <v>1.0503304765820183</v>
      </c>
      <c r="H15" s="41"/>
      <c r="J15" s="3" t="str">
        <f ca="1">HYPERLINK("#"&amp;총괄내역서!H2&amp;"!D"&amp;ROW(총괄내역서!D50),"총괄표 →")</f>
        <v>총괄표 →</v>
      </c>
    </row>
    <row r="16" spans="1:10" ht="18" customHeight="1" x14ac:dyDescent="0.3">
      <c r="A16" s="191"/>
      <c r="B16" s="191"/>
      <c r="C16" s="84" t="s">
        <v>702</v>
      </c>
      <c r="D16" s="92">
        <f>총괄내역서!D52</f>
        <v>172040</v>
      </c>
      <c r="E16" s="96">
        <f>총괄내역서!D53</f>
        <v>172040</v>
      </c>
      <c r="F16" s="97">
        <f t="shared" si="0"/>
        <v>0</v>
      </c>
      <c r="G16" s="103">
        <f>E16/E28*100</f>
        <v>0.13601720375699691</v>
      </c>
      <c r="H16" s="41"/>
      <c r="J16" s="3" t="str">
        <f ca="1">HYPERLINK("#"&amp;총괄내역서!H2&amp;"!D"&amp;ROW(총괄내역서!D52),"총괄표 →")</f>
        <v>총괄표 →</v>
      </c>
    </row>
    <row r="17" spans="1:10" ht="18" customHeight="1" x14ac:dyDescent="0.3">
      <c r="A17" s="191"/>
      <c r="B17" s="191"/>
      <c r="C17" s="84" t="s">
        <v>703</v>
      </c>
      <c r="D17" s="92">
        <f>총괄내역서!D54</f>
        <v>1686389</v>
      </c>
      <c r="E17" s="96">
        <f>총괄내역서!D55</f>
        <v>1686389</v>
      </c>
      <c r="F17" s="97">
        <f t="shared" si="0"/>
        <v>0</v>
      </c>
      <c r="G17" s="103">
        <f>E17/E28*100</f>
        <v>1.3332824705101041</v>
      </c>
      <c r="H17" s="41"/>
      <c r="J17" s="3" t="str">
        <f ca="1">HYPERLINK("#"&amp;총괄내역서!H2&amp;"!D"&amp;ROW(총괄내역서!D54),"총괄표 →")</f>
        <v>총괄표 →</v>
      </c>
    </row>
    <row r="18" spans="1:10" ht="18" customHeight="1" x14ac:dyDescent="0.3">
      <c r="A18" s="191"/>
      <c r="B18" s="191"/>
      <c r="C18" s="84" t="s">
        <v>704</v>
      </c>
      <c r="D18" s="92">
        <f>총괄내역서!D56</f>
        <v>2612476</v>
      </c>
      <c r="E18" s="96">
        <f>총괄내역서!D57</f>
        <v>2442331</v>
      </c>
      <c r="F18" s="93">
        <f t="shared" si="0"/>
        <v>-170145</v>
      </c>
      <c r="G18" s="103">
        <f>E18/E28*100</f>
        <v>1.9309406723380032</v>
      </c>
      <c r="H18" s="109" t="str">
        <f>총괄내역서!E57</f>
        <v>당초금액 + 안전관리비 증감액</v>
      </c>
      <c r="J18" s="3" t="str">
        <f ca="1">HYPERLINK("#"&amp;총괄내역서!H2&amp;"!D"&amp;ROW(총괄내역서!D56),"총괄표 →")</f>
        <v>총괄표 →</v>
      </c>
    </row>
    <row r="19" spans="1:10" ht="18" customHeight="1" x14ac:dyDescent="0.3">
      <c r="A19" s="191"/>
      <c r="B19" s="191"/>
      <c r="C19" s="84" t="s">
        <v>705</v>
      </c>
      <c r="D19" s="92">
        <f>총괄내역서!D58</f>
        <v>4506334</v>
      </c>
      <c r="E19" s="96">
        <f>총괄내역서!D59</f>
        <v>4303663</v>
      </c>
      <c r="F19" s="93">
        <f t="shared" si="0"/>
        <v>-202671</v>
      </c>
      <c r="G19" s="103">
        <f>E19/E28*100</f>
        <v>3.4025354985610829</v>
      </c>
      <c r="H19" s="109" t="str">
        <f>총괄내역서!E59</f>
        <v>(직접노무비+간접노무비+재료비) x 5.8%</v>
      </c>
      <c r="J19" s="3" t="str">
        <f ca="1">HYPERLINK("#"&amp;총괄내역서!H2&amp;"!D"&amp;ROW(총괄내역서!D58),"총괄표 →")</f>
        <v>총괄표 →</v>
      </c>
    </row>
    <row r="20" spans="1:10" ht="18" customHeight="1" x14ac:dyDescent="0.3">
      <c r="A20" s="191"/>
      <c r="B20" s="191"/>
      <c r="C20" s="84" t="s">
        <v>706</v>
      </c>
      <c r="D20" s="92">
        <f>총괄내역서!D60</f>
        <v>744219</v>
      </c>
      <c r="E20" s="96">
        <f>총괄내역서!D61</f>
        <v>681136</v>
      </c>
      <c r="F20" s="93">
        <f t="shared" si="0"/>
        <v>-63083</v>
      </c>
      <c r="G20" s="103">
        <f>E20/E28*100</f>
        <v>0.5385155434679485</v>
      </c>
      <c r="H20" s="109" t="str">
        <f>총괄내역서!E61</f>
        <v>(재료비 + 직접노무비 + 산출경비) x 0.8%</v>
      </c>
      <c r="J20" s="3" t="str">
        <f ca="1">HYPERLINK("#"&amp;총괄내역서!H2&amp;"!D"&amp;ROW(총괄내역서!D60),"총괄표 →")</f>
        <v>총괄표 →</v>
      </c>
    </row>
    <row r="21" spans="1:10" ht="18" customHeight="1" x14ac:dyDescent="0.3">
      <c r="A21" s="191"/>
      <c r="B21" s="191"/>
      <c r="C21" s="84" t="s">
        <v>707</v>
      </c>
      <c r="D21" s="92">
        <f>총괄내역서!D62</f>
        <v>372109</v>
      </c>
      <c r="E21" s="96">
        <f>총괄내역서!D63</f>
        <v>340568</v>
      </c>
      <c r="F21" s="93">
        <f t="shared" si="0"/>
        <v>-31541</v>
      </c>
      <c r="G21" s="103">
        <f>E21/E28*100</f>
        <v>0.26925777173397425</v>
      </c>
      <c r="H21" s="109" t="str">
        <f>총괄내역서!E63</f>
        <v>(재료비 + 직접노무비 + 산출경비) x 0.4%</v>
      </c>
      <c r="J21" s="3" t="str">
        <f ca="1">HYPERLINK("#"&amp;총괄내역서!H2&amp;"!D"&amp;ROW(총괄내역서!D62),"총괄표 →")</f>
        <v>총괄표 →</v>
      </c>
    </row>
    <row r="22" spans="1:10" ht="18" customHeight="1" x14ac:dyDescent="0.3">
      <c r="A22" s="189"/>
      <c r="B22" s="189"/>
      <c r="C22" s="91" t="s">
        <v>695</v>
      </c>
      <c r="D22" s="94">
        <f>+D12+D13+D14+D15+D16+D17+D18+D19+D20+D21</f>
        <v>33192255</v>
      </c>
      <c r="E22" s="98">
        <f>+E12+E13+E14+E15+E16+E17+E18+E19+E20+E21</f>
        <v>30052183</v>
      </c>
      <c r="F22" s="100">
        <f t="shared" si="0"/>
        <v>-3140072</v>
      </c>
      <c r="G22" s="104">
        <f>E22/E28*100</f>
        <v>23.759671579013947</v>
      </c>
      <c r="H22" s="108"/>
    </row>
    <row r="23" spans="1:10" ht="18" customHeight="1" x14ac:dyDescent="0.3">
      <c r="A23" s="242" t="s">
        <v>708</v>
      </c>
      <c r="B23" s="243"/>
      <c r="C23" s="244"/>
      <c r="D23" s="95">
        <f>총괄내역서!D66</f>
        <v>6653260</v>
      </c>
      <c r="E23" s="99">
        <f>총괄내역서!D67</f>
        <v>6255197</v>
      </c>
      <c r="F23" s="102">
        <f t="shared" si="0"/>
        <v>-398063</v>
      </c>
      <c r="G23" s="105">
        <f>E23/E28*100</f>
        <v>4.9454452737105088</v>
      </c>
      <c r="H23" s="110" t="str">
        <f>"순공사원가 x "&amp;ROUND(총괄내역서!M67,5)&amp;"%"</f>
        <v>순공사원가 x 6%</v>
      </c>
      <c r="J23" s="3" t="str">
        <f ca="1">HYPERLINK("#"&amp;총괄내역서!H2&amp;"!D"&amp;ROW(총괄내역서!D66),"총괄표 →")</f>
        <v>총괄표 →</v>
      </c>
    </row>
    <row r="24" spans="1:10" ht="18" customHeight="1" x14ac:dyDescent="0.3">
      <c r="A24" s="245" t="s">
        <v>709</v>
      </c>
      <c r="B24" s="246"/>
      <c r="C24" s="246"/>
      <c r="D24" s="95">
        <f>총괄내역서!D70</f>
        <v>10767078</v>
      </c>
      <c r="E24" s="99">
        <f>총괄내역서!D71</f>
        <v>11672434</v>
      </c>
      <c r="F24" s="13">
        <f t="shared" si="0"/>
        <v>905356</v>
      </c>
      <c r="G24" s="105">
        <f>E24/E28*100</f>
        <v>9.2283877802726035</v>
      </c>
      <c r="H24" s="110" t="str">
        <f>"(노무비+경비+일반관리비) x "&amp;ROUND(총괄내역서!M71,5)&amp;"%"</f>
        <v>(노무비+경비+일반관리비) x 13.887%</v>
      </c>
      <c r="J24" s="3" t="str">
        <f ca="1">HYPERLINK("#"&amp;총괄내역서!H2&amp;"!D"&amp;ROW(총괄내역서!D70),"총괄표 →")</f>
        <v>총괄표 →</v>
      </c>
    </row>
    <row r="25" spans="1:10" ht="18" customHeight="1" x14ac:dyDescent="0.3">
      <c r="A25" s="247" t="s">
        <v>710</v>
      </c>
      <c r="B25" s="246"/>
      <c r="C25" s="246"/>
      <c r="D25" s="95">
        <f>총괄내역서!D72</f>
        <v>128308015</v>
      </c>
      <c r="E25" s="99">
        <f>총괄내역서!D73</f>
        <v>122180915</v>
      </c>
      <c r="F25" s="102">
        <f t="shared" si="0"/>
        <v>-6127100</v>
      </c>
      <c r="G25" s="105">
        <f>E25/E28*100</f>
        <v>96.597921476234148</v>
      </c>
      <c r="H25" s="40"/>
      <c r="J25" s="3" t="str">
        <f ca="1">HYPERLINK("#"&amp;총괄내역서!H2&amp;"!D"&amp;ROW(총괄내역서!D72),"총괄표 →")</f>
        <v>총괄표 →</v>
      </c>
    </row>
    <row r="26" spans="1:10" ht="18" customHeight="1" x14ac:dyDescent="0.3">
      <c r="A26" s="245" t="s">
        <v>711</v>
      </c>
      <c r="B26" s="246"/>
      <c r="C26" s="246"/>
      <c r="D26" s="95">
        <f>총괄내역서!D74</f>
        <v>5891985</v>
      </c>
      <c r="E26" s="99">
        <f>총괄내역서!D75</f>
        <v>4303085</v>
      </c>
      <c r="F26" s="102">
        <f t="shared" si="0"/>
        <v>-1588900</v>
      </c>
      <c r="G26" s="105">
        <f>E26/E28*100</f>
        <v>3.4020785237658515</v>
      </c>
      <c r="H26" s="110" t="str">
        <f>"(재료비 - 면세품목:￦332,750 + 산출경비) x "&amp;ROUND(총괄내역서!M75,5)&amp;"%"</f>
        <v>(재료비 - 면세품목:￦332,750 + 산출경비) x 10%</v>
      </c>
      <c r="J26" s="3" t="str">
        <f ca="1">HYPERLINK("#"&amp;총괄내역서!H2&amp;"!D"&amp;ROW(총괄내역서!D74),"총괄표 →")</f>
        <v>총괄표 →</v>
      </c>
    </row>
    <row r="27" spans="1:10" ht="18" customHeight="1" x14ac:dyDescent="0.3">
      <c r="A27" s="247" t="s">
        <v>712</v>
      </c>
      <c r="B27" s="246"/>
      <c r="C27" s="246"/>
      <c r="D27" s="95">
        <f>총괄내역서!D76</f>
        <v>134200000</v>
      </c>
      <c r="E27" s="99">
        <f>총괄내역서!D77</f>
        <v>126484000</v>
      </c>
      <c r="F27" s="102">
        <f t="shared" si="0"/>
        <v>-7716000</v>
      </c>
      <c r="G27" s="105">
        <f>E27/E28*100</f>
        <v>100</v>
      </c>
      <c r="H27" s="40"/>
      <c r="J27" s="3" t="str">
        <f ca="1">HYPERLINK("#"&amp;총괄내역서!H2&amp;"!D"&amp;ROW(총괄내역서!D76),"총괄표 →")</f>
        <v>총괄표 →</v>
      </c>
    </row>
    <row r="28" spans="1:10" ht="18" customHeight="1" x14ac:dyDescent="0.3">
      <c r="A28" s="247" t="s">
        <v>713</v>
      </c>
      <c r="B28" s="246"/>
      <c r="C28" s="246"/>
      <c r="D28" s="95">
        <f>D27</f>
        <v>134200000</v>
      </c>
      <c r="E28" s="99">
        <f>E27</f>
        <v>126484000</v>
      </c>
      <c r="F28" s="102">
        <f t="shared" si="0"/>
        <v>-7716000</v>
      </c>
      <c r="G28" s="105">
        <v>100</v>
      </c>
      <c r="H28" s="40"/>
    </row>
  </sheetData>
  <mergeCells count="16">
    <mergeCell ref="A25:C25"/>
    <mergeCell ref="A26:C26"/>
    <mergeCell ref="A27:C27"/>
    <mergeCell ref="A28:C28"/>
    <mergeCell ref="A5:A22"/>
    <mergeCell ref="B5:B8"/>
    <mergeCell ref="B9:B11"/>
    <mergeCell ref="B12:B22"/>
    <mergeCell ref="A23:C23"/>
    <mergeCell ref="A24:C24"/>
    <mergeCell ref="A1:H1"/>
    <mergeCell ref="A3:C3"/>
    <mergeCell ref="D3:F3"/>
    <mergeCell ref="G3:G4"/>
    <mergeCell ref="H3:H4"/>
    <mergeCell ref="A4:C4"/>
  </mergeCells>
  <phoneticPr fontId="25" type="noConversion"/>
  <hyperlinks>
    <hyperlink ref="J1" r:id="rId1" tooltip="설계예산시스템(STmate w25.05)으로 작성 하였으며,_x000a_엑셀 인쇄품질 600 dpi에 최적화 되어 있습니다._x000a_경영정보(주) http://www.stma.co.kr_x000a_Tel) 070-4350-0040_x000a_Fax) 0505-300-3948"/>
    <hyperlink ref="I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5" fitToWidth="0" fitToHeight="0" orientation="landscape" r:id="rId3"/>
  <headerFooter alignWithMargins="0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7"/>
  <sheetViews>
    <sheetView workbookViewId="0">
      <pane ySplit="3" topLeftCell="A4" activePane="bottomLeft" state="frozenSplit"/>
      <selection pane="bottomLeft" activeCell="A4" sqref="A4:A5"/>
    </sheetView>
  </sheetViews>
  <sheetFormatPr defaultColWidth="9.125" defaultRowHeight="16.5" x14ac:dyDescent="0.3"/>
  <cols>
    <col min="1" max="1" width="10" style="6" customWidth="1"/>
    <col min="2" max="2" width="26.5" style="6" customWidth="1"/>
    <col min="3" max="3" width="22.75" style="6" customWidth="1"/>
    <col min="4" max="7" width="17.5" style="6" customWidth="1"/>
    <col min="8" max="8" width="9.125" style="16" hidden="1" customWidth="1"/>
    <col min="9" max="12" width="2.125" style="6" customWidth="1"/>
    <col min="13" max="16" width="4" style="6" customWidth="1"/>
    <col min="17" max="17" width="9.125" style="18" customWidth="1"/>
    <col min="18" max="16384" width="9.125" style="6"/>
  </cols>
  <sheetData>
    <row r="1" spans="1:17" ht="24.95" customHeight="1" x14ac:dyDescent="0.3">
      <c r="A1" s="183" t="s">
        <v>259</v>
      </c>
      <c r="B1" s="182"/>
      <c r="C1" s="182"/>
      <c r="D1" s="182"/>
      <c r="E1" s="182"/>
      <c r="F1" s="182"/>
      <c r="G1" s="182"/>
      <c r="H1" s="19" t="s">
        <v>47</v>
      </c>
      <c r="Q1" s="19" t="s">
        <v>47</v>
      </c>
    </row>
    <row r="2" spans="1:17" ht="24" customHeight="1" x14ac:dyDescent="0.3">
      <c r="A2" s="1" t="s">
        <v>1</v>
      </c>
      <c r="H2" s="20" t="str">
        <f ca="1">MID(CELL("filename",$A$1),FIND("]",CELL("filename",$A$1))+1,LEN(CELL("filename",$A$1)))</f>
        <v>총괄내역서</v>
      </c>
    </row>
    <row r="3" spans="1:17" ht="24" customHeight="1" x14ac:dyDescent="0.3">
      <c r="A3" s="8" t="s">
        <v>254</v>
      </c>
      <c r="B3" s="8" t="s">
        <v>3</v>
      </c>
      <c r="C3" s="8" t="s">
        <v>4</v>
      </c>
      <c r="D3" s="8" t="s">
        <v>6</v>
      </c>
      <c r="E3" s="8" t="s">
        <v>7</v>
      </c>
      <c r="F3" s="8" t="s">
        <v>8</v>
      </c>
      <c r="G3" s="14" t="s">
        <v>9</v>
      </c>
      <c r="H3" s="17" t="s">
        <v>257</v>
      </c>
      <c r="I3" s="195" t="s">
        <v>683</v>
      </c>
      <c r="J3" s="182"/>
      <c r="K3" s="182"/>
      <c r="L3" s="182"/>
      <c r="M3" s="182"/>
      <c r="N3" s="182"/>
      <c r="O3" s="182"/>
      <c r="P3" s="182"/>
      <c r="Q3" s="3" t="str">
        <f>HYPERLINK("#'〓 목 차 〓'!B2","목차 →")</f>
        <v>목차 →</v>
      </c>
    </row>
    <row r="4" spans="1:17" ht="24" customHeight="1" x14ac:dyDescent="0.3">
      <c r="A4" s="196"/>
      <c r="B4" s="196" t="s">
        <v>261</v>
      </c>
      <c r="C4" s="196" t="s">
        <v>262</v>
      </c>
      <c r="D4" s="58">
        <f>설계변경내역서!G5</f>
        <v>93027484</v>
      </c>
      <c r="E4" s="54">
        <f>설계변경내역서!I5</f>
        <v>32976276</v>
      </c>
      <c r="F4" s="85">
        <f>설계변경내역서!K5</f>
        <v>40003539</v>
      </c>
      <c r="G4" s="58">
        <f>설계변경내역서!M5</f>
        <v>20047669</v>
      </c>
      <c r="Q4" s="3" t="str">
        <f ca="1">HYPERLINK("#"&amp;설계변경내역서!O2&amp;"!A"&amp;ROW(설계변경내역서!A5),"내역 →")</f>
        <v>내역 →</v>
      </c>
    </row>
    <row r="5" spans="1:17" ht="24" customHeight="1" x14ac:dyDescent="0.3">
      <c r="A5" s="197"/>
      <c r="B5" s="197"/>
      <c r="C5" s="197"/>
      <c r="D5" s="59">
        <f>설계변경내역서!G6</f>
        <v>85142041</v>
      </c>
      <c r="E5" s="55">
        <f>설계변경내역서!I6</f>
        <v>41778438</v>
      </c>
      <c r="F5" s="86">
        <f>설계변경내역서!K6</f>
        <v>26448347</v>
      </c>
      <c r="G5" s="59">
        <f>설계변경내역서!M6</f>
        <v>16915256</v>
      </c>
    </row>
    <row r="6" spans="1:17" ht="24" customHeight="1" x14ac:dyDescent="0.3">
      <c r="A6" s="196" t="s">
        <v>273</v>
      </c>
      <c r="B6" s="196" t="s">
        <v>274</v>
      </c>
      <c r="C6" s="196"/>
      <c r="D6" s="58">
        <f>설계변경내역서!G9</f>
        <v>5682040</v>
      </c>
      <c r="E6" s="54">
        <f>설계변경내역서!I9</f>
        <v>3555611</v>
      </c>
      <c r="F6" s="85">
        <f>설계변경내역서!K9</f>
        <v>811246</v>
      </c>
      <c r="G6" s="58">
        <f>설계변경내역서!M9</f>
        <v>1315183</v>
      </c>
      <c r="Q6" s="3" t="str">
        <f ca="1">HYPERLINK("#"&amp;설계변경내역서!O2&amp;"!A"&amp;ROW(설계변경내역서!A9),"내역 →")</f>
        <v>내역 →</v>
      </c>
    </row>
    <row r="7" spans="1:17" ht="24" customHeight="1" x14ac:dyDescent="0.3">
      <c r="A7" s="197"/>
      <c r="B7" s="197"/>
      <c r="C7" s="197"/>
      <c r="D7" s="59">
        <f>설계변경내역서!G10</f>
        <v>3869055</v>
      </c>
      <c r="E7" s="55">
        <f>설계변경내역서!I10</f>
        <v>2523642</v>
      </c>
      <c r="F7" s="86">
        <f>설계변경내역서!K10</f>
        <v>526782</v>
      </c>
      <c r="G7" s="59">
        <f>설계변경내역서!M10</f>
        <v>818631</v>
      </c>
    </row>
    <row r="8" spans="1:17" ht="24" customHeight="1" x14ac:dyDescent="0.3">
      <c r="A8" s="196" t="s">
        <v>331</v>
      </c>
      <c r="B8" s="196" t="s">
        <v>332</v>
      </c>
      <c r="C8" s="196" t="s">
        <v>333</v>
      </c>
      <c r="D8" s="58">
        <f>설계변경내역서!G29</f>
        <v>1097772</v>
      </c>
      <c r="E8" s="54">
        <f>설계변경내역서!I29</f>
        <v>819555</v>
      </c>
      <c r="F8" s="85">
        <f>설계변경내역서!K29</f>
        <v>111677</v>
      </c>
      <c r="G8" s="58">
        <f>설계변경내역서!M29</f>
        <v>166540</v>
      </c>
      <c r="Q8" s="3" t="str">
        <f ca="1">HYPERLINK("#"&amp;설계변경내역서!O2&amp;"!A"&amp;ROW(설계변경내역서!A29),"내역 →")</f>
        <v>내역 →</v>
      </c>
    </row>
    <row r="9" spans="1:17" ht="24" customHeight="1" x14ac:dyDescent="0.3">
      <c r="A9" s="197"/>
      <c r="B9" s="197"/>
      <c r="C9" s="197"/>
      <c r="D9" s="59">
        <f>설계변경내역서!G30</f>
        <v>1135219</v>
      </c>
      <c r="E9" s="55">
        <f>설계변경내역서!I30</f>
        <v>800105</v>
      </c>
      <c r="F9" s="86">
        <f>설계변경내역서!K30</f>
        <v>117564</v>
      </c>
      <c r="G9" s="59">
        <f>설계변경내역서!M30</f>
        <v>217550</v>
      </c>
    </row>
    <row r="10" spans="1:17" ht="24" customHeight="1" x14ac:dyDescent="0.3">
      <c r="A10" s="196" t="s">
        <v>338</v>
      </c>
      <c r="B10" s="196" t="s">
        <v>339</v>
      </c>
      <c r="C10" s="196" t="s">
        <v>340</v>
      </c>
      <c r="D10" s="58">
        <f>설계변경내역서!G31</f>
        <v>587642</v>
      </c>
      <c r="E10" s="54">
        <f>설계변경내역서!I31</f>
        <v>438770</v>
      </c>
      <c r="F10" s="85">
        <f>설계변경내역서!K31</f>
        <v>59645</v>
      </c>
      <c r="G10" s="58">
        <f>설계변경내역서!M31</f>
        <v>89227</v>
      </c>
      <c r="Q10" s="3" t="str">
        <f ca="1">HYPERLINK("#"&amp;설계변경내역서!O2&amp;"!A"&amp;ROW(설계변경내역서!A31),"내역 →")</f>
        <v>내역 →</v>
      </c>
    </row>
    <row r="11" spans="1:17" ht="24" customHeight="1" x14ac:dyDescent="0.3">
      <c r="A11" s="197"/>
      <c r="B11" s="197"/>
      <c r="C11" s="197"/>
      <c r="D11" s="59">
        <f>설계변경내역서!G32</f>
        <v>415300</v>
      </c>
      <c r="E11" s="55">
        <f>설계변경내역서!I32</f>
        <v>292530</v>
      </c>
      <c r="F11" s="86">
        <f>설계변경내역서!K32</f>
        <v>43067</v>
      </c>
      <c r="G11" s="59">
        <f>설계변경내역서!M32</f>
        <v>79703</v>
      </c>
    </row>
    <row r="12" spans="1:17" ht="24" customHeight="1" x14ac:dyDescent="0.3">
      <c r="A12" s="196" t="s">
        <v>403</v>
      </c>
      <c r="B12" s="196" t="s">
        <v>404</v>
      </c>
      <c r="C12" s="196" t="s">
        <v>405</v>
      </c>
      <c r="D12" s="58">
        <f>설계변경내역서!G53</f>
        <v>510130</v>
      </c>
      <c r="E12" s="54">
        <f>설계변경내역서!I53</f>
        <v>380785</v>
      </c>
      <c r="F12" s="85">
        <f>설계변경내역서!K53</f>
        <v>52032</v>
      </c>
      <c r="G12" s="58">
        <f>설계변경내역서!M53</f>
        <v>77313</v>
      </c>
      <c r="Q12" s="3" t="str">
        <f ca="1">HYPERLINK("#"&amp;설계변경내역서!O2&amp;"!A"&amp;ROW(설계변경내역서!A53),"내역 →")</f>
        <v>내역 →</v>
      </c>
    </row>
    <row r="13" spans="1:17" ht="24" customHeight="1" x14ac:dyDescent="0.3">
      <c r="A13" s="197"/>
      <c r="B13" s="197"/>
      <c r="C13" s="197"/>
      <c r="D13" s="59">
        <f>설계변경내역서!G54</f>
        <v>719919</v>
      </c>
      <c r="E13" s="55">
        <f>설계변경내역서!I54</f>
        <v>507575</v>
      </c>
      <c r="F13" s="86">
        <f>설계변경내역서!K54</f>
        <v>74497</v>
      </c>
      <c r="G13" s="59">
        <f>설계변경내역서!M54</f>
        <v>137847</v>
      </c>
    </row>
    <row r="14" spans="1:17" ht="24" customHeight="1" x14ac:dyDescent="0.3">
      <c r="A14" s="196" t="s">
        <v>334</v>
      </c>
      <c r="B14" s="196" t="s">
        <v>335</v>
      </c>
      <c r="C14" s="196" t="s">
        <v>336</v>
      </c>
      <c r="D14" s="58">
        <f>설계변경내역서!G77</f>
        <v>30805166</v>
      </c>
      <c r="E14" s="54">
        <f>설계변경내역서!I77</f>
        <v>23449326</v>
      </c>
      <c r="F14" s="85">
        <f>설계변경내역서!K77</f>
        <v>2913350</v>
      </c>
      <c r="G14" s="58">
        <f>설계변경내역서!M77</f>
        <v>4442490</v>
      </c>
      <c r="Q14" s="3" t="str">
        <f ca="1">HYPERLINK("#"&amp;설계변경내역서!O2&amp;"!A"&amp;ROW(설계변경내역서!A77),"내역 →")</f>
        <v>내역 →</v>
      </c>
    </row>
    <row r="15" spans="1:17" ht="24" customHeight="1" x14ac:dyDescent="0.3">
      <c r="A15" s="197"/>
      <c r="B15" s="197"/>
      <c r="C15" s="197"/>
      <c r="D15" s="59">
        <f>설계변경내역서!G78</f>
        <v>34227634</v>
      </c>
      <c r="E15" s="55">
        <f>설계변경내역서!I78</f>
        <v>26033060</v>
      </c>
      <c r="F15" s="86">
        <f>설계변경내역서!K78</f>
        <v>3019102</v>
      </c>
      <c r="G15" s="59">
        <f>설계변경내역서!M78</f>
        <v>5175472</v>
      </c>
    </row>
    <row r="16" spans="1:17" ht="24" customHeight="1" x14ac:dyDescent="0.3">
      <c r="A16" s="196" t="s">
        <v>414</v>
      </c>
      <c r="B16" s="196" t="s">
        <v>415</v>
      </c>
      <c r="C16" s="196" t="s">
        <v>416</v>
      </c>
      <c r="D16" s="58">
        <f>설계변경내역서!G79</f>
        <v>30805166</v>
      </c>
      <c r="E16" s="54">
        <f>설계변경내역서!I79</f>
        <v>23449326</v>
      </c>
      <c r="F16" s="85">
        <f>설계변경내역서!K79</f>
        <v>2913350</v>
      </c>
      <c r="G16" s="58">
        <f>설계변경내역서!M79</f>
        <v>4442490</v>
      </c>
      <c r="Q16" s="3" t="str">
        <f ca="1">HYPERLINK("#"&amp;설계변경내역서!O2&amp;"!A"&amp;ROW(설계변경내역서!A79),"내역 →")</f>
        <v>내역 →</v>
      </c>
    </row>
    <row r="17" spans="1:17" ht="24" customHeight="1" x14ac:dyDescent="0.3">
      <c r="A17" s="197"/>
      <c r="B17" s="197"/>
      <c r="C17" s="197"/>
      <c r="D17" s="59">
        <f>설계변경내역서!G80</f>
        <v>9625211</v>
      </c>
      <c r="E17" s="55">
        <f>설계변경내역서!I80</f>
        <v>7414976</v>
      </c>
      <c r="F17" s="86">
        <f>설계변경내역서!K80</f>
        <v>870960</v>
      </c>
      <c r="G17" s="59">
        <f>설계변경내역서!M80</f>
        <v>1339275</v>
      </c>
    </row>
    <row r="18" spans="1:17" ht="24" customHeight="1" x14ac:dyDescent="0.3">
      <c r="A18" s="196" t="s">
        <v>428</v>
      </c>
      <c r="B18" s="196" t="s">
        <v>429</v>
      </c>
      <c r="C18" s="196" t="s">
        <v>430</v>
      </c>
      <c r="D18" s="58">
        <f>설계변경내역서!G103</f>
        <v>0</v>
      </c>
      <c r="E18" s="54">
        <f>설계변경내역서!I103</f>
        <v>0</v>
      </c>
      <c r="F18" s="85">
        <f>설계변경내역서!K103</f>
        <v>0</v>
      </c>
      <c r="G18" s="58">
        <f>설계변경내역서!M103</f>
        <v>0</v>
      </c>
      <c r="Q18" s="3" t="str">
        <f ca="1">HYPERLINK("#"&amp;설계변경내역서!O2&amp;"!A"&amp;ROW(설계변경내역서!A103),"내역 →")</f>
        <v>내역 →</v>
      </c>
    </row>
    <row r="19" spans="1:17" ht="24" customHeight="1" x14ac:dyDescent="0.3">
      <c r="A19" s="197"/>
      <c r="B19" s="197"/>
      <c r="C19" s="197"/>
      <c r="D19" s="59">
        <f>설계변경내역서!G104</f>
        <v>24602423</v>
      </c>
      <c r="E19" s="55">
        <f>설계변경내역서!I104</f>
        <v>18618084</v>
      </c>
      <c r="F19" s="86">
        <f>설계변경내역서!K104</f>
        <v>2148142</v>
      </c>
      <c r="G19" s="59">
        <f>설계변경내역서!M104</f>
        <v>3836197</v>
      </c>
    </row>
    <row r="20" spans="1:17" ht="24" customHeight="1" x14ac:dyDescent="0.3">
      <c r="A20" s="196" t="s">
        <v>337</v>
      </c>
      <c r="B20" s="196" t="s">
        <v>411</v>
      </c>
      <c r="C20" s="196" t="s">
        <v>412</v>
      </c>
      <c r="D20" s="58">
        <f>설계변경내역서!G119</f>
        <v>431643</v>
      </c>
      <c r="E20" s="54">
        <f>설계변경내역서!I119</f>
        <v>322719</v>
      </c>
      <c r="F20" s="85">
        <f>설계변경내역서!K119</f>
        <v>42640</v>
      </c>
      <c r="G20" s="58">
        <f>설계변경내역서!M119</f>
        <v>66284</v>
      </c>
      <c r="Q20" s="3" t="str">
        <f ca="1">HYPERLINK("#"&amp;설계변경내역서!O2&amp;"!A"&amp;ROW(설계변경내역서!A119),"내역 →")</f>
        <v>내역 →</v>
      </c>
    </row>
    <row r="21" spans="1:17" ht="24" customHeight="1" x14ac:dyDescent="0.3">
      <c r="A21" s="197"/>
      <c r="B21" s="197"/>
      <c r="C21" s="197"/>
      <c r="D21" s="59">
        <f>설계변경내역서!G120</f>
        <v>1951709</v>
      </c>
      <c r="E21" s="55">
        <f>설계변경내역서!I120</f>
        <v>1446198</v>
      </c>
      <c r="F21" s="86">
        <f>설계변경내역서!K120</f>
        <v>181700</v>
      </c>
      <c r="G21" s="59">
        <f>설계변경내역서!M120</f>
        <v>323811</v>
      </c>
    </row>
    <row r="22" spans="1:17" ht="24" customHeight="1" x14ac:dyDescent="0.3">
      <c r="A22" s="196" t="s">
        <v>444</v>
      </c>
      <c r="B22" s="196" t="s">
        <v>445</v>
      </c>
      <c r="C22" s="196" t="s">
        <v>446</v>
      </c>
      <c r="D22" s="58">
        <f>설계변경내역서!G121</f>
        <v>431643</v>
      </c>
      <c r="E22" s="54">
        <f>설계변경내역서!I121</f>
        <v>322719</v>
      </c>
      <c r="F22" s="85">
        <f>설계변경내역서!K121</f>
        <v>42640</v>
      </c>
      <c r="G22" s="58">
        <f>설계변경내역서!M121</f>
        <v>66284</v>
      </c>
      <c r="Q22" s="3" t="str">
        <f ca="1">HYPERLINK("#"&amp;설계변경내역서!O2&amp;"!A"&amp;ROW(설계변경내역서!A121),"내역 →")</f>
        <v>내역 →</v>
      </c>
    </row>
    <row r="23" spans="1:17" ht="24" customHeight="1" x14ac:dyDescent="0.3">
      <c r="A23" s="197"/>
      <c r="B23" s="197"/>
      <c r="C23" s="197"/>
      <c r="D23" s="59">
        <f>설계변경내역서!G122</f>
        <v>1951709</v>
      </c>
      <c r="E23" s="55">
        <f>설계변경내역서!I122</f>
        <v>1446198</v>
      </c>
      <c r="F23" s="86">
        <f>설계변경내역서!K122</f>
        <v>181700</v>
      </c>
      <c r="G23" s="59">
        <f>설계변경내역서!M122</f>
        <v>323811</v>
      </c>
    </row>
    <row r="24" spans="1:17" ht="24" customHeight="1" x14ac:dyDescent="0.3">
      <c r="A24" s="196" t="s">
        <v>443</v>
      </c>
      <c r="B24" s="196" t="s">
        <v>442</v>
      </c>
      <c r="C24" s="196" t="s">
        <v>441</v>
      </c>
      <c r="D24" s="58">
        <f>설계변경내역서!G143</f>
        <v>2256728</v>
      </c>
      <c r="E24" s="54">
        <f>설계변경내역서!I143</f>
        <v>1702512</v>
      </c>
      <c r="F24" s="85">
        <f>설계변경내역서!K143</f>
        <v>203155</v>
      </c>
      <c r="G24" s="58">
        <f>설계변경내역서!M143</f>
        <v>351061</v>
      </c>
      <c r="Q24" s="3" t="str">
        <f ca="1">HYPERLINK("#"&amp;설계변경내역서!O2&amp;"!A"&amp;ROW(설계변경내역서!A143),"내역 →")</f>
        <v>내역 →</v>
      </c>
    </row>
    <row r="25" spans="1:17" ht="24" customHeight="1" x14ac:dyDescent="0.3">
      <c r="A25" s="197"/>
      <c r="B25" s="197"/>
      <c r="C25" s="197"/>
      <c r="D25" s="59">
        <f>설계변경내역서!G144</f>
        <v>0</v>
      </c>
      <c r="E25" s="55">
        <f>설계변경내역서!I144</f>
        <v>0</v>
      </c>
      <c r="F25" s="86">
        <f>설계변경내역서!K144</f>
        <v>0</v>
      </c>
      <c r="G25" s="59">
        <f>설계변경내역서!M144</f>
        <v>0</v>
      </c>
    </row>
    <row r="26" spans="1:17" ht="24" customHeight="1" x14ac:dyDescent="0.3">
      <c r="A26" s="196" t="s">
        <v>450</v>
      </c>
      <c r="B26" s="196" t="s">
        <v>451</v>
      </c>
      <c r="C26" s="196" t="s">
        <v>452</v>
      </c>
      <c r="D26" s="58">
        <f>설계변경내역서!G145</f>
        <v>2256728</v>
      </c>
      <c r="E26" s="54">
        <f>설계변경내역서!I145</f>
        <v>1702512</v>
      </c>
      <c r="F26" s="85">
        <f>설계변경내역서!K145</f>
        <v>203155</v>
      </c>
      <c r="G26" s="58">
        <f>설계변경내역서!M145</f>
        <v>351061</v>
      </c>
      <c r="Q26" s="3" t="str">
        <f ca="1">HYPERLINK("#"&amp;설계변경내역서!O2&amp;"!A"&amp;ROW(설계변경내역서!A145),"내역 →")</f>
        <v>내역 →</v>
      </c>
    </row>
    <row r="27" spans="1:17" ht="24" customHeight="1" x14ac:dyDescent="0.3">
      <c r="A27" s="197"/>
      <c r="B27" s="197"/>
      <c r="C27" s="197"/>
      <c r="D27" s="59">
        <f>설계변경내역서!G146</f>
        <v>0</v>
      </c>
      <c r="E27" s="55">
        <f>설계변경내역서!I146</f>
        <v>0</v>
      </c>
      <c r="F27" s="86">
        <f>설계변경내역서!K146</f>
        <v>0</v>
      </c>
      <c r="G27" s="59">
        <f>설계변경내역서!M146</f>
        <v>0</v>
      </c>
    </row>
    <row r="28" spans="1:17" ht="24" customHeight="1" x14ac:dyDescent="0.3">
      <c r="A28" s="196" t="s">
        <v>449</v>
      </c>
      <c r="B28" s="196" t="s">
        <v>448</v>
      </c>
      <c r="C28" s="196"/>
      <c r="D28" s="58">
        <f>설계변경내역서!G163</f>
        <v>1249551</v>
      </c>
      <c r="E28" s="54">
        <f>설계변경내역서!I163</f>
        <v>941683</v>
      </c>
      <c r="F28" s="85">
        <f>설계변경내역서!K163</f>
        <v>110075</v>
      </c>
      <c r="G28" s="58">
        <f>설계변경내역서!M163</f>
        <v>197793</v>
      </c>
      <c r="Q28" s="3" t="str">
        <f ca="1">HYPERLINK("#"&amp;설계변경내역서!O2&amp;"!A"&amp;ROW(설계변경내역서!A163),"내역 →")</f>
        <v>내역 →</v>
      </c>
    </row>
    <row r="29" spans="1:17" ht="24" customHeight="1" x14ac:dyDescent="0.3">
      <c r="A29" s="197"/>
      <c r="B29" s="197"/>
      <c r="C29" s="197"/>
      <c r="D29" s="59">
        <f>설계변경내역서!G164</f>
        <v>10851415</v>
      </c>
      <c r="E29" s="55">
        <f>설계변경내역서!I164</f>
        <v>9605833</v>
      </c>
      <c r="F29" s="86">
        <f>설계변경내역서!K164</f>
        <v>510466</v>
      </c>
      <c r="G29" s="59">
        <f>설계변경내역서!M164</f>
        <v>735116</v>
      </c>
    </row>
    <row r="30" spans="1:17" ht="24" customHeight="1" x14ac:dyDescent="0.3">
      <c r="A30" s="196" t="s">
        <v>455</v>
      </c>
      <c r="B30" s="196" t="s">
        <v>456</v>
      </c>
      <c r="C30" s="196" t="s">
        <v>457</v>
      </c>
      <c r="D30" s="58">
        <f>설계변경내역서!G165</f>
        <v>0</v>
      </c>
      <c r="E30" s="54">
        <f>설계변경내역서!I165</f>
        <v>0</v>
      </c>
      <c r="F30" s="85">
        <f>설계변경내역서!K165</f>
        <v>0</v>
      </c>
      <c r="G30" s="58">
        <f>설계변경내역서!M165</f>
        <v>0</v>
      </c>
      <c r="Q30" s="3" t="str">
        <f ca="1">HYPERLINK("#"&amp;설계변경내역서!O2&amp;"!A"&amp;ROW(설계변경내역서!A165),"내역 →")</f>
        <v>내역 →</v>
      </c>
    </row>
    <row r="31" spans="1:17" ht="24" customHeight="1" x14ac:dyDescent="0.3">
      <c r="A31" s="197"/>
      <c r="B31" s="197"/>
      <c r="C31" s="197"/>
      <c r="D31" s="59">
        <f>설계변경내역서!G166</f>
        <v>2520850</v>
      </c>
      <c r="E31" s="55">
        <f>설계변경내역서!I166</f>
        <v>2047516</v>
      </c>
      <c r="F31" s="86">
        <f>설계변경내역서!K166</f>
        <v>170015</v>
      </c>
      <c r="G31" s="59">
        <f>설계변경내역서!M166</f>
        <v>303319</v>
      </c>
    </row>
    <row r="32" spans="1:17" ht="24" customHeight="1" x14ac:dyDescent="0.3">
      <c r="A32" s="196" t="s">
        <v>458</v>
      </c>
      <c r="B32" s="196" t="s">
        <v>459</v>
      </c>
      <c r="C32" s="196" t="s">
        <v>460</v>
      </c>
      <c r="D32" s="58">
        <f>설계변경내역서!G171</f>
        <v>1249551</v>
      </c>
      <c r="E32" s="54">
        <f>설계변경내역서!I171</f>
        <v>941683</v>
      </c>
      <c r="F32" s="85">
        <f>설계변경내역서!K171</f>
        <v>110075</v>
      </c>
      <c r="G32" s="58">
        <f>설계변경내역서!M171</f>
        <v>197793</v>
      </c>
      <c r="Q32" s="3" t="str">
        <f ca="1">HYPERLINK("#"&amp;설계변경내역서!O2&amp;"!A"&amp;ROW(설계변경내역서!A171),"내역 →")</f>
        <v>내역 →</v>
      </c>
    </row>
    <row r="33" spans="1:17" ht="24" customHeight="1" x14ac:dyDescent="0.3">
      <c r="A33" s="197"/>
      <c r="B33" s="197"/>
      <c r="C33" s="197"/>
      <c r="D33" s="59">
        <f>설계변경내역서!G172</f>
        <v>1682297</v>
      </c>
      <c r="E33" s="55">
        <f>설계변경내역서!I172</f>
        <v>1351601</v>
      </c>
      <c r="F33" s="86">
        <f>설계변경내역서!K172</f>
        <v>118643</v>
      </c>
      <c r="G33" s="59">
        <f>설계변경내역서!M172</f>
        <v>212053</v>
      </c>
    </row>
    <row r="34" spans="1:17" ht="24" customHeight="1" x14ac:dyDescent="0.3">
      <c r="A34" s="196" t="s">
        <v>466</v>
      </c>
      <c r="B34" s="196" t="s">
        <v>467</v>
      </c>
      <c r="C34" s="196"/>
      <c r="D34" s="58">
        <f>설계변경내역서!G189</f>
        <v>0</v>
      </c>
      <c r="E34" s="54">
        <f>설계변경내역서!I189</f>
        <v>0</v>
      </c>
      <c r="F34" s="85">
        <f>설계변경내역서!K189</f>
        <v>0</v>
      </c>
      <c r="G34" s="58">
        <f>설계변경내역서!M189</f>
        <v>0</v>
      </c>
      <c r="Q34" s="3" t="str">
        <f ca="1">HYPERLINK("#"&amp;설계변경내역서!O2&amp;"!A"&amp;ROW(설계변경내역서!A189),"내역 →")</f>
        <v>내역 →</v>
      </c>
    </row>
    <row r="35" spans="1:17" ht="24" customHeight="1" x14ac:dyDescent="0.3">
      <c r="A35" s="197"/>
      <c r="B35" s="197"/>
      <c r="C35" s="197"/>
      <c r="D35" s="59">
        <f>설계변경내역서!G190</f>
        <v>6648268</v>
      </c>
      <c r="E35" s="55">
        <f>설계변경내역서!I190</f>
        <v>6206716</v>
      </c>
      <c r="F35" s="86">
        <f>설계변경내역서!K190</f>
        <v>221808</v>
      </c>
      <c r="G35" s="59">
        <f>설계변경내역서!M190</f>
        <v>219744</v>
      </c>
    </row>
    <row r="36" spans="1:17" ht="24" customHeight="1" x14ac:dyDescent="0.3">
      <c r="A36" s="196" t="s">
        <v>466</v>
      </c>
      <c r="B36" s="196" t="s">
        <v>454</v>
      </c>
      <c r="C36" s="196"/>
      <c r="D36" s="58">
        <f>설계변경내역서!G203</f>
        <v>2426970</v>
      </c>
      <c r="E36" s="54">
        <f>설계변경내역서!I203</f>
        <v>2184870</v>
      </c>
      <c r="F36" s="85">
        <f>설계변경내역서!K203</f>
        <v>242100</v>
      </c>
      <c r="G36" s="58">
        <f>설계변경내역서!M203</f>
        <v>0</v>
      </c>
      <c r="Q36" s="3" t="str">
        <f ca="1">HYPERLINK("#"&amp;설계변경내역서!O2&amp;"!A"&amp;ROW(설계변경내역서!A203),"내역 →")</f>
        <v>내역 →</v>
      </c>
    </row>
    <row r="37" spans="1:17" ht="24" customHeight="1" x14ac:dyDescent="0.3">
      <c r="A37" s="197"/>
      <c r="B37" s="197"/>
      <c r="C37" s="197"/>
      <c r="D37" s="59">
        <f>설계변경내역서!G204</f>
        <v>1584800</v>
      </c>
      <c r="E37" s="55">
        <f>설계변경내역서!I204</f>
        <v>1369600</v>
      </c>
      <c r="F37" s="86">
        <f>설계변경내역서!K204</f>
        <v>215200</v>
      </c>
      <c r="G37" s="59">
        <f>설계변경내역서!M204</f>
        <v>0</v>
      </c>
    </row>
    <row r="38" spans="1:17" ht="24" customHeight="1" x14ac:dyDescent="0.3">
      <c r="A38" s="196" t="s">
        <v>511</v>
      </c>
      <c r="B38" s="196" t="s">
        <v>512</v>
      </c>
      <c r="C38" s="196"/>
      <c r="D38" s="58">
        <f>설계변경내역서!G213</f>
        <v>13508318</v>
      </c>
      <c r="E38" s="54">
        <f>설계변경내역서!I213</f>
        <v>0</v>
      </c>
      <c r="F38" s="85">
        <f>설계변경내역서!K213</f>
        <v>0</v>
      </c>
      <c r="G38" s="58">
        <f>설계변경내역서!M213</f>
        <v>13508318</v>
      </c>
      <c r="Q38" s="3" t="str">
        <f ca="1">HYPERLINK("#"&amp;설계변경내역서!O2&amp;"!A"&amp;ROW(설계변경내역서!A213),"내역 →")</f>
        <v>내역 →</v>
      </c>
    </row>
    <row r="39" spans="1:17" ht="24" customHeight="1" x14ac:dyDescent="0.3">
      <c r="A39" s="197"/>
      <c r="B39" s="197"/>
      <c r="C39" s="197"/>
      <c r="D39" s="59">
        <f>설계변경내역서!G214</f>
        <v>9644676</v>
      </c>
      <c r="E39" s="55">
        <f>설계변경내역서!I214</f>
        <v>0</v>
      </c>
      <c r="F39" s="86">
        <f>설계변경내역서!K214</f>
        <v>0</v>
      </c>
      <c r="G39" s="59">
        <f>설계변경내역서!M214</f>
        <v>9644676</v>
      </c>
    </row>
    <row r="40" spans="1:17" ht="24" customHeight="1" x14ac:dyDescent="0.3">
      <c r="A40" s="196" t="s">
        <v>587</v>
      </c>
      <c r="B40" s="196" t="s">
        <v>588</v>
      </c>
      <c r="C40" s="196"/>
      <c r="D40" s="58">
        <f>설계변경내역서!G243</f>
        <v>35569296</v>
      </c>
      <c r="E40" s="54">
        <f>설계변경내역서!I243</f>
        <v>0</v>
      </c>
      <c r="F40" s="85">
        <f>설계변경내역서!K243</f>
        <v>35569296</v>
      </c>
      <c r="G40" s="58">
        <f>설계변경내역서!M243</f>
        <v>0</v>
      </c>
      <c r="Q40" s="3" t="str">
        <f ca="1">HYPERLINK("#"&amp;설계변경내역서!O2&amp;"!A"&amp;ROW(설계변경내역서!A243),"내역 →")</f>
        <v>내역 →</v>
      </c>
    </row>
    <row r="41" spans="1:17" ht="24" customHeight="1" x14ac:dyDescent="0.3">
      <c r="A41" s="197"/>
      <c r="B41" s="197"/>
      <c r="C41" s="197"/>
      <c r="D41" s="59">
        <f>설계변경내역서!G244</f>
        <v>21877533</v>
      </c>
      <c r="E41" s="55">
        <f>설계변경내역서!I244</f>
        <v>0</v>
      </c>
      <c r="F41" s="86">
        <f>설계변경내역서!K244</f>
        <v>21877533</v>
      </c>
      <c r="G41" s="59">
        <f>설계변경내역서!M244</f>
        <v>0</v>
      </c>
    </row>
    <row r="42" spans="1:17" ht="24" customHeight="1" x14ac:dyDescent="0.3">
      <c r="A42" s="196" t="s">
        <v>272</v>
      </c>
      <c r="B42" s="196" t="s">
        <v>271</v>
      </c>
      <c r="C42" s="196"/>
      <c r="D42" s="58">
        <f>설계변경내역서!G263</f>
        <v>93027484</v>
      </c>
      <c r="E42" s="54">
        <f>설계변경내역서!I263</f>
        <v>32976276</v>
      </c>
      <c r="F42" s="85">
        <f>설계변경내역서!K263</f>
        <v>40003539</v>
      </c>
      <c r="G42" s="58">
        <f>설계변경내역서!M263</f>
        <v>20047669</v>
      </c>
      <c r="Q42" s="3" t="str">
        <f ca="1">HYPERLINK("#"&amp;설계변경내역서!O2&amp;"!A"&amp;ROW(설계변경내역서!A263),"내역 →")</f>
        <v>내역 →</v>
      </c>
    </row>
    <row r="43" spans="1:17" ht="24" customHeight="1" x14ac:dyDescent="0.3">
      <c r="A43" s="197"/>
      <c r="B43" s="197"/>
      <c r="C43" s="197"/>
      <c r="D43" s="59">
        <f>설계변경내역서!G264</f>
        <v>85142041</v>
      </c>
      <c r="E43" s="55">
        <f>설계변경내역서!I264</f>
        <v>41778438</v>
      </c>
      <c r="F43" s="86">
        <f>설계변경내역서!K264</f>
        <v>26448347</v>
      </c>
      <c r="G43" s="59">
        <f>설계변경내역서!M264</f>
        <v>16915256</v>
      </c>
    </row>
    <row r="44" spans="1:17" ht="24" customHeight="1" x14ac:dyDescent="0.3">
      <c r="A44" s="196"/>
      <c r="B44" s="196" t="s">
        <v>270</v>
      </c>
      <c r="C44" s="196"/>
      <c r="D44" s="58">
        <f>ROUNDDOWN(E42*M44/100,0)</f>
        <v>4715607</v>
      </c>
      <c r="E44" s="198" t="str">
        <f>"직접노무비 x "&amp;ROUND(M44,5)&amp;"%"</f>
        <v>직접노무비 x 14.3%</v>
      </c>
      <c r="F44" s="199"/>
      <c r="G44" s="200"/>
      <c r="H44" s="17" t="s">
        <v>269</v>
      </c>
      <c r="I44" s="35">
        <v>0</v>
      </c>
      <c r="M44" s="89">
        <v>14.3</v>
      </c>
      <c r="N44" s="35">
        <v>0</v>
      </c>
      <c r="O44" s="35">
        <v>0</v>
      </c>
      <c r="P44" s="35">
        <v>0</v>
      </c>
    </row>
    <row r="45" spans="1:17" ht="24" customHeight="1" x14ac:dyDescent="0.3">
      <c r="A45" s="197"/>
      <c r="B45" s="197"/>
      <c r="C45" s="197"/>
      <c r="D45" s="59">
        <f>ROUNDDOWN(E43*M45/100,0)</f>
        <v>5974316</v>
      </c>
      <c r="E45" s="201" t="str">
        <f>"직접노무비 x "&amp;ROUND(M45,5)&amp;"%"</f>
        <v>직접노무비 x 14.3%</v>
      </c>
      <c r="F45" s="202"/>
      <c r="G45" s="203"/>
      <c r="H45" s="17" t="s">
        <v>630</v>
      </c>
      <c r="I45" s="35">
        <v>0</v>
      </c>
      <c r="M45" s="89">
        <v>14.3</v>
      </c>
      <c r="N45" s="35">
        <v>0</v>
      </c>
      <c r="O45" s="35">
        <v>0</v>
      </c>
      <c r="P45" s="35">
        <v>0</v>
      </c>
    </row>
    <row r="46" spans="1:17" ht="24" customHeight="1" x14ac:dyDescent="0.3">
      <c r="A46" s="196"/>
      <c r="B46" s="196" t="s">
        <v>631</v>
      </c>
      <c r="C46" s="196"/>
      <c r="D46" s="58">
        <f>ROUNDDOWN(((E42+D44))*M46/100,0)</f>
        <v>1341831</v>
      </c>
      <c r="E46" s="198" t="str">
        <f>"(직접노무비+간접노무비) x "&amp;ROUND(M46,5)&amp;"%"</f>
        <v>(직접노무비+간접노무비) x 3.56%</v>
      </c>
      <c r="F46" s="199"/>
      <c r="G46" s="200"/>
      <c r="H46" s="17" t="s">
        <v>632</v>
      </c>
      <c r="I46" s="35">
        <v>0</v>
      </c>
      <c r="M46" s="89">
        <v>3.56</v>
      </c>
      <c r="N46" s="35">
        <v>0</v>
      </c>
      <c r="O46" s="35">
        <v>0</v>
      </c>
      <c r="P46" s="35">
        <v>0</v>
      </c>
    </row>
    <row r="47" spans="1:17" ht="24" customHeight="1" x14ac:dyDescent="0.3">
      <c r="A47" s="197"/>
      <c r="B47" s="197"/>
      <c r="C47" s="197"/>
      <c r="D47" s="59">
        <f>ROUNDDOWN(((E43+D45))*M47/100,0)</f>
        <v>1699998</v>
      </c>
      <c r="E47" s="201" t="str">
        <f>"(직접노무비+간접노무비) x "&amp;ROUND(M47,5)&amp;"%"</f>
        <v>(직접노무비+간접노무비) x 3.56%</v>
      </c>
      <c r="F47" s="202"/>
      <c r="G47" s="203"/>
      <c r="H47" s="17" t="s">
        <v>633</v>
      </c>
      <c r="I47" s="35">
        <v>0</v>
      </c>
      <c r="M47" s="89">
        <v>3.56</v>
      </c>
      <c r="N47" s="35">
        <v>0</v>
      </c>
      <c r="O47" s="35">
        <v>0</v>
      </c>
      <c r="P47" s="35">
        <v>0</v>
      </c>
    </row>
    <row r="48" spans="1:17" ht="24" customHeight="1" x14ac:dyDescent="0.3">
      <c r="A48" s="196"/>
      <c r="B48" s="196" t="s">
        <v>634</v>
      </c>
      <c r="C48" s="196"/>
      <c r="D48" s="58">
        <f>ROUNDDOWN(((E42+D44))*M48/100,0)</f>
        <v>380688</v>
      </c>
      <c r="E48" s="198" t="str">
        <f>"(직접노무비+간접노무비) x "&amp;ROUND(M48,5)&amp;"%"</f>
        <v>(직접노무비+간접노무비) x 1.01%</v>
      </c>
      <c r="F48" s="199"/>
      <c r="G48" s="200"/>
      <c r="H48" s="17" t="s">
        <v>635</v>
      </c>
      <c r="I48" s="35">
        <v>0</v>
      </c>
      <c r="M48" s="89">
        <v>1.01</v>
      </c>
      <c r="N48" s="35">
        <v>0</v>
      </c>
      <c r="O48" s="35">
        <v>0</v>
      </c>
      <c r="P48" s="35">
        <v>0</v>
      </c>
    </row>
    <row r="49" spans="1:16" ht="24" customHeight="1" x14ac:dyDescent="0.3">
      <c r="A49" s="197"/>
      <c r="B49" s="197"/>
      <c r="C49" s="197"/>
      <c r="D49" s="59">
        <f>ROUNDDOWN(((E43+D45))*M49/100,0)</f>
        <v>482302</v>
      </c>
      <c r="E49" s="201" t="str">
        <f>"(직접노무비+간접노무비) x "&amp;ROUND(M49,5)&amp;"%"</f>
        <v>(직접노무비+간접노무비) x 1.01%</v>
      </c>
      <c r="F49" s="202"/>
      <c r="G49" s="203"/>
      <c r="H49" s="17" t="s">
        <v>636</v>
      </c>
      <c r="I49" s="35">
        <v>0</v>
      </c>
      <c r="M49" s="89">
        <v>1.01</v>
      </c>
      <c r="N49" s="35">
        <v>0</v>
      </c>
      <c r="O49" s="35">
        <v>0</v>
      </c>
      <c r="P49" s="35">
        <v>0</v>
      </c>
    </row>
    <row r="50" spans="1:16" ht="24" customHeight="1" x14ac:dyDescent="0.3">
      <c r="A50" s="196"/>
      <c r="B50" s="196" t="s">
        <v>637</v>
      </c>
      <c r="C50" s="196"/>
      <c r="D50" s="70">
        <v>1328500</v>
      </c>
      <c r="E50" s="204"/>
      <c r="F50" s="199"/>
      <c r="G50" s="200"/>
      <c r="H50" s="17" t="s">
        <v>638</v>
      </c>
      <c r="I50" s="35">
        <v>0</v>
      </c>
      <c r="J50" s="61">
        <f>E42</f>
        <v>32976276</v>
      </c>
      <c r="M50" s="90">
        <v>3.5449999999999999</v>
      </c>
      <c r="N50" s="35">
        <v>0</v>
      </c>
      <c r="O50" s="35">
        <v>0</v>
      </c>
      <c r="P50" s="35">
        <v>0</v>
      </c>
    </row>
    <row r="51" spans="1:16" ht="24" customHeight="1" x14ac:dyDescent="0.3">
      <c r="A51" s="197"/>
      <c r="B51" s="197"/>
      <c r="C51" s="197"/>
      <c r="D51" s="71">
        <v>1328500</v>
      </c>
      <c r="E51" s="205"/>
      <c r="F51" s="202"/>
      <c r="G51" s="203"/>
      <c r="H51" s="17" t="s">
        <v>639</v>
      </c>
      <c r="I51" s="35">
        <v>0</v>
      </c>
      <c r="J51" s="61">
        <f>E43</f>
        <v>41778438</v>
      </c>
      <c r="M51" s="90">
        <v>3.5449999999999999</v>
      </c>
      <c r="N51" s="35">
        <v>0</v>
      </c>
      <c r="O51" s="35">
        <v>0</v>
      </c>
      <c r="P51" s="35">
        <v>0</v>
      </c>
    </row>
    <row r="52" spans="1:16" ht="24" customHeight="1" x14ac:dyDescent="0.3">
      <c r="A52" s="196"/>
      <c r="B52" s="196" t="s">
        <v>640</v>
      </c>
      <c r="C52" s="196"/>
      <c r="D52" s="70">
        <v>172040</v>
      </c>
      <c r="E52" s="204"/>
      <c r="F52" s="199"/>
      <c r="G52" s="200"/>
      <c r="H52" s="17" t="s">
        <v>641</v>
      </c>
      <c r="I52" s="35">
        <v>0</v>
      </c>
      <c r="J52" s="61">
        <f>D50</f>
        <v>1328500</v>
      </c>
      <c r="M52" s="90">
        <v>12.95</v>
      </c>
      <c r="N52" s="35">
        <v>0</v>
      </c>
      <c r="O52" s="35">
        <v>0</v>
      </c>
      <c r="P52" s="35">
        <v>0</v>
      </c>
    </row>
    <row r="53" spans="1:16" ht="24" customHeight="1" x14ac:dyDescent="0.3">
      <c r="A53" s="197"/>
      <c r="B53" s="197"/>
      <c r="C53" s="197"/>
      <c r="D53" s="71">
        <v>172040</v>
      </c>
      <c r="E53" s="205"/>
      <c r="F53" s="202"/>
      <c r="G53" s="203"/>
      <c r="H53" s="17" t="s">
        <v>642</v>
      </c>
      <c r="I53" s="35">
        <v>0</v>
      </c>
      <c r="J53" s="61">
        <f>D51</f>
        <v>1328500</v>
      </c>
      <c r="M53" s="90">
        <v>12.95</v>
      </c>
      <c r="N53" s="35">
        <v>0</v>
      </c>
      <c r="O53" s="35">
        <v>0</v>
      </c>
      <c r="P53" s="35">
        <v>0</v>
      </c>
    </row>
    <row r="54" spans="1:16" ht="24" customHeight="1" x14ac:dyDescent="0.3">
      <c r="A54" s="196"/>
      <c r="B54" s="196" t="s">
        <v>643</v>
      </c>
      <c r="C54" s="196"/>
      <c r="D54" s="70">
        <v>1686389</v>
      </c>
      <c r="E54" s="204"/>
      <c r="F54" s="199"/>
      <c r="G54" s="200"/>
      <c r="H54" s="17" t="s">
        <v>644</v>
      </c>
      <c r="I54" s="35">
        <v>0</v>
      </c>
      <c r="J54" s="61">
        <f>E42</f>
        <v>32976276</v>
      </c>
      <c r="M54" s="90">
        <v>4.5</v>
      </c>
      <c r="N54" s="35">
        <v>0</v>
      </c>
      <c r="O54" s="35">
        <v>0</v>
      </c>
      <c r="P54" s="35">
        <v>0</v>
      </c>
    </row>
    <row r="55" spans="1:16" ht="24" customHeight="1" x14ac:dyDescent="0.3">
      <c r="A55" s="197"/>
      <c r="B55" s="197"/>
      <c r="C55" s="197"/>
      <c r="D55" s="71">
        <v>1686389</v>
      </c>
      <c r="E55" s="205"/>
      <c r="F55" s="202"/>
      <c r="G55" s="203"/>
      <c r="H55" s="17" t="s">
        <v>645</v>
      </c>
      <c r="I55" s="35">
        <v>0</v>
      </c>
      <c r="J55" s="61">
        <f>E43</f>
        <v>41778438</v>
      </c>
      <c r="M55" s="90">
        <v>4.5</v>
      </c>
      <c r="N55" s="35">
        <v>0</v>
      </c>
      <c r="O55" s="35">
        <v>0</v>
      </c>
      <c r="P55" s="35">
        <v>0</v>
      </c>
    </row>
    <row r="56" spans="1:16" ht="24" customHeight="1" x14ac:dyDescent="0.3">
      <c r="A56" s="196"/>
      <c r="B56" s="196" t="s">
        <v>646</v>
      </c>
      <c r="C56" s="196"/>
      <c r="D56" s="70">
        <v>2612476</v>
      </c>
      <c r="E56" s="204"/>
      <c r="F56" s="199"/>
      <c r="G56" s="200"/>
      <c r="H56" s="17" t="s">
        <v>647</v>
      </c>
      <c r="I56" s="35">
        <v>0</v>
      </c>
      <c r="J56" s="61">
        <f>((E42+(F42)))</f>
        <v>72979815</v>
      </c>
      <c r="M56" s="90">
        <v>3.15</v>
      </c>
      <c r="N56" s="35">
        <v>0</v>
      </c>
      <c r="O56" s="35">
        <v>0</v>
      </c>
      <c r="P56" s="35">
        <v>0</v>
      </c>
    </row>
    <row r="57" spans="1:16" ht="24" customHeight="1" x14ac:dyDescent="0.3">
      <c r="A57" s="197"/>
      <c r="B57" s="197"/>
      <c r="C57" s="197"/>
      <c r="D57" s="59">
        <f>D56+ROUNDDOWN(D56*((J57-J56)/J56),0)</f>
        <v>2442331</v>
      </c>
      <c r="E57" s="205" t="s">
        <v>649</v>
      </c>
      <c r="F57" s="202"/>
      <c r="G57" s="203"/>
      <c r="H57" s="17" t="s">
        <v>648</v>
      </c>
      <c r="I57" s="35">
        <v>0</v>
      </c>
      <c r="J57" s="61">
        <f>((E43+(F43)))</f>
        <v>68226785</v>
      </c>
      <c r="M57" s="90">
        <v>3.15</v>
      </c>
      <c r="N57" s="35">
        <v>0</v>
      </c>
      <c r="O57" s="35">
        <v>0</v>
      </c>
      <c r="P57" s="35">
        <v>0</v>
      </c>
    </row>
    <row r="58" spans="1:16" ht="24" customHeight="1" x14ac:dyDescent="0.3">
      <c r="A58" s="196"/>
      <c r="B58" s="196" t="s">
        <v>650</v>
      </c>
      <c r="C58" s="196"/>
      <c r="D58" s="58">
        <f>ROUNDDOWN(((((E42+D44)+(F42))))*M58/100,0)</f>
        <v>4506334</v>
      </c>
      <c r="E58" s="198" t="str">
        <f>"(직접노무비+간접노무비+재료비) x "&amp;ROUND(M58,5)&amp;"%"</f>
        <v>(직접노무비+간접노무비+재료비) x 5.8%</v>
      </c>
      <c r="F58" s="199"/>
      <c r="G58" s="200"/>
      <c r="H58" s="17" t="s">
        <v>651</v>
      </c>
      <c r="I58" s="35">
        <v>0</v>
      </c>
      <c r="M58" s="89">
        <v>5.8</v>
      </c>
      <c r="N58" s="35">
        <v>0</v>
      </c>
      <c r="O58" s="35">
        <v>0</v>
      </c>
      <c r="P58" s="35">
        <v>0</v>
      </c>
    </row>
    <row r="59" spans="1:16" ht="24" customHeight="1" x14ac:dyDescent="0.3">
      <c r="A59" s="197"/>
      <c r="B59" s="197"/>
      <c r="C59" s="197"/>
      <c r="D59" s="59">
        <f>ROUNDDOWN(((((E43+D45)+(F43))))*M59/100,0)</f>
        <v>4303663</v>
      </c>
      <c r="E59" s="201" t="str">
        <f>"(직접노무비+간접노무비+재료비) x "&amp;ROUND(M59,5)&amp;"%"</f>
        <v>(직접노무비+간접노무비+재료비) x 5.8%</v>
      </c>
      <c r="F59" s="202"/>
      <c r="G59" s="203"/>
      <c r="H59" s="17" t="s">
        <v>652</v>
      </c>
      <c r="I59" s="35">
        <v>0</v>
      </c>
      <c r="M59" s="89">
        <v>5.8</v>
      </c>
      <c r="N59" s="35">
        <v>0</v>
      </c>
      <c r="O59" s="35">
        <v>0</v>
      </c>
      <c r="P59" s="35">
        <v>0</v>
      </c>
    </row>
    <row r="60" spans="1:16" ht="24" customHeight="1" x14ac:dyDescent="0.3">
      <c r="A60" s="196"/>
      <c r="B60" s="196" t="s">
        <v>653</v>
      </c>
      <c r="C60" s="196"/>
      <c r="D60" s="58">
        <f>ROUNDDOWN((D42)*M60/100,0)</f>
        <v>744219</v>
      </c>
      <c r="E60" s="198" t="str">
        <f>"(재료비 + 직접노무비 + 산출경비) x "&amp;ROUND(M60,5)&amp;"%"</f>
        <v>(재료비 + 직접노무비 + 산출경비) x 0.8%</v>
      </c>
      <c r="F60" s="199"/>
      <c r="G60" s="200"/>
      <c r="H60" s="17" t="s">
        <v>654</v>
      </c>
      <c r="I60" s="35">
        <v>0</v>
      </c>
      <c r="M60" s="89">
        <v>0.8</v>
      </c>
      <c r="N60" s="35">
        <v>0</v>
      </c>
      <c r="O60" s="35">
        <v>0</v>
      </c>
      <c r="P60" s="35">
        <v>0</v>
      </c>
    </row>
    <row r="61" spans="1:16" ht="24" customHeight="1" x14ac:dyDescent="0.3">
      <c r="A61" s="197"/>
      <c r="B61" s="197"/>
      <c r="C61" s="197"/>
      <c r="D61" s="59">
        <f>ROUNDDOWN((D43)*M61/100,0)</f>
        <v>681136</v>
      </c>
      <c r="E61" s="201" t="str">
        <f>"(재료비 + 직접노무비 + 산출경비) x "&amp;ROUND(M61,5)&amp;"%"</f>
        <v>(재료비 + 직접노무비 + 산출경비) x 0.8%</v>
      </c>
      <c r="F61" s="202"/>
      <c r="G61" s="203"/>
      <c r="H61" s="17" t="s">
        <v>655</v>
      </c>
      <c r="I61" s="35">
        <v>0</v>
      </c>
      <c r="M61" s="89">
        <v>0.8</v>
      </c>
      <c r="N61" s="35">
        <v>0</v>
      </c>
      <c r="O61" s="35">
        <v>0</v>
      </c>
      <c r="P61" s="35">
        <v>0</v>
      </c>
    </row>
    <row r="62" spans="1:16" ht="24" customHeight="1" x14ac:dyDescent="0.3">
      <c r="A62" s="196"/>
      <c r="B62" s="196" t="s">
        <v>656</v>
      </c>
      <c r="C62" s="196"/>
      <c r="D62" s="58">
        <f>ROUNDDOWN((D42)*M62/100,0)</f>
        <v>372109</v>
      </c>
      <c r="E62" s="198" t="str">
        <f>"(재료비 + 직접노무비 + 산출경비) x "&amp;ROUND(M62,5)&amp;"%"</f>
        <v>(재료비 + 직접노무비 + 산출경비) x 0.4%</v>
      </c>
      <c r="F62" s="199"/>
      <c r="G62" s="200"/>
      <c r="H62" s="17" t="s">
        <v>657</v>
      </c>
      <c r="I62" s="35">
        <v>0</v>
      </c>
      <c r="M62" s="89">
        <v>0.4</v>
      </c>
      <c r="N62" s="35">
        <v>0</v>
      </c>
      <c r="O62" s="35">
        <v>0</v>
      </c>
      <c r="P62" s="35">
        <v>0</v>
      </c>
    </row>
    <row r="63" spans="1:16" ht="24" customHeight="1" x14ac:dyDescent="0.3">
      <c r="A63" s="197"/>
      <c r="B63" s="197"/>
      <c r="C63" s="197"/>
      <c r="D63" s="59">
        <f>ROUNDDOWN((D43)*M63/100,0)</f>
        <v>340568</v>
      </c>
      <c r="E63" s="201" t="str">
        <f>"(재료비 + 직접노무비 + 산출경비) x "&amp;ROUND(M63,5)&amp;"%"</f>
        <v>(재료비 + 직접노무비 + 산출경비) x 0.4%</v>
      </c>
      <c r="F63" s="202"/>
      <c r="G63" s="203"/>
      <c r="H63" s="17" t="s">
        <v>658</v>
      </c>
      <c r="I63" s="35">
        <v>0</v>
      </c>
      <c r="M63" s="89">
        <v>0.4</v>
      </c>
      <c r="N63" s="35">
        <v>0</v>
      </c>
      <c r="O63" s="35">
        <v>0</v>
      </c>
      <c r="P63" s="35">
        <v>0</v>
      </c>
    </row>
    <row r="64" spans="1:16" ht="24" customHeight="1" x14ac:dyDescent="0.3">
      <c r="A64" s="196" t="s">
        <v>659</v>
      </c>
      <c r="B64" s="196" t="s">
        <v>660</v>
      </c>
      <c r="C64" s="196"/>
      <c r="D64" s="58">
        <f>(D42+D44+D46+D48+D50+D52+D54+D56+D58+D60+D62)</f>
        <v>110887677</v>
      </c>
      <c r="E64" s="204"/>
      <c r="F64" s="199"/>
      <c r="G64" s="200"/>
      <c r="H64" s="17" t="s">
        <v>661</v>
      </c>
      <c r="I64" s="35">
        <v>0</v>
      </c>
      <c r="M64" s="35">
        <v>0</v>
      </c>
      <c r="N64" s="35">
        <v>0</v>
      </c>
      <c r="O64" s="35">
        <v>0</v>
      </c>
      <c r="P64" s="35">
        <v>0</v>
      </c>
    </row>
    <row r="65" spans="1:16" ht="24" customHeight="1" x14ac:dyDescent="0.3">
      <c r="A65" s="197"/>
      <c r="B65" s="197"/>
      <c r="C65" s="197"/>
      <c r="D65" s="59">
        <f>(D43+D45+D47+D49+D51+D53+D55+D57+D59+D61+D63)</f>
        <v>104253284</v>
      </c>
      <c r="E65" s="205"/>
      <c r="F65" s="202"/>
      <c r="G65" s="203"/>
      <c r="H65" s="17" t="s">
        <v>662</v>
      </c>
      <c r="I65" s="35">
        <v>0</v>
      </c>
      <c r="M65" s="35">
        <v>0</v>
      </c>
      <c r="N65" s="35">
        <v>0</v>
      </c>
      <c r="O65" s="35">
        <v>0</v>
      </c>
      <c r="P65" s="35">
        <v>0</v>
      </c>
    </row>
    <row r="66" spans="1:16" ht="24" customHeight="1" x14ac:dyDescent="0.3">
      <c r="A66" s="196"/>
      <c r="B66" s="196" t="s">
        <v>663</v>
      </c>
      <c r="C66" s="196"/>
      <c r="D66" s="58">
        <f>ROUNDDOWN(((D64)+0)*M66/100,0)</f>
        <v>6653260</v>
      </c>
      <c r="E66" s="198" t="str">
        <f>"(나.소  계) x "&amp;ROUND(M66,5)&amp;"%"</f>
        <v>(나.소  계) x 6%</v>
      </c>
      <c r="F66" s="199"/>
      <c r="G66" s="200"/>
      <c r="H66" s="17" t="s">
        <v>664</v>
      </c>
      <c r="I66" s="35">
        <v>0</v>
      </c>
      <c r="M66" s="88">
        <v>6</v>
      </c>
      <c r="N66" s="35">
        <v>0</v>
      </c>
      <c r="O66" s="35">
        <v>0</v>
      </c>
      <c r="P66" s="35">
        <v>0</v>
      </c>
    </row>
    <row r="67" spans="1:16" ht="24" customHeight="1" x14ac:dyDescent="0.3">
      <c r="A67" s="197"/>
      <c r="B67" s="197"/>
      <c r="C67" s="197"/>
      <c r="D67" s="59">
        <f>ROUNDDOWN(((D65)+0)*M67/100,0)</f>
        <v>6255197</v>
      </c>
      <c r="E67" s="201" t="str">
        <f>"(나.소  계) x "&amp;ROUND(M67,5)&amp;"%"</f>
        <v>(나.소  계) x 6%</v>
      </c>
      <c r="F67" s="202"/>
      <c r="G67" s="203"/>
      <c r="H67" s="17" t="s">
        <v>665</v>
      </c>
      <c r="I67" s="35">
        <v>0</v>
      </c>
      <c r="M67" s="88">
        <v>6</v>
      </c>
      <c r="N67" s="35">
        <v>0</v>
      </c>
      <c r="O67" s="35">
        <v>0</v>
      </c>
      <c r="P67" s="35">
        <v>0</v>
      </c>
    </row>
    <row r="68" spans="1:16" ht="24" customHeight="1" x14ac:dyDescent="0.3">
      <c r="A68" s="196" t="s">
        <v>666</v>
      </c>
      <c r="B68" s="196" t="s">
        <v>660</v>
      </c>
      <c r="C68" s="196"/>
      <c r="D68" s="58">
        <f>(D64+D66)</f>
        <v>117540937</v>
      </c>
      <c r="E68" s="204"/>
      <c r="F68" s="199"/>
      <c r="G68" s="200"/>
      <c r="H68" s="17" t="s">
        <v>667</v>
      </c>
      <c r="I68" s="35">
        <v>3</v>
      </c>
      <c r="J68" s="61">
        <f>D68</f>
        <v>117540937</v>
      </c>
      <c r="L68" s="61">
        <f>D68</f>
        <v>117540937</v>
      </c>
      <c r="M68" s="35">
        <v>0</v>
      </c>
      <c r="N68" s="35">
        <v>0</v>
      </c>
      <c r="O68" s="35">
        <v>0</v>
      </c>
      <c r="P68" s="35">
        <v>0</v>
      </c>
    </row>
    <row r="69" spans="1:16" ht="24" customHeight="1" x14ac:dyDescent="0.3">
      <c r="A69" s="197"/>
      <c r="B69" s="197"/>
      <c r="C69" s="197"/>
      <c r="D69" s="59">
        <f>(D65+D67)</f>
        <v>110508481</v>
      </c>
      <c r="E69" s="205"/>
      <c r="F69" s="202"/>
      <c r="G69" s="203"/>
      <c r="H69" s="17" t="s">
        <v>668</v>
      </c>
      <c r="I69" s="35">
        <v>3</v>
      </c>
      <c r="J69" s="61">
        <f>D69</f>
        <v>110508481</v>
      </c>
      <c r="L69" s="61">
        <f>D69</f>
        <v>110508481</v>
      </c>
      <c r="M69" s="35">
        <v>0</v>
      </c>
      <c r="N69" s="35">
        <v>0</v>
      </c>
      <c r="O69" s="35">
        <v>0</v>
      </c>
      <c r="P69" s="35">
        <v>0</v>
      </c>
    </row>
    <row r="70" spans="1:16" ht="24" customHeight="1" x14ac:dyDescent="0.3">
      <c r="A70" s="196"/>
      <c r="B70" s="196" t="s">
        <v>669</v>
      </c>
      <c r="C70" s="196"/>
      <c r="D70" s="58">
        <f>ROUNDDOWN(((D68)-(F42))*M70/100,0)-I70-K70</f>
        <v>10767078</v>
      </c>
      <c r="E70" s="198" t="str">
        <f>"(다.소계 - 재료비) x "&amp;ROUND(M70,5)&amp;"% = "&amp;TEXT(J70,"#,##0")</f>
        <v>(다.소계 - 재료비) x 13.887% = 10,767,618</v>
      </c>
      <c r="F70" s="199"/>
      <c r="G70" s="200"/>
      <c r="H70" s="17" t="s">
        <v>670</v>
      </c>
      <c r="I70" s="87">
        <f>J76-ROUNDDOWN(J76,-I68)</f>
        <v>540</v>
      </c>
      <c r="J70" s="61">
        <f>ROUNDDOWN(((J68)-(F42))*M70/100,0)</f>
        <v>10767618</v>
      </c>
      <c r="K70" s="61">
        <f>ABS(L76-ROUNDDOWN(J76,-I68))*IF(L76&gt;ROUNDDOWN(J76,-I68),1,-1)</f>
        <v>0</v>
      </c>
      <c r="L70" s="61">
        <f>ROUNDDOWN(((L68)-(F42))*M70/100,0)-I70</f>
        <v>10767078</v>
      </c>
      <c r="M70" s="89">
        <v>13.887</v>
      </c>
      <c r="N70" s="35">
        <v>0</v>
      </c>
      <c r="O70" s="35">
        <v>0</v>
      </c>
      <c r="P70" s="35">
        <v>0</v>
      </c>
    </row>
    <row r="71" spans="1:16" ht="24" customHeight="1" x14ac:dyDescent="0.3">
      <c r="A71" s="197"/>
      <c r="B71" s="197"/>
      <c r="C71" s="197"/>
      <c r="D71" s="59">
        <f>ROUNDDOWN(((D69)-(F43))*M71/100,0)-I71-K71</f>
        <v>11672434</v>
      </c>
      <c r="E71" s="201" t="str">
        <f>"(다.소계 - 재료비) x "&amp;ROUND(M71,5)&amp;"% = "&amp;TEXT(J71,"#,##0")</f>
        <v>(다.소계 - 재료비) x 13.887% = 11,673,430</v>
      </c>
      <c r="F71" s="202"/>
      <c r="G71" s="203"/>
      <c r="H71" s="17" t="s">
        <v>671</v>
      </c>
      <c r="I71" s="87">
        <f>J77-ROUNDDOWN(J77,-I69)</f>
        <v>996</v>
      </c>
      <c r="J71" s="61">
        <f>ROUNDDOWN(((J69)-(F43))*M71/100,0)</f>
        <v>11673430</v>
      </c>
      <c r="K71" s="61">
        <f>ABS(L77-ROUNDDOWN(J77,-I69))*IF(L77&gt;ROUNDDOWN(J77,-I69),1,-1)</f>
        <v>0</v>
      </c>
      <c r="L71" s="61">
        <f>ROUNDDOWN(((L69)-(F43))*M71/100,0)-I71</f>
        <v>11672434</v>
      </c>
      <c r="M71" s="89">
        <v>13.887</v>
      </c>
      <c r="N71" s="35">
        <v>0</v>
      </c>
      <c r="O71" s="35">
        <v>0</v>
      </c>
      <c r="P71" s="35">
        <v>0</v>
      </c>
    </row>
    <row r="72" spans="1:16" ht="24" customHeight="1" x14ac:dyDescent="0.3">
      <c r="A72" s="196" t="s">
        <v>672</v>
      </c>
      <c r="B72" s="196" t="s">
        <v>673</v>
      </c>
      <c r="C72" s="196"/>
      <c r="D72" s="58">
        <f>(D68+D70)</f>
        <v>128308015</v>
      </c>
      <c r="E72" s="204"/>
      <c r="F72" s="199"/>
      <c r="G72" s="200"/>
      <c r="H72" s="17" t="s">
        <v>674</v>
      </c>
      <c r="I72" s="35">
        <v>0</v>
      </c>
      <c r="J72" s="61">
        <f>(J68+J70)</f>
        <v>128308555</v>
      </c>
      <c r="L72" s="61">
        <f>(L68+L70)</f>
        <v>128308015</v>
      </c>
      <c r="M72" s="35">
        <v>0</v>
      </c>
      <c r="N72" s="35">
        <v>0</v>
      </c>
      <c r="O72" s="35">
        <v>0</v>
      </c>
      <c r="P72" s="35">
        <v>0</v>
      </c>
    </row>
    <row r="73" spans="1:16" ht="24" customHeight="1" x14ac:dyDescent="0.3">
      <c r="A73" s="197"/>
      <c r="B73" s="197"/>
      <c r="C73" s="197"/>
      <c r="D73" s="59">
        <f>(D69+D71)</f>
        <v>122180915</v>
      </c>
      <c r="E73" s="205"/>
      <c r="F73" s="202"/>
      <c r="G73" s="203"/>
      <c r="H73" s="17" t="s">
        <v>675</v>
      </c>
      <c r="I73" s="35">
        <v>0</v>
      </c>
      <c r="J73" s="61">
        <f>(J69+J71)</f>
        <v>122181911</v>
      </c>
      <c r="L73" s="61">
        <f>(L69+L71)</f>
        <v>122180915</v>
      </c>
      <c r="M73" s="35">
        <v>0</v>
      </c>
      <c r="N73" s="35">
        <v>0</v>
      </c>
      <c r="O73" s="35">
        <v>0</v>
      </c>
      <c r="P73" s="35">
        <v>0</v>
      </c>
    </row>
    <row r="74" spans="1:16" ht="24" customHeight="1" x14ac:dyDescent="0.3">
      <c r="A74" s="196"/>
      <c r="B74" s="196" t="s">
        <v>676</v>
      </c>
      <c r="C74" s="196"/>
      <c r="D74" s="58">
        <f>ROUNDDOWN((D42-E42-1131350)*M74/100,0)+I74</f>
        <v>5891985</v>
      </c>
      <c r="E74" s="198" t="str">
        <f>"(재료비 - 면세품목:￦1,131,350 + 산출경비) x "&amp;ROUND(M74,5)&amp;"%"</f>
        <v>(재료비 - 면세품목:￦1,131,350 + 산출경비) x 10%</v>
      </c>
      <c r="F74" s="199"/>
      <c r="G74" s="200"/>
      <c r="H74" s="17" t="s">
        <v>677</v>
      </c>
      <c r="I74" s="88">
        <v>0</v>
      </c>
      <c r="J74" s="61">
        <f>ROUNDDOWN((D42-E42-1131350)*M74/100,0)+I74</f>
        <v>5891985</v>
      </c>
      <c r="L74" s="61">
        <f>ROUNDDOWN((D42-E42-1131350)*M74/100,0)+I74</f>
        <v>5891985</v>
      </c>
      <c r="M74" s="88">
        <v>10</v>
      </c>
      <c r="N74" s="35">
        <v>1131350</v>
      </c>
      <c r="O74" s="35">
        <v>4</v>
      </c>
      <c r="P74" s="35">
        <v>0</v>
      </c>
    </row>
    <row r="75" spans="1:16" ht="24" customHeight="1" x14ac:dyDescent="0.3">
      <c r="A75" s="197"/>
      <c r="B75" s="197"/>
      <c r="C75" s="197"/>
      <c r="D75" s="59">
        <f>ROUNDDOWN((D43-E43-332750)*M75/100,0)+I75</f>
        <v>4303085</v>
      </c>
      <c r="E75" s="201" t="str">
        <f>"(재료비 - 면세품목:￦332,750 + 산출경비) x "&amp;ROUND(M75,5)&amp;"%"</f>
        <v>(재료비 - 면세품목:￦332,750 + 산출경비) x 10%</v>
      </c>
      <c r="F75" s="202"/>
      <c r="G75" s="203"/>
      <c r="H75" s="17" t="s">
        <v>678</v>
      </c>
      <c r="I75" s="88">
        <v>0</v>
      </c>
      <c r="J75" s="61">
        <f>ROUNDDOWN((D43-E43-332750)*M75/100,0)+I75</f>
        <v>4303085</v>
      </c>
      <c r="L75" s="61">
        <f>ROUNDDOWN((D43-E43-332750)*M75/100,0)+I75</f>
        <v>4303085</v>
      </c>
      <c r="M75" s="88">
        <v>10</v>
      </c>
      <c r="N75" s="35">
        <v>332750</v>
      </c>
      <c r="O75" s="35">
        <v>4</v>
      </c>
      <c r="P75" s="35">
        <v>0</v>
      </c>
    </row>
    <row r="76" spans="1:16" ht="24" customHeight="1" x14ac:dyDescent="0.3">
      <c r="A76" s="196" t="s">
        <v>679</v>
      </c>
      <c r="B76" s="196" t="s">
        <v>680</v>
      </c>
      <c r="C76" s="196"/>
      <c r="D76" s="58">
        <f>(D72+D74)</f>
        <v>134200000</v>
      </c>
      <c r="E76" s="204"/>
      <c r="F76" s="199"/>
      <c r="G76" s="200"/>
      <c r="H76" s="17" t="s">
        <v>681</v>
      </c>
      <c r="I76" s="35">
        <v>0</v>
      </c>
      <c r="J76" s="61">
        <f>(J72+J74)</f>
        <v>134200540</v>
      </c>
      <c r="L76" s="61">
        <f>(L72+L74)</f>
        <v>134200000</v>
      </c>
      <c r="M76" s="35">
        <v>0</v>
      </c>
      <c r="N76" s="35">
        <v>0</v>
      </c>
      <c r="O76" s="35">
        <v>3</v>
      </c>
      <c r="P76" s="35">
        <v>0</v>
      </c>
    </row>
    <row r="77" spans="1:16" ht="24" customHeight="1" x14ac:dyDescent="0.3">
      <c r="A77" s="197"/>
      <c r="B77" s="197"/>
      <c r="C77" s="197"/>
      <c r="D77" s="59">
        <f>(D73+D75)</f>
        <v>126484000</v>
      </c>
      <c r="E77" s="205"/>
      <c r="F77" s="202"/>
      <c r="G77" s="203"/>
      <c r="H77" s="17" t="s">
        <v>682</v>
      </c>
      <c r="I77" s="35">
        <v>0</v>
      </c>
      <c r="J77" s="61">
        <f>(J73+J75)</f>
        <v>126484996</v>
      </c>
      <c r="L77" s="61">
        <f>(L73+L75)</f>
        <v>126484000</v>
      </c>
      <c r="M77" s="35">
        <v>0</v>
      </c>
      <c r="N77" s="35">
        <v>0</v>
      </c>
      <c r="O77" s="35">
        <v>3</v>
      </c>
      <c r="P77" s="35">
        <v>0</v>
      </c>
    </row>
  </sheetData>
  <mergeCells count="147">
    <mergeCell ref="A76:A77"/>
    <mergeCell ref="B76:B77"/>
    <mergeCell ref="C76:C77"/>
    <mergeCell ref="E76:G76"/>
    <mergeCell ref="E77:G77"/>
    <mergeCell ref="A72:A73"/>
    <mergeCell ref="B72:B73"/>
    <mergeCell ref="C72:C73"/>
    <mergeCell ref="E72:G72"/>
    <mergeCell ref="E73:G73"/>
    <mergeCell ref="A74:A75"/>
    <mergeCell ref="B74:B75"/>
    <mergeCell ref="C74:C75"/>
    <mergeCell ref="E74:G74"/>
    <mergeCell ref="E75:G75"/>
    <mergeCell ref="A68:A69"/>
    <mergeCell ref="B68:B69"/>
    <mergeCell ref="C68:C69"/>
    <mergeCell ref="E68:G68"/>
    <mergeCell ref="E69:G69"/>
    <mergeCell ref="A70:A71"/>
    <mergeCell ref="B70:B71"/>
    <mergeCell ref="C70:C71"/>
    <mergeCell ref="E70:G70"/>
    <mergeCell ref="E71:G71"/>
    <mergeCell ref="A64:A65"/>
    <mergeCell ref="B64:B65"/>
    <mergeCell ref="C64:C65"/>
    <mergeCell ref="E64:G64"/>
    <mergeCell ref="E65:G65"/>
    <mergeCell ref="A66:A67"/>
    <mergeCell ref="B66:B67"/>
    <mergeCell ref="C66:C67"/>
    <mergeCell ref="E66:G66"/>
    <mergeCell ref="E67:G67"/>
    <mergeCell ref="A60:A61"/>
    <mergeCell ref="B60:B61"/>
    <mergeCell ref="C60:C61"/>
    <mergeCell ref="E60:G60"/>
    <mergeCell ref="E61:G61"/>
    <mergeCell ref="A62:A63"/>
    <mergeCell ref="B62:B63"/>
    <mergeCell ref="C62:C63"/>
    <mergeCell ref="E62:G62"/>
    <mergeCell ref="E63:G63"/>
    <mergeCell ref="A56:A57"/>
    <mergeCell ref="B56:B57"/>
    <mergeCell ref="C56:C57"/>
    <mergeCell ref="E56:G56"/>
    <mergeCell ref="E57:G57"/>
    <mergeCell ref="A58:A59"/>
    <mergeCell ref="B58:B59"/>
    <mergeCell ref="C58:C59"/>
    <mergeCell ref="E58:G58"/>
    <mergeCell ref="E59:G59"/>
    <mergeCell ref="A52:A53"/>
    <mergeCell ref="B52:B53"/>
    <mergeCell ref="C52:C53"/>
    <mergeCell ref="E52:G52"/>
    <mergeCell ref="E53:G53"/>
    <mergeCell ref="A54:A55"/>
    <mergeCell ref="B54:B55"/>
    <mergeCell ref="C54:C55"/>
    <mergeCell ref="E54:G54"/>
    <mergeCell ref="E55:G55"/>
    <mergeCell ref="A48:A49"/>
    <mergeCell ref="B48:B49"/>
    <mergeCell ref="C48:C49"/>
    <mergeCell ref="E48:G48"/>
    <mergeCell ref="E49:G49"/>
    <mergeCell ref="A50:A51"/>
    <mergeCell ref="B50:B51"/>
    <mergeCell ref="C50:C51"/>
    <mergeCell ref="E50:G50"/>
    <mergeCell ref="E51:G51"/>
    <mergeCell ref="A44:A45"/>
    <mergeCell ref="B44:B45"/>
    <mergeCell ref="C44:C45"/>
    <mergeCell ref="E44:G44"/>
    <mergeCell ref="E45:G45"/>
    <mergeCell ref="A46:A47"/>
    <mergeCell ref="B46:B47"/>
    <mergeCell ref="C46:C47"/>
    <mergeCell ref="E46:G46"/>
    <mergeCell ref="E47:G47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32:A33"/>
    <mergeCell ref="B32:B33"/>
    <mergeCell ref="C32:C33"/>
    <mergeCell ref="A34:A35"/>
    <mergeCell ref="B34:B35"/>
    <mergeCell ref="C34:C35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A14:A15"/>
    <mergeCell ref="B14:B15"/>
    <mergeCell ref="C14:C15"/>
    <mergeCell ref="A8:A9"/>
    <mergeCell ref="B8:B9"/>
    <mergeCell ref="C8:C9"/>
    <mergeCell ref="A10:A11"/>
    <mergeCell ref="B10:B11"/>
    <mergeCell ref="C10:C11"/>
    <mergeCell ref="A1:G1"/>
    <mergeCell ref="I3:P3"/>
    <mergeCell ref="A4:A5"/>
    <mergeCell ref="B4:B5"/>
    <mergeCell ref="C4:C5"/>
    <mergeCell ref="A6:A7"/>
    <mergeCell ref="B6:B7"/>
    <mergeCell ref="C6:C7"/>
  </mergeCells>
  <phoneticPr fontId="25" type="noConversion"/>
  <conditionalFormatting sqref="D70">
    <cfRule type="expression" dxfId="6" priority="1" stopIfTrue="1">
      <formula>($I$70+$K$70)&lt;0</formula>
    </cfRule>
  </conditionalFormatting>
  <conditionalFormatting sqref="D76">
    <cfRule type="expression" dxfId="5" priority="2" stopIfTrue="1">
      <formula>"&lt;&gt;ROUNDDOWN($J$76,-$I$68)+$I$76*10^($I$68-1)"</formula>
    </cfRule>
  </conditionalFormatting>
  <conditionalFormatting sqref="D71">
    <cfRule type="expression" dxfId="4" priority="3" stopIfTrue="1">
      <formula>($I$71+$K$71)&lt;0</formula>
    </cfRule>
  </conditionalFormatting>
  <conditionalFormatting sqref="D77">
    <cfRule type="expression" dxfId="3" priority="4" stopIfTrue="1">
      <formula>"&lt;&gt;ROUNDDOWN($J$77,-$I$69)+$I$77*10^($I$69-1)"</formula>
    </cfRule>
  </conditionalFormatting>
  <hyperlinks>
    <hyperlink ref="H1" r:id="rId1" tooltip="설계예산시스템(STmate w25.05)으로 작성 하였으며,_x000a_엑셀 인쇄품질 600 dpi에 최적화 되어 있습니다._x000a_경영정보(주) http://www.stma.co.kr_x000a_Tel) 070-4350-0040_x000a_Fax) 0505-300-3948"/>
    <hyperlink ref="Q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1" fitToWidth="0" fitToHeight="0" orientation="landscape" r:id="rId3"/>
  <headerFooter alignWithMargins="0">
    <oddFooter>&amp;L&amp;"굴림체,"&amp;9 ( 상단:당초 , 하단:변경 )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66"/>
  <sheetViews>
    <sheetView workbookViewId="0">
      <pane ySplit="4" topLeftCell="A5" activePane="bottomLeft" state="frozenSplit"/>
      <selection pane="bottomLeft" activeCell="A5" sqref="A5:A6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6" width="10" style="6" customWidth="1"/>
    <col min="7" max="7" width="11.5" style="6" customWidth="1"/>
    <col min="8" max="8" width="10" style="6" customWidth="1"/>
    <col min="9" max="9" width="11.5" style="6" customWidth="1"/>
    <col min="10" max="10" width="10" style="6" customWidth="1"/>
    <col min="11" max="11" width="11.5" style="6" customWidth="1"/>
    <col min="12" max="12" width="10" style="6" customWidth="1"/>
    <col min="13" max="13" width="11.5" style="6" customWidth="1"/>
    <col min="14" max="14" width="10" style="6" customWidth="1"/>
    <col min="15" max="15" width="9.125" style="16" hidden="1" customWidth="1"/>
    <col min="16" max="28" width="2.125" style="6" customWidth="1"/>
    <col min="29" max="29" width="9.125" style="18" customWidth="1"/>
    <col min="30" max="16384" width="9.125" style="6"/>
  </cols>
  <sheetData>
    <row r="1" spans="1:29" ht="24.95" customHeight="1" x14ac:dyDescent="0.3">
      <c r="A1" s="183" t="s">
        <v>253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5" t="s">
        <v>47</v>
      </c>
      <c r="AC1" s="19" t="s">
        <v>47</v>
      </c>
    </row>
    <row r="2" spans="1:29" ht="30.6" customHeight="1" x14ac:dyDescent="0.3">
      <c r="A2" s="1" t="s">
        <v>1</v>
      </c>
      <c r="O2" s="20" t="str">
        <f ca="1">MID(CELL("filename",$A$1),FIND("]",CELL("filename",$A$1))+1,LEN(CELL("filename",$A$1)))</f>
        <v>설계변경내역서</v>
      </c>
    </row>
    <row r="3" spans="1:29" ht="30.6" customHeight="1" x14ac:dyDescent="0.3">
      <c r="A3" s="206" t="s">
        <v>254</v>
      </c>
      <c r="B3" s="206" t="s">
        <v>3</v>
      </c>
      <c r="C3" s="206" t="s">
        <v>4</v>
      </c>
      <c r="D3" s="206" t="s">
        <v>255</v>
      </c>
      <c r="E3" s="206" t="s">
        <v>5</v>
      </c>
      <c r="F3" s="186" t="s">
        <v>6</v>
      </c>
      <c r="G3" s="192"/>
      <c r="H3" s="186" t="s">
        <v>7</v>
      </c>
      <c r="I3" s="192"/>
      <c r="J3" s="186" t="s">
        <v>8</v>
      </c>
      <c r="K3" s="192"/>
      <c r="L3" s="186" t="s">
        <v>9</v>
      </c>
      <c r="M3" s="192"/>
      <c r="N3" s="186" t="s">
        <v>10</v>
      </c>
    </row>
    <row r="4" spans="1:29" ht="30.6" customHeight="1" x14ac:dyDescent="0.3">
      <c r="A4" s="192"/>
      <c r="B4" s="192"/>
      <c r="C4" s="192"/>
      <c r="D4" s="192"/>
      <c r="E4" s="192"/>
      <c r="F4" s="9" t="s">
        <v>156</v>
      </c>
      <c r="G4" s="9" t="s">
        <v>256</v>
      </c>
      <c r="H4" s="9" t="s">
        <v>156</v>
      </c>
      <c r="I4" s="9" t="s">
        <v>256</v>
      </c>
      <c r="J4" s="9" t="s">
        <v>156</v>
      </c>
      <c r="K4" s="9" t="s">
        <v>256</v>
      </c>
      <c r="L4" s="9" t="s">
        <v>156</v>
      </c>
      <c r="M4" s="9" t="s">
        <v>256</v>
      </c>
      <c r="N4" s="187"/>
      <c r="AC4" s="3" t="str">
        <f>HYPERLINK("#'〓 목 차 〓'!B2","목차 →")</f>
        <v>목차 →</v>
      </c>
    </row>
    <row r="5" spans="1:29" ht="30.6" customHeight="1" x14ac:dyDescent="0.3">
      <c r="A5" s="207"/>
      <c r="B5" s="207" t="s">
        <v>261</v>
      </c>
      <c r="C5" s="209" t="s">
        <v>262</v>
      </c>
      <c r="D5" s="42"/>
      <c r="E5" s="211"/>
      <c r="F5" s="48">
        <v>0</v>
      </c>
      <c r="G5" s="54">
        <f>SUMIF(Q7:Q260,P5,G7:G260)</f>
        <v>93027484</v>
      </c>
      <c r="H5" s="62">
        <v>0</v>
      </c>
      <c r="I5" s="58">
        <f>SUMIF(Q7:Q260,P5,I7:I260)</f>
        <v>32976276</v>
      </c>
      <c r="J5" s="62">
        <v>0</v>
      </c>
      <c r="K5" s="76">
        <f>SUMIF(Q7:Q260,P5,K7:K260)</f>
        <v>40003539</v>
      </c>
      <c r="L5" s="72">
        <v>0</v>
      </c>
      <c r="M5" s="76">
        <f>SUMIF(Q7:Q260,P5,M7:M260)</f>
        <v>20047669</v>
      </c>
      <c r="N5" s="213"/>
      <c r="O5" s="17" t="str">
        <f>"_x0007_`COD|E4_x0005_`QTY1|1_x0005_`EXI|0_x0005_`ITT|0_x0005_`END|"&amp;ROW(M261)&amp;"_x0005_`"</f>
        <v>_x0007_`COD|E4_x0005_`QTY1|1_x0005_`EXI|0_x0005_`ITT|0_x0005_`END|261_x0005_`</v>
      </c>
      <c r="P5" s="7" t="s">
        <v>264</v>
      </c>
      <c r="Q5" s="7" t="s">
        <v>258</v>
      </c>
    </row>
    <row r="6" spans="1:29" ht="30.6" customHeight="1" x14ac:dyDescent="0.3">
      <c r="A6" s="208"/>
      <c r="B6" s="208"/>
      <c r="C6" s="210"/>
      <c r="D6" s="43"/>
      <c r="E6" s="212"/>
      <c r="F6" s="49">
        <v>0</v>
      </c>
      <c r="G6" s="55">
        <f>SUMIF(Q7:Q260,P6,G7:G260)</f>
        <v>85142041</v>
      </c>
      <c r="H6" s="63">
        <v>0</v>
      </c>
      <c r="I6" s="59">
        <f>SUMIF(Q7:Q260,P6,I7:I260)</f>
        <v>41778438</v>
      </c>
      <c r="J6" s="63">
        <v>0</v>
      </c>
      <c r="K6" s="77">
        <f>SUMIF(Q7:Q260,P6,K7:K260)</f>
        <v>26448347</v>
      </c>
      <c r="L6" s="73">
        <v>0</v>
      </c>
      <c r="M6" s="77">
        <f>SUMIF(Q7:Q260,P6,M7:M260)</f>
        <v>16915256</v>
      </c>
      <c r="N6" s="189"/>
      <c r="O6" s="17" t="str">
        <f>"_x0007_`COD|E4_x0005_`QTY2|2_x0005_`END|"&amp;ROW(M261)&amp;"_x0005_`"</f>
        <v>_x0007_`COD|E4_x0005_`QTY2|2_x0005_`END|261_x0005_`</v>
      </c>
      <c r="P6" s="7" t="s">
        <v>267</v>
      </c>
      <c r="Q6" s="7" t="s">
        <v>260</v>
      </c>
    </row>
    <row r="7" spans="1:29" ht="30.6" customHeight="1" x14ac:dyDescent="0.3">
      <c r="A7" s="214"/>
      <c r="B7" s="214"/>
      <c r="C7" s="188"/>
      <c r="D7" s="42"/>
      <c r="E7" s="211"/>
      <c r="F7" s="48">
        <v>0</v>
      </c>
      <c r="G7" s="56"/>
      <c r="H7" s="64"/>
      <c r="I7" s="64"/>
      <c r="J7" s="64"/>
      <c r="K7" s="64"/>
      <c r="L7" s="64"/>
      <c r="M7" s="82"/>
      <c r="N7" s="213"/>
      <c r="O7" s="17" t="s">
        <v>265</v>
      </c>
      <c r="P7" s="7" t="s">
        <v>263</v>
      </c>
      <c r="Q7" s="7" t="s">
        <v>264</v>
      </c>
    </row>
    <row r="8" spans="1:29" ht="30.6" customHeight="1" x14ac:dyDescent="0.3">
      <c r="A8" s="197"/>
      <c r="B8" s="197"/>
      <c r="C8" s="189"/>
      <c r="D8" s="43"/>
      <c r="E8" s="212"/>
      <c r="F8" s="49">
        <v>0</v>
      </c>
      <c r="G8" s="57"/>
      <c r="H8" s="65"/>
      <c r="I8" s="65"/>
      <c r="J8" s="65"/>
      <c r="K8" s="65"/>
      <c r="L8" s="65"/>
      <c r="M8" s="83"/>
      <c r="N8" s="189"/>
      <c r="O8" s="17" t="s">
        <v>268</v>
      </c>
      <c r="P8" s="7" t="s">
        <v>266</v>
      </c>
      <c r="Q8" s="7" t="s">
        <v>267</v>
      </c>
    </row>
    <row r="9" spans="1:29" ht="30.6" customHeight="1" x14ac:dyDescent="0.3">
      <c r="A9" s="207" t="s">
        <v>273</v>
      </c>
      <c r="B9" s="207" t="s">
        <v>274</v>
      </c>
      <c r="C9" s="209"/>
      <c r="D9" s="42"/>
      <c r="E9" s="211"/>
      <c r="F9" s="48">
        <v>0</v>
      </c>
      <c r="G9" s="54">
        <f>SUMIF(Q11:Q26,P9,G11:G26)</f>
        <v>5682040</v>
      </c>
      <c r="H9" s="62">
        <v>0</v>
      </c>
      <c r="I9" s="58">
        <f>SUMIF(Q11:Q26,P9,I11:I26)</f>
        <v>3555611</v>
      </c>
      <c r="J9" s="62">
        <v>0</v>
      </c>
      <c r="K9" s="76">
        <f>SUMIF(Q11:Q26,P9,K11:K26)</f>
        <v>811246</v>
      </c>
      <c r="L9" s="72">
        <v>0</v>
      </c>
      <c r="M9" s="76">
        <f>SUMIF(Q11:Q26,P9,M11:M26)</f>
        <v>1315183</v>
      </c>
      <c r="N9" s="213"/>
      <c r="O9" s="17" t="str">
        <f>"_x0007_`COD|E3_x0005_`QTY1|1_x0005_`EXI|0_x0005_`ITT|0_x0005_`END|"&amp;ROW(M27)&amp;"_x0005_`"</f>
        <v>_x0007_`COD|E3_x0005_`QTY1|1_x0005_`EXI|0_x0005_`ITT|0_x0005_`END|27_x0005_`</v>
      </c>
      <c r="P9" s="7" t="s">
        <v>276</v>
      </c>
      <c r="Q9" s="7" t="s">
        <v>264</v>
      </c>
    </row>
    <row r="10" spans="1:29" ht="30.6" customHeight="1" x14ac:dyDescent="0.3">
      <c r="A10" s="208"/>
      <c r="B10" s="208"/>
      <c r="C10" s="210"/>
      <c r="D10" s="43"/>
      <c r="E10" s="212"/>
      <c r="F10" s="49">
        <v>0</v>
      </c>
      <c r="G10" s="55">
        <f>SUMIF(Q11:Q26,P10,G11:G26)</f>
        <v>3869055</v>
      </c>
      <c r="H10" s="63">
        <v>0</v>
      </c>
      <c r="I10" s="59">
        <f>SUMIF(Q11:Q26,P10,I11:I26)</f>
        <v>2523642</v>
      </c>
      <c r="J10" s="63">
        <v>0</v>
      </c>
      <c r="K10" s="77">
        <f>SUMIF(Q11:Q26,P10,K11:K26)</f>
        <v>526782</v>
      </c>
      <c r="L10" s="73">
        <v>0</v>
      </c>
      <c r="M10" s="77">
        <f>SUMIF(Q11:Q26,P10,M11:M26)</f>
        <v>818631</v>
      </c>
      <c r="N10" s="189"/>
      <c r="O10" s="17" t="str">
        <f>"_x0007_`COD|E3_x0005_`QTY2|2_x0005_`END|"&amp;ROW(M27)&amp;"_x0005_`"</f>
        <v>_x0007_`COD|E3_x0005_`QTY2|2_x0005_`END|27_x0005_`</v>
      </c>
      <c r="P10" s="7" t="s">
        <v>279</v>
      </c>
      <c r="Q10" s="7" t="s">
        <v>267</v>
      </c>
    </row>
    <row r="11" spans="1:29" ht="30.6" customHeight="1" x14ac:dyDescent="0.3">
      <c r="A11" s="196"/>
      <c r="B11" s="196" t="s">
        <v>281</v>
      </c>
      <c r="C11" s="215" t="s">
        <v>282</v>
      </c>
      <c r="D11" s="44">
        <v>284</v>
      </c>
      <c r="E11" s="211" t="s">
        <v>52</v>
      </c>
      <c r="F11" s="50">
        <f t="shared" ref="F11:F26" si="0">J11+H11+L11</f>
        <v>2239</v>
      </c>
      <c r="G11" s="58">
        <f t="shared" ref="G11:G26" si="1">K11+I11+M11</f>
        <v>635876</v>
      </c>
      <c r="H11" s="66">
        <v>1293</v>
      </c>
      <c r="I11" s="70">
        <f t="shared" ref="I11:I26" si="2">ROUNDDOWN(H11*D11,0)</f>
        <v>367212</v>
      </c>
      <c r="J11" s="66">
        <v>403</v>
      </c>
      <c r="K11" s="72">
        <f t="shared" ref="K11:K26" si="3">ROUNDDOWN(J11*D11,0)</f>
        <v>114452</v>
      </c>
      <c r="L11" s="78">
        <v>543</v>
      </c>
      <c r="M11" s="72">
        <f t="shared" ref="M11:M26" si="4">ROUNDDOWN(L11*D11,0)</f>
        <v>154212</v>
      </c>
      <c r="N11" s="213" t="s">
        <v>283</v>
      </c>
      <c r="O11" s="17" t="s">
        <v>277</v>
      </c>
      <c r="P11" s="7" t="s">
        <v>275</v>
      </c>
      <c r="Q11" s="7" t="s">
        <v>276</v>
      </c>
    </row>
    <row r="12" spans="1:29" ht="30.6" customHeight="1" x14ac:dyDescent="0.3">
      <c r="A12" s="197"/>
      <c r="B12" s="197"/>
      <c r="C12" s="189"/>
      <c r="D12" s="45">
        <v>262</v>
      </c>
      <c r="E12" s="212"/>
      <c r="F12" s="51">
        <f t="shared" si="0"/>
        <v>2239</v>
      </c>
      <c r="G12" s="59">
        <f t="shared" si="1"/>
        <v>586618</v>
      </c>
      <c r="H12" s="67">
        <v>1293</v>
      </c>
      <c r="I12" s="71">
        <f t="shared" si="2"/>
        <v>338766</v>
      </c>
      <c r="J12" s="67">
        <v>403</v>
      </c>
      <c r="K12" s="73">
        <f t="shared" si="3"/>
        <v>105586</v>
      </c>
      <c r="L12" s="79">
        <v>543</v>
      </c>
      <c r="M12" s="73">
        <f t="shared" si="4"/>
        <v>142266</v>
      </c>
      <c r="N12" s="189"/>
      <c r="O12" s="17" t="s">
        <v>280</v>
      </c>
      <c r="P12" s="7" t="s">
        <v>278</v>
      </c>
      <c r="Q12" s="7" t="s">
        <v>279</v>
      </c>
    </row>
    <row r="13" spans="1:29" ht="30.6" customHeight="1" x14ac:dyDescent="0.3">
      <c r="A13" s="196"/>
      <c r="B13" s="196" t="s">
        <v>288</v>
      </c>
      <c r="C13" s="215" t="s">
        <v>289</v>
      </c>
      <c r="D13" s="44">
        <v>66</v>
      </c>
      <c r="E13" s="211" t="s">
        <v>52</v>
      </c>
      <c r="F13" s="50">
        <f t="shared" si="0"/>
        <v>23520</v>
      </c>
      <c r="G13" s="58">
        <f t="shared" si="1"/>
        <v>1552320</v>
      </c>
      <c r="H13" s="66">
        <v>12313</v>
      </c>
      <c r="I13" s="70">
        <f t="shared" si="2"/>
        <v>812658</v>
      </c>
      <c r="J13" s="66">
        <v>3930</v>
      </c>
      <c r="K13" s="72">
        <f t="shared" si="3"/>
        <v>259380</v>
      </c>
      <c r="L13" s="78">
        <v>7277</v>
      </c>
      <c r="M13" s="72">
        <f t="shared" si="4"/>
        <v>480282</v>
      </c>
      <c r="N13" s="213" t="s">
        <v>290</v>
      </c>
      <c r="O13" s="17" t="s">
        <v>285</v>
      </c>
      <c r="P13" s="7" t="s">
        <v>284</v>
      </c>
      <c r="Q13" s="7" t="s">
        <v>276</v>
      </c>
    </row>
    <row r="14" spans="1:29" ht="30.6" customHeight="1" x14ac:dyDescent="0.3">
      <c r="A14" s="197"/>
      <c r="B14" s="197"/>
      <c r="C14" s="189"/>
      <c r="D14" s="45">
        <v>22</v>
      </c>
      <c r="E14" s="212"/>
      <c r="F14" s="51">
        <f t="shared" si="0"/>
        <v>23520</v>
      </c>
      <c r="G14" s="59">
        <f t="shared" si="1"/>
        <v>517440</v>
      </c>
      <c r="H14" s="67">
        <v>12313</v>
      </c>
      <c r="I14" s="71">
        <f t="shared" si="2"/>
        <v>270886</v>
      </c>
      <c r="J14" s="67">
        <v>3930</v>
      </c>
      <c r="K14" s="73">
        <f t="shared" si="3"/>
        <v>86460</v>
      </c>
      <c r="L14" s="79">
        <v>7277</v>
      </c>
      <c r="M14" s="73">
        <f t="shared" si="4"/>
        <v>160094</v>
      </c>
      <c r="N14" s="189"/>
      <c r="O14" s="17" t="s">
        <v>287</v>
      </c>
      <c r="P14" s="7" t="s">
        <v>286</v>
      </c>
      <c r="Q14" s="7" t="s">
        <v>279</v>
      </c>
    </row>
    <row r="15" spans="1:29" ht="30.6" customHeight="1" x14ac:dyDescent="0.3">
      <c r="A15" s="196"/>
      <c r="B15" s="196" t="s">
        <v>295</v>
      </c>
      <c r="C15" s="215" t="s">
        <v>296</v>
      </c>
      <c r="D15" s="44">
        <v>231</v>
      </c>
      <c r="E15" s="211" t="s">
        <v>52</v>
      </c>
      <c r="F15" s="50">
        <f t="shared" si="0"/>
        <v>4696</v>
      </c>
      <c r="G15" s="58">
        <f t="shared" si="1"/>
        <v>1084776</v>
      </c>
      <c r="H15" s="66">
        <v>3974</v>
      </c>
      <c r="I15" s="70">
        <f t="shared" si="2"/>
        <v>917994</v>
      </c>
      <c r="J15" s="66">
        <v>308</v>
      </c>
      <c r="K15" s="72">
        <f t="shared" si="3"/>
        <v>71148</v>
      </c>
      <c r="L15" s="78">
        <v>414</v>
      </c>
      <c r="M15" s="72">
        <f t="shared" si="4"/>
        <v>95634</v>
      </c>
      <c r="N15" s="213" t="s">
        <v>297</v>
      </c>
      <c r="O15" s="17" t="s">
        <v>292</v>
      </c>
      <c r="P15" s="7" t="s">
        <v>291</v>
      </c>
      <c r="Q15" s="7" t="s">
        <v>276</v>
      </c>
    </row>
    <row r="16" spans="1:29" ht="30.6" customHeight="1" x14ac:dyDescent="0.3">
      <c r="A16" s="197"/>
      <c r="B16" s="197"/>
      <c r="C16" s="189"/>
      <c r="D16" s="45">
        <v>200</v>
      </c>
      <c r="E16" s="212"/>
      <c r="F16" s="51">
        <f t="shared" si="0"/>
        <v>4696</v>
      </c>
      <c r="G16" s="59">
        <f t="shared" si="1"/>
        <v>939200</v>
      </c>
      <c r="H16" s="67">
        <v>3974</v>
      </c>
      <c r="I16" s="71">
        <f t="shared" si="2"/>
        <v>794800</v>
      </c>
      <c r="J16" s="67">
        <v>308</v>
      </c>
      <c r="K16" s="73">
        <f t="shared" si="3"/>
        <v>61600</v>
      </c>
      <c r="L16" s="79">
        <v>414</v>
      </c>
      <c r="M16" s="73">
        <f t="shared" si="4"/>
        <v>82800</v>
      </c>
      <c r="N16" s="189"/>
      <c r="O16" s="17" t="s">
        <v>294</v>
      </c>
      <c r="P16" s="7" t="s">
        <v>293</v>
      </c>
      <c r="Q16" s="7" t="s">
        <v>279</v>
      </c>
    </row>
    <row r="17" spans="1:17" ht="30.6" customHeight="1" x14ac:dyDescent="0.3">
      <c r="A17" s="196"/>
      <c r="B17" s="196" t="s">
        <v>302</v>
      </c>
      <c r="C17" s="215" t="s">
        <v>303</v>
      </c>
      <c r="D17" s="44">
        <v>35</v>
      </c>
      <c r="E17" s="211" t="s">
        <v>52</v>
      </c>
      <c r="F17" s="50">
        <f t="shared" si="0"/>
        <v>31314</v>
      </c>
      <c r="G17" s="58">
        <f t="shared" si="1"/>
        <v>1095990</v>
      </c>
      <c r="H17" s="66">
        <v>16391</v>
      </c>
      <c r="I17" s="70">
        <f t="shared" si="2"/>
        <v>573685</v>
      </c>
      <c r="J17" s="66">
        <v>5240</v>
      </c>
      <c r="K17" s="72">
        <f t="shared" si="3"/>
        <v>183400</v>
      </c>
      <c r="L17" s="78">
        <v>9683</v>
      </c>
      <c r="M17" s="72">
        <f t="shared" si="4"/>
        <v>338905</v>
      </c>
      <c r="N17" s="213" t="s">
        <v>304</v>
      </c>
      <c r="O17" s="17" t="s">
        <v>299</v>
      </c>
      <c r="P17" s="7" t="s">
        <v>298</v>
      </c>
      <c r="Q17" s="7" t="s">
        <v>276</v>
      </c>
    </row>
    <row r="18" spans="1:17" ht="30.6" customHeight="1" x14ac:dyDescent="0.3">
      <c r="A18" s="197"/>
      <c r="B18" s="197"/>
      <c r="C18" s="189"/>
      <c r="D18" s="45">
        <v>25</v>
      </c>
      <c r="E18" s="212"/>
      <c r="F18" s="51">
        <f t="shared" si="0"/>
        <v>31314</v>
      </c>
      <c r="G18" s="59">
        <f t="shared" si="1"/>
        <v>782850</v>
      </c>
      <c r="H18" s="67">
        <v>16391</v>
      </c>
      <c r="I18" s="71">
        <f t="shared" si="2"/>
        <v>409775</v>
      </c>
      <c r="J18" s="67">
        <v>5240</v>
      </c>
      <c r="K18" s="73">
        <f t="shared" si="3"/>
        <v>131000</v>
      </c>
      <c r="L18" s="79">
        <v>9683</v>
      </c>
      <c r="M18" s="73">
        <f t="shared" si="4"/>
        <v>242075</v>
      </c>
      <c r="N18" s="189"/>
      <c r="O18" s="17" t="s">
        <v>301</v>
      </c>
      <c r="P18" s="7" t="s">
        <v>300</v>
      </c>
      <c r="Q18" s="7" t="s">
        <v>279</v>
      </c>
    </row>
    <row r="19" spans="1:17" ht="30.6" customHeight="1" x14ac:dyDescent="0.3">
      <c r="A19" s="196"/>
      <c r="B19" s="196" t="s">
        <v>309</v>
      </c>
      <c r="C19" s="215" t="s">
        <v>296</v>
      </c>
      <c r="D19" s="44">
        <v>199</v>
      </c>
      <c r="E19" s="211" t="s">
        <v>52</v>
      </c>
      <c r="F19" s="50">
        <f t="shared" si="0"/>
        <v>2972</v>
      </c>
      <c r="G19" s="58">
        <f t="shared" si="1"/>
        <v>591428</v>
      </c>
      <c r="H19" s="66">
        <v>2347</v>
      </c>
      <c r="I19" s="70">
        <f t="shared" si="2"/>
        <v>467053</v>
      </c>
      <c r="J19" s="66">
        <v>266</v>
      </c>
      <c r="K19" s="72">
        <f t="shared" si="3"/>
        <v>52934</v>
      </c>
      <c r="L19" s="78">
        <v>359</v>
      </c>
      <c r="M19" s="72">
        <f t="shared" si="4"/>
        <v>71441</v>
      </c>
      <c r="N19" s="213" t="s">
        <v>310</v>
      </c>
      <c r="O19" s="17" t="s">
        <v>306</v>
      </c>
      <c r="P19" s="7" t="s">
        <v>305</v>
      </c>
      <c r="Q19" s="7" t="s">
        <v>276</v>
      </c>
    </row>
    <row r="20" spans="1:17" ht="30.6" customHeight="1" x14ac:dyDescent="0.3">
      <c r="A20" s="197"/>
      <c r="B20" s="197"/>
      <c r="C20" s="189"/>
      <c r="D20" s="45">
        <v>170</v>
      </c>
      <c r="E20" s="212"/>
      <c r="F20" s="51">
        <f t="shared" si="0"/>
        <v>2972</v>
      </c>
      <c r="G20" s="59">
        <f t="shared" si="1"/>
        <v>505240</v>
      </c>
      <c r="H20" s="67">
        <v>2347</v>
      </c>
      <c r="I20" s="71">
        <f t="shared" si="2"/>
        <v>398990</v>
      </c>
      <c r="J20" s="67">
        <v>266</v>
      </c>
      <c r="K20" s="73">
        <f t="shared" si="3"/>
        <v>45220</v>
      </c>
      <c r="L20" s="79">
        <v>359</v>
      </c>
      <c r="M20" s="73">
        <f t="shared" si="4"/>
        <v>61030</v>
      </c>
      <c r="N20" s="189"/>
      <c r="O20" s="17" t="s">
        <v>308</v>
      </c>
      <c r="P20" s="7" t="s">
        <v>307</v>
      </c>
      <c r="Q20" s="7" t="s">
        <v>279</v>
      </c>
    </row>
    <row r="21" spans="1:17" ht="30.6" customHeight="1" x14ac:dyDescent="0.3">
      <c r="A21" s="196"/>
      <c r="B21" s="196" t="s">
        <v>315</v>
      </c>
      <c r="C21" s="215" t="s">
        <v>282</v>
      </c>
      <c r="D21" s="44">
        <v>297</v>
      </c>
      <c r="E21" s="211" t="s">
        <v>52</v>
      </c>
      <c r="F21" s="50">
        <f t="shared" si="0"/>
        <v>1580</v>
      </c>
      <c r="G21" s="58">
        <f t="shared" si="1"/>
        <v>469260</v>
      </c>
      <c r="H21" s="66">
        <v>912</v>
      </c>
      <c r="I21" s="70">
        <f t="shared" si="2"/>
        <v>270864</v>
      </c>
      <c r="J21" s="66">
        <v>285</v>
      </c>
      <c r="K21" s="72">
        <f t="shared" si="3"/>
        <v>84645</v>
      </c>
      <c r="L21" s="78">
        <v>383</v>
      </c>
      <c r="M21" s="72">
        <f t="shared" si="4"/>
        <v>113751</v>
      </c>
      <c r="N21" s="213" t="s">
        <v>316</v>
      </c>
      <c r="O21" s="17" t="s">
        <v>312</v>
      </c>
      <c r="P21" s="7" t="s">
        <v>311</v>
      </c>
      <c r="Q21" s="7" t="s">
        <v>276</v>
      </c>
    </row>
    <row r="22" spans="1:17" ht="30.6" customHeight="1" x14ac:dyDescent="0.3">
      <c r="A22" s="197"/>
      <c r="B22" s="197"/>
      <c r="C22" s="189"/>
      <c r="D22" s="45">
        <v>256</v>
      </c>
      <c r="E22" s="212"/>
      <c r="F22" s="51">
        <f t="shared" si="0"/>
        <v>1580</v>
      </c>
      <c r="G22" s="59">
        <f t="shared" si="1"/>
        <v>404480</v>
      </c>
      <c r="H22" s="67">
        <v>912</v>
      </c>
      <c r="I22" s="71">
        <f t="shared" si="2"/>
        <v>233472</v>
      </c>
      <c r="J22" s="67">
        <v>285</v>
      </c>
      <c r="K22" s="73">
        <f t="shared" si="3"/>
        <v>72960</v>
      </c>
      <c r="L22" s="79">
        <v>383</v>
      </c>
      <c r="M22" s="73">
        <f t="shared" si="4"/>
        <v>98048</v>
      </c>
      <c r="N22" s="189"/>
      <c r="O22" s="17" t="s">
        <v>314</v>
      </c>
      <c r="P22" s="7" t="s">
        <v>313</v>
      </c>
      <c r="Q22" s="7" t="s">
        <v>279</v>
      </c>
    </row>
    <row r="23" spans="1:17" ht="30.6" customHeight="1" x14ac:dyDescent="0.3">
      <c r="A23" s="196"/>
      <c r="B23" s="196" t="s">
        <v>321</v>
      </c>
      <c r="C23" s="215" t="s">
        <v>322</v>
      </c>
      <c r="D23" s="44">
        <v>3</v>
      </c>
      <c r="E23" s="211" t="s">
        <v>52</v>
      </c>
      <c r="F23" s="50">
        <f t="shared" si="0"/>
        <v>2386</v>
      </c>
      <c r="G23" s="58">
        <f t="shared" si="1"/>
        <v>7158</v>
      </c>
      <c r="H23" s="66">
        <v>1499</v>
      </c>
      <c r="I23" s="70">
        <f t="shared" si="2"/>
        <v>4497</v>
      </c>
      <c r="J23" s="66">
        <v>397</v>
      </c>
      <c r="K23" s="72">
        <f t="shared" si="3"/>
        <v>1191</v>
      </c>
      <c r="L23" s="78">
        <v>490</v>
      </c>
      <c r="M23" s="72">
        <f t="shared" si="4"/>
        <v>1470</v>
      </c>
      <c r="N23" s="213" t="s">
        <v>323</v>
      </c>
      <c r="O23" s="17" t="s">
        <v>318</v>
      </c>
      <c r="P23" s="7" t="s">
        <v>317</v>
      </c>
      <c r="Q23" s="7" t="s">
        <v>276</v>
      </c>
    </row>
    <row r="24" spans="1:17" ht="30.6" customHeight="1" x14ac:dyDescent="0.3">
      <c r="A24" s="197"/>
      <c r="B24" s="197"/>
      <c r="C24" s="189"/>
      <c r="D24" s="45">
        <v>0</v>
      </c>
      <c r="E24" s="212"/>
      <c r="F24" s="51">
        <f t="shared" si="0"/>
        <v>0</v>
      </c>
      <c r="G24" s="59">
        <f t="shared" si="1"/>
        <v>0</v>
      </c>
      <c r="H24" s="67">
        <v>0</v>
      </c>
      <c r="I24" s="71">
        <f t="shared" si="2"/>
        <v>0</v>
      </c>
      <c r="J24" s="67">
        <v>0</v>
      </c>
      <c r="K24" s="73">
        <f t="shared" si="3"/>
        <v>0</v>
      </c>
      <c r="L24" s="79">
        <v>0</v>
      </c>
      <c r="M24" s="73">
        <f t="shared" si="4"/>
        <v>0</v>
      </c>
      <c r="N24" s="189"/>
      <c r="O24" s="17" t="s">
        <v>320</v>
      </c>
      <c r="P24" s="7" t="s">
        <v>319</v>
      </c>
      <c r="Q24" s="7" t="s">
        <v>279</v>
      </c>
    </row>
    <row r="25" spans="1:17" ht="30.6" customHeight="1" x14ac:dyDescent="0.3">
      <c r="A25" s="196"/>
      <c r="B25" s="196" t="s">
        <v>328</v>
      </c>
      <c r="C25" s="215" t="s">
        <v>329</v>
      </c>
      <c r="D25" s="44">
        <v>208</v>
      </c>
      <c r="E25" s="211" t="s">
        <v>52</v>
      </c>
      <c r="F25" s="50">
        <f t="shared" si="0"/>
        <v>1179</v>
      </c>
      <c r="G25" s="58">
        <f t="shared" si="1"/>
        <v>245232</v>
      </c>
      <c r="H25" s="66">
        <v>681</v>
      </c>
      <c r="I25" s="70">
        <f t="shared" si="2"/>
        <v>141648</v>
      </c>
      <c r="J25" s="66">
        <v>212</v>
      </c>
      <c r="K25" s="72">
        <f t="shared" si="3"/>
        <v>44096</v>
      </c>
      <c r="L25" s="78">
        <v>286</v>
      </c>
      <c r="M25" s="72">
        <f t="shared" si="4"/>
        <v>59488</v>
      </c>
      <c r="N25" s="213" t="s">
        <v>330</v>
      </c>
      <c r="O25" s="17" t="s">
        <v>325</v>
      </c>
      <c r="P25" s="7" t="s">
        <v>324</v>
      </c>
      <c r="Q25" s="7" t="s">
        <v>276</v>
      </c>
    </row>
    <row r="26" spans="1:17" ht="30.6" customHeight="1" x14ac:dyDescent="0.3">
      <c r="A26" s="197"/>
      <c r="B26" s="197"/>
      <c r="C26" s="189"/>
      <c r="D26" s="45">
        <v>113</v>
      </c>
      <c r="E26" s="212"/>
      <c r="F26" s="51">
        <f t="shared" si="0"/>
        <v>1179</v>
      </c>
      <c r="G26" s="59">
        <f t="shared" si="1"/>
        <v>133227</v>
      </c>
      <c r="H26" s="67">
        <v>681</v>
      </c>
      <c r="I26" s="71">
        <f t="shared" si="2"/>
        <v>76953</v>
      </c>
      <c r="J26" s="67">
        <v>212</v>
      </c>
      <c r="K26" s="73">
        <f t="shared" si="3"/>
        <v>23956</v>
      </c>
      <c r="L26" s="79">
        <v>286</v>
      </c>
      <c r="M26" s="73">
        <f t="shared" si="4"/>
        <v>32318</v>
      </c>
      <c r="N26" s="189"/>
      <c r="O26" s="17" t="s">
        <v>327</v>
      </c>
      <c r="P26" s="7" t="s">
        <v>326</v>
      </c>
      <c r="Q26" s="7" t="s">
        <v>279</v>
      </c>
    </row>
    <row r="27" spans="1:17" ht="30.6" customHeight="1" x14ac:dyDescent="0.3">
      <c r="A27" s="214"/>
      <c r="B27" s="214"/>
      <c r="C27" s="188"/>
      <c r="D27" s="42"/>
      <c r="E27" s="211"/>
      <c r="F27" s="48">
        <v>0</v>
      </c>
      <c r="G27" s="56"/>
      <c r="H27" s="64"/>
      <c r="I27" s="64"/>
      <c r="J27" s="64"/>
      <c r="K27" s="64"/>
      <c r="L27" s="64"/>
      <c r="M27" s="82"/>
      <c r="N27" s="213"/>
      <c r="O27" s="17" t="s">
        <v>265</v>
      </c>
      <c r="P27" s="7" t="s">
        <v>263</v>
      </c>
      <c r="Q27" s="7" t="s">
        <v>264</v>
      </c>
    </row>
    <row r="28" spans="1:17" ht="30.6" customHeight="1" x14ac:dyDescent="0.3">
      <c r="A28" s="197"/>
      <c r="B28" s="197"/>
      <c r="C28" s="189"/>
      <c r="D28" s="43"/>
      <c r="E28" s="212"/>
      <c r="F28" s="49">
        <v>0</v>
      </c>
      <c r="G28" s="57"/>
      <c r="H28" s="65"/>
      <c r="I28" s="65"/>
      <c r="J28" s="65"/>
      <c r="K28" s="65"/>
      <c r="L28" s="65"/>
      <c r="M28" s="83"/>
      <c r="N28" s="189"/>
      <c r="O28" s="17" t="s">
        <v>268</v>
      </c>
      <c r="P28" s="7" t="s">
        <v>266</v>
      </c>
      <c r="Q28" s="7" t="s">
        <v>267</v>
      </c>
    </row>
    <row r="29" spans="1:17" ht="30.6" customHeight="1" x14ac:dyDescent="0.3">
      <c r="A29" s="207" t="s">
        <v>331</v>
      </c>
      <c r="B29" s="207" t="s">
        <v>332</v>
      </c>
      <c r="C29" s="209" t="s">
        <v>333</v>
      </c>
      <c r="D29" s="42"/>
      <c r="E29" s="211"/>
      <c r="F29" s="48">
        <v>0</v>
      </c>
      <c r="G29" s="54">
        <f>SUMIF(Q31:Q74,P29,G31:G74)</f>
        <v>1097772</v>
      </c>
      <c r="H29" s="62">
        <v>0</v>
      </c>
      <c r="I29" s="58">
        <f>SUMIF(Q31:Q74,P29,I31:I74)</f>
        <v>819555</v>
      </c>
      <c r="J29" s="62">
        <v>0</v>
      </c>
      <c r="K29" s="76">
        <f>SUMIF(Q31:Q74,P29,K31:K74)</f>
        <v>111677</v>
      </c>
      <c r="L29" s="72">
        <v>0</v>
      </c>
      <c r="M29" s="76">
        <f>SUMIF(Q31:Q74,P29,M31:M74)</f>
        <v>166540</v>
      </c>
      <c r="N29" s="213"/>
      <c r="O29" s="17" t="str">
        <f>"_x0007_`COD|E3_x0005_`QTY1|1_x0005_`EXI|0_x0005_`ITT|0_x0005_`END|"&amp;ROW(M75)&amp;"_x0005_`"</f>
        <v>_x0007_`COD|E3_x0005_`QTY1|1_x0005_`EXI|0_x0005_`ITT|0_x0005_`END|75_x0005_`</v>
      </c>
      <c r="P29" s="7" t="s">
        <v>276</v>
      </c>
      <c r="Q29" s="7" t="s">
        <v>264</v>
      </c>
    </row>
    <row r="30" spans="1:17" ht="30.6" customHeight="1" x14ac:dyDescent="0.3">
      <c r="A30" s="208"/>
      <c r="B30" s="208"/>
      <c r="C30" s="210"/>
      <c r="D30" s="43"/>
      <c r="E30" s="212"/>
      <c r="F30" s="49">
        <v>0</v>
      </c>
      <c r="G30" s="55">
        <f>SUMIF(Q31:Q74,P30,G31:G74)</f>
        <v>1135219</v>
      </c>
      <c r="H30" s="63">
        <v>0</v>
      </c>
      <c r="I30" s="59">
        <f>SUMIF(Q31:Q74,P30,I31:I74)</f>
        <v>800105</v>
      </c>
      <c r="J30" s="63">
        <v>0</v>
      </c>
      <c r="K30" s="77">
        <f>SUMIF(Q31:Q74,P30,K31:K74)</f>
        <v>117564</v>
      </c>
      <c r="L30" s="73">
        <v>0</v>
      </c>
      <c r="M30" s="77">
        <f>SUMIF(Q31:Q74,P30,M31:M74)</f>
        <v>217550</v>
      </c>
      <c r="N30" s="189"/>
      <c r="O30" s="17" t="str">
        <f>"_x0007_`COD|E3_x0005_`QTY2|2_x0005_`END|"&amp;ROW(M75)&amp;"_x0005_`"</f>
        <v>_x0007_`COD|E3_x0005_`QTY2|2_x0005_`END|75_x0005_`</v>
      </c>
      <c r="P30" s="7" t="s">
        <v>279</v>
      </c>
      <c r="Q30" s="7" t="s">
        <v>267</v>
      </c>
    </row>
    <row r="31" spans="1:17" ht="30.6" customHeight="1" x14ac:dyDescent="0.3">
      <c r="A31" s="207" t="s">
        <v>338</v>
      </c>
      <c r="B31" s="207" t="s">
        <v>339</v>
      </c>
      <c r="C31" s="209" t="s">
        <v>340</v>
      </c>
      <c r="D31" s="42"/>
      <c r="E31" s="211"/>
      <c r="F31" s="48">
        <v>0</v>
      </c>
      <c r="G31" s="54">
        <f>SUMIF(Q33:Q52,P31,G33:G52)</f>
        <v>587642</v>
      </c>
      <c r="H31" s="62">
        <v>0</v>
      </c>
      <c r="I31" s="58">
        <f>SUMIF(Q33:Q52,P31,I33:I52)</f>
        <v>438770</v>
      </c>
      <c r="J31" s="62">
        <v>0</v>
      </c>
      <c r="K31" s="76">
        <f>SUMIF(Q33:Q52,P31,K33:K52)</f>
        <v>59645</v>
      </c>
      <c r="L31" s="72">
        <v>0</v>
      </c>
      <c r="M31" s="76">
        <f>SUMIF(Q33:Q52,P31,M33:M52)</f>
        <v>89227</v>
      </c>
      <c r="N31" s="213"/>
      <c r="O31" s="17" t="str">
        <f>"_x0007_`COD|E2_x0005_`QTY1|1_x0005_`EXI|0_x0005_`ITT|0_x0005_`END|"&amp;ROW(M53)&amp;"_x0005_`"</f>
        <v>_x0007_`COD|E2_x0005_`QTY1|1_x0005_`EXI|0_x0005_`ITT|0_x0005_`END|53_x0005_`</v>
      </c>
      <c r="P31" s="7" t="s">
        <v>342</v>
      </c>
      <c r="Q31" s="7" t="s">
        <v>276</v>
      </c>
    </row>
    <row r="32" spans="1:17" ht="30.6" customHeight="1" x14ac:dyDescent="0.3">
      <c r="A32" s="208"/>
      <c r="B32" s="208"/>
      <c r="C32" s="210"/>
      <c r="D32" s="43"/>
      <c r="E32" s="212"/>
      <c r="F32" s="49">
        <v>0</v>
      </c>
      <c r="G32" s="55">
        <f>SUMIF(Q33:Q52,P32,G33:G52)</f>
        <v>415300</v>
      </c>
      <c r="H32" s="63">
        <v>0</v>
      </c>
      <c r="I32" s="59">
        <f>SUMIF(Q33:Q52,P32,I33:I52)</f>
        <v>292530</v>
      </c>
      <c r="J32" s="63">
        <v>0</v>
      </c>
      <c r="K32" s="77">
        <f>SUMIF(Q33:Q52,P32,K33:K52)</f>
        <v>43067</v>
      </c>
      <c r="L32" s="73">
        <v>0</v>
      </c>
      <c r="M32" s="77">
        <f>SUMIF(Q33:Q52,P32,M33:M52)</f>
        <v>79703</v>
      </c>
      <c r="N32" s="189"/>
      <c r="O32" s="17" t="str">
        <f>"_x0007_`COD|E2_x0005_`QTY2|2_x0005_`END|"&amp;ROW(M53)&amp;"_x0005_`"</f>
        <v>_x0007_`COD|E2_x0005_`QTY2|2_x0005_`END|53_x0005_`</v>
      </c>
      <c r="P32" s="7" t="s">
        <v>345</v>
      </c>
      <c r="Q32" s="7" t="s">
        <v>279</v>
      </c>
    </row>
    <row r="33" spans="1:29" ht="30.6" customHeight="1" x14ac:dyDescent="0.3">
      <c r="A33" s="196"/>
      <c r="B33" s="196" t="s">
        <v>347</v>
      </c>
      <c r="C33" s="215" t="s">
        <v>348</v>
      </c>
      <c r="D33" s="44">
        <v>2.12</v>
      </c>
      <c r="E33" s="211" t="s">
        <v>52</v>
      </c>
      <c r="F33" s="50">
        <f t="shared" ref="F33:F52" si="5">J33+H33+L33</f>
        <v>7000</v>
      </c>
      <c r="G33" s="58">
        <f t="shared" ref="G33:G52" si="6">K33+I33+M33</f>
        <v>14839</v>
      </c>
      <c r="H33" s="66">
        <v>5802</v>
      </c>
      <c r="I33" s="70">
        <f t="shared" ref="I33:I52" si="7">ROUNDDOWN(H33*D33,0)</f>
        <v>12300</v>
      </c>
      <c r="J33" s="66">
        <v>920</v>
      </c>
      <c r="K33" s="72">
        <f t="shared" ref="K33:K52" si="8">ROUNDDOWN(J33*D33,0)</f>
        <v>1950</v>
      </c>
      <c r="L33" s="78">
        <v>278</v>
      </c>
      <c r="M33" s="72">
        <f t="shared" ref="M33:M52" si="9">ROUNDDOWN(L33*D33,0)</f>
        <v>589</v>
      </c>
      <c r="N33" s="213" t="s">
        <v>349</v>
      </c>
      <c r="O33" s="17" t="s">
        <v>343</v>
      </c>
      <c r="P33" s="7" t="s">
        <v>341</v>
      </c>
      <c r="Q33" s="7" t="s">
        <v>342</v>
      </c>
    </row>
    <row r="34" spans="1:29" ht="30.6" customHeight="1" x14ac:dyDescent="0.3">
      <c r="A34" s="197"/>
      <c r="B34" s="197"/>
      <c r="C34" s="189"/>
      <c r="D34" s="45">
        <v>0</v>
      </c>
      <c r="E34" s="212"/>
      <c r="F34" s="51">
        <f t="shared" si="5"/>
        <v>0</v>
      </c>
      <c r="G34" s="59">
        <f t="shared" si="6"/>
        <v>0</v>
      </c>
      <c r="H34" s="67">
        <v>0</v>
      </c>
      <c r="I34" s="71">
        <f t="shared" si="7"/>
        <v>0</v>
      </c>
      <c r="J34" s="67">
        <v>0</v>
      </c>
      <c r="K34" s="73">
        <f t="shared" si="8"/>
        <v>0</v>
      </c>
      <c r="L34" s="79">
        <v>0</v>
      </c>
      <c r="M34" s="73">
        <f t="shared" si="9"/>
        <v>0</v>
      </c>
      <c r="N34" s="189"/>
      <c r="O34" s="17" t="s">
        <v>346</v>
      </c>
      <c r="P34" s="7" t="s">
        <v>344</v>
      </c>
      <c r="Q34" s="7" t="s">
        <v>345</v>
      </c>
    </row>
    <row r="35" spans="1:29" ht="30.6" customHeight="1" x14ac:dyDescent="0.3">
      <c r="A35" s="196"/>
      <c r="B35" s="196" t="s">
        <v>354</v>
      </c>
      <c r="C35" s="215" t="s">
        <v>355</v>
      </c>
      <c r="D35" s="44">
        <v>4.78</v>
      </c>
      <c r="E35" s="211" t="s">
        <v>167</v>
      </c>
      <c r="F35" s="50">
        <f t="shared" si="5"/>
        <v>1682</v>
      </c>
      <c r="G35" s="58">
        <f t="shared" si="6"/>
        <v>8039</v>
      </c>
      <c r="H35" s="66">
        <v>0</v>
      </c>
      <c r="I35" s="70">
        <f t="shared" si="7"/>
        <v>0</v>
      </c>
      <c r="J35" s="66">
        <v>1682</v>
      </c>
      <c r="K35" s="72">
        <f t="shared" si="8"/>
        <v>8039</v>
      </c>
      <c r="L35" s="78">
        <v>0</v>
      </c>
      <c r="M35" s="72">
        <f t="shared" si="9"/>
        <v>0</v>
      </c>
      <c r="N35" s="213" t="s">
        <v>356</v>
      </c>
      <c r="O35" s="17" t="s">
        <v>351</v>
      </c>
      <c r="P35" s="7" t="s">
        <v>350</v>
      </c>
      <c r="Q35" s="7" t="s">
        <v>342</v>
      </c>
    </row>
    <row r="36" spans="1:29" ht="30.6" customHeight="1" x14ac:dyDescent="0.3">
      <c r="A36" s="197"/>
      <c r="B36" s="197"/>
      <c r="C36" s="189"/>
      <c r="D36" s="45">
        <v>0</v>
      </c>
      <c r="E36" s="212"/>
      <c r="F36" s="51">
        <f t="shared" si="5"/>
        <v>0</v>
      </c>
      <c r="G36" s="59">
        <f t="shared" si="6"/>
        <v>0</v>
      </c>
      <c r="H36" s="67">
        <v>0</v>
      </c>
      <c r="I36" s="71">
        <f t="shared" si="7"/>
        <v>0</v>
      </c>
      <c r="J36" s="67">
        <v>0</v>
      </c>
      <c r="K36" s="73">
        <f t="shared" si="8"/>
        <v>0</v>
      </c>
      <c r="L36" s="79">
        <v>0</v>
      </c>
      <c r="M36" s="73">
        <f t="shared" si="9"/>
        <v>0</v>
      </c>
      <c r="N36" s="189"/>
      <c r="O36" s="17" t="s">
        <v>353</v>
      </c>
      <c r="P36" s="7" t="s">
        <v>352</v>
      </c>
      <c r="Q36" s="7" t="s">
        <v>345</v>
      </c>
    </row>
    <row r="37" spans="1:29" ht="30.6" customHeight="1" x14ac:dyDescent="0.3">
      <c r="A37" s="196"/>
      <c r="B37" s="196" t="s">
        <v>361</v>
      </c>
      <c r="C37" s="215" t="s">
        <v>362</v>
      </c>
      <c r="D37" s="44">
        <v>0.1</v>
      </c>
      <c r="E37" s="211" t="s">
        <v>52</v>
      </c>
      <c r="F37" s="50">
        <f t="shared" si="5"/>
        <v>98621</v>
      </c>
      <c r="G37" s="58">
        <f t="shared" si="6"/>
        <v>9862</v>
      </c>
      <c r="H37" s="66">
        <v>98621</v>
      </c>
      <c r="I37" s="70">
        <f t="shared" si="7"/>
        <v>9862</v>
      </c>
      <c r="J37" s="66">
        <v>0</v>
      </c>
      <c r="K37" s="72">
        <f t="shared" si="8"/>
        <v>0</v>
      </c>
      <c r="L37" s="78">
        <v>0</v>
      </c>
      <c r="M37" s="72">
        <f t="shared" si="9"/>
        <v>0</v>
      </c>
      <c r="N37" s="213" t="s">
        <v>363</v>
      </c>
      <c r="O37" s="17" t="s">
        <v>358</v>
      </c>
      <c r="P37" s="7" t="s">
        <v>357</v>
      </c>
      <c r="Q37" s="7" t="s">
        <v>342</v>
      </c>
    </row>
    <row r="38" spans="1:29" ht="30.6" customHeight="1" x14ac:dyDescent="0.3">
      <c r="A38" s="197"/>
      <c r="B38" s="197"/>
      <c r="C38" s="189"/>
      <c r="D38" s="45">
        <v>0</v>
      </c>
      <c r="E38" s="212"/>
      <c r="F38" s="51">
        <f t="shared" si="5"/>
        <v>0</v>
      </c>
      <c r="G38" s="59">
        <f t="shared" si="6"/>
        <v>0</v>
      </c>
      <c r="H38" s="67">
        <v>0</v>
      </c>
      <c r="I38" s="71">
        <f t="shared" si="7"/>
        <v>0</v>
      </c>
      <c r="J38" s="67">
        <v>0</v>
      </c>
      <c r="K38" s="73">
        <f t="shared" si="8"/>
        <v>0</v>
      </c>
      <c r="L38" s="79">
        <v>0</v>
      </c>
      <c r="M38" s="73">
        <f t="shared" si="9"/>
        <v>0</v>
      </c>
      <c r="N38" s="189"/>
      <c r="O38" s="17" t="s">
        <v>360</v>
      </c>
      <c r="P38" s="7" t="s">
        <v>359</v>
      </c>
      <c r="Q38" s="7" t="s">
        <v>345</v>
      </c>
    </row>
    <row r="39" spans="1:29" ht="30.6" customHeight="1" x14ac:dyDescent="0.3">
      <c r="A39" s="196"/>
      <c r="B39" s="196" t="s">
        <v>368</v>
      </c>
      <c r="C39" s="215" t="s">
        <v>369</v>
      </c>
      <c r="D39" s="44">
        <v>10.62</v>
      </c>
      <c r="E39" s="211" t="s">
        <v>14</v>
      </c>
      <c r="F39" s="50">
        <f t="shared" si="5"/>
        <v>0</v>
      </c>
      <c r="G39" s="58">
        <f t="shared" si="6"/>
        <v>0</v>
      </c>
      <c r="H39" s="66">
        <v>0</v>
      </c>
      <c r="I39" s="70">
        <f t="shared" si="7"/>
        <v>0</v>
      </c>
      <c r="J39" s="66">
        <v>0</v>
      </c>
      <c r="K39" s="72">
        <f t="shared" si="8"/>
        <v>0</v>
      </c>
      <c r="L39" s="78">
        <v>0</v>
      </c>
      <c r="M39" s="72">
        <f t="shared" si="9"/>
        <v>0</v>
      </c>
      <c r="N39" s="213" t="s">
        <v>370</v>
      </c>
      <c r="O39" s="17" t="s">
        <v>365</v>
      </c>
      <c r="P39" s="7" t="s">
        <v>364</v>
      </c>
      <c r="Q39" s="7" t="s">
        <v>342</v>
      </c>
    </row>
    <row r="40" spans="1:29" ht="30.6" customHeight="1" x14ac:dyDescent="0.3">
      <c r="A40" s="197"/>
      <c r="B40" s="197"/>
      <c r="C40" s="189"/>
      <c r="D40" s="45">
        <v>0</v>
      </c>
      <c r="E40" s="212"/>
      <c r="F40" s="51">
        <f t="shared" si="5"/>
        <v>0</v>
      </c>
      <c r="G40" s="59">
        <f t="shared" si="6"/>
        <v>0</v>
      </c>
      <c r="H40" s="67">
        <v>0</v>
      </c>
      <c r="I40" s="71">
        <f t="shared" si="7"/>
        <v>0</v>
      </c>
      <c r="J40" s="67">
        <v>0</v>
      </c>
      <c r="K40" s="73">
        <f t="shared" si="8"/>
        <v>0</v>
      </c>
      <c r="L40" s="79">
        <v>0</v>
      </c>
      <c r="M40" s="73">
        <f t="shared" si="9"/>
        <v>0</v>
      </c>
      <c r="N40" s="189"/>
      <c r="O40" s="17" t="s">
        <v>367</v>
      </c>
      <c r="P40" s="7" t="s">
        <v>366</v>
      </c>
      <c r="Q40" s="7" t="s">
        <v>345</v>
      </c>
    </row>
    <row r="41" spans="1:29" ht="30.6" customHeight="1" x14ac:dyDescent="0.3">
      <c r="A41" s="196"/>
      <c r="B41" s="196" t="s">
        <v>60</v>
      </c>
      <c r="C41" s="215" t="s">
        <v>61</v>
      </c>
      <c r="D41" s="44">
        <v>0</v>
      </c>
      <c r="E41" s="211" t="s">
        <v>14</v>
      </c>
      <c r="F41" s="50">
        <f t="shared" si="5"/>
        <v>0</v>
      </c>
      <c r="G41" s="58">
        <f t="shared" si="6"/>
        <v>0</v>
      </c>
      <c r="H41" s="68">
        <f>IF(D41=0,0,단가산출근거목록표!F7)</f>
        <v>0</v>
      </c>
      <c r="I41" s="62">
        <f t="shared" si="7"/>
        <v>0</v>
      </c>
      <c r="J41" s="74">
        <f>IF(D41=0,0,단가산출근거목록표!G7)</f>
        <v>0</v>
      </c>
      <c r="K41" s="62">
        <f t="shared" si="8"/>
        <v>0</v>
      </c>
      <c r="L41" s="80">
        <f>IF(D41=0,0,단가산출근거목록표!H7)</f>
        <v>0</v>
      </c>
      <c r="M41" s="72">
        <f t="shared" si="9"/>
        <v>0</v>
      </c>
      <c r="N41" s="213" t="s">
        <v>375</v>
      </c>
      <c r="O41" s="17" t="s">
        <v>372</v>
      </c>
      <c r="P41" s="7" t="s">
        <v>371</v>
      </c>
      <c r="Q41" s="7" t="s">
        <v>342</v>
      </c>
      <c r="AC41" s="3" t="str">
        <f ca="1">HYPERLINK("#"&amp;단가산출근거목록표!J2&amp;"!A"&amp;ROW(단가산출근거목록표!A7),"D01427 →")</f>
        <v>D01427 →</v>
      </c>
    </row>
    <row r="42" spans="1:29" ht="30.6" customHeight="1" x14ac:dyDescent="0.3">
      <c r="A42" s="197"/>
      <c r="B42" s="197"/>
      <c r="C42" s="189"/>
      <c r="D42" s="45">
        <v>5.31</v>
      </c>
      <c r="E42" s="212"/>
      <c r="F42" s="51">
        <f t="shared" si="5"/>
        <v>17902</v>
      </c>
      <c r="G42" s="59">
        <f t="shared" si="6"/>
        <v>95058</v>
      </c>
      <c r="H42" s="69">
        <f>IF(D42=0,0,단가산출근거목록표!F7)</f>
        <v>10589</v>
      </c>
      <c r="I42" s="63">
        <f t="shared" si="7"/>
        <v>56227</v>
      </c>
      <c r="J42" s="75">
        <f>IF(D42=0,0,단가산출근거목록표!G7)</f>
        <v>2430</v>
      </c>
      <c r="K42" s="63">
        <f t="shared" si="8"/>
        <v>12903</v>
      </c>
      <c r="L42" s="81">
        <f>IF(D42=0,0,단가산출근거목록표!H7)</f>
        <v>4883</v>
      </c>
      <c r="M42" s="73">
        <f t="shared" si="9"/>
        <v>25928</v>
      </c>
      <c r="N42" s="189"/>
      <c r="O42" s="17" t="s">
        <v>374</v>
      </c>
      <c r="P42" s="7" t="s">
        <v>373</v>
      </c>
      <c r="Q42" s="7" t="s">
        <v>345</v>
      </c>
    </row>
    <row r="43" spans="1:29" ht="30.6" customHeight="1" x14ac:dyDescent="0.3">
      <c r="A43" s="196"/>
      <c r="B43" s="196" t="s">
        <v>17</v>
      </c>
      <c r="C43" s="215" t="s">
        <v>380</v>
      </c>
      <c r="D43" s="44">
        <v>10.62</v>
      </c>
      <c r="E43" s="211" t="s">
        <v>14</v>
      </c>
      <c r="F43" s="50">
        <f t="shared" si="5"/>
        <v>47749</v>
      </c>
      <c r="G43" s="58">
        <f t="shared" si="6"/>
        <v>507093</v>
      </c>
      <c r="H43" s="66">
        <v>35809</v>
      </c>
      <c r="I43" s="70">
        <f t="shared" si="7"/>
        <v>380291</v>
      </c>
      <c r="J43" s="66">
        <v>4309</v>
      </c>
      <c r="K43" s="72">
        <f t="shared" si="8"/>
        <v>45761</v>
      </c>
      <c r="L43" s="78">
        <v>7631</v>
      </c>
      <c r="M43" s="72">
        <f t="shared" si="9"/>
        <v>81041</v>
      </c>
      <c r="N43" s="213" t="s">
        <v>381</v>
      </c>
      <c r="O43" s="17" t="s">
        <v>377</v>
      </c>
      <c r="P43" s="7" t="s">
        <v>376</v>
      </c>
      <c r="Q43" s="7" t="s">
        <v>342</v>
      </c>
    </row>
    <row r="44" spans="1:29" ht="30.6" customHeight="1" x14ac:dyDescent="0.3">
      <c r="A44" s="197"/>
      <c r="B44" s="197"/>
      <c r="C44" s="189"/>
      <c r="D44" s="45">
        <v>0</v>
      </c>
      <c r="E44" s="212"/>
      <c r="F44" s="51">
        <f t="shared" si="5"/>
        <v>0</v>
      </c>
      <c r="G44" s="59">
        <f t="shared" si="6"/>
        <v>0</v>
      </c>
      <c r="H44" s="67">
        <v>0</v>
      </c>
      <c r="I44" s="71">
        <f t="shared" si="7"/>
        <v>0</v>
      </c>
      <c r="J44" s="67">
        <v>0</v>
      </c>
      <c r="K44" s="73">
        <f t="shared" si="8"/>
        <v>0</v>
      </c>
      <c r="L44" s="79">
        <v>0</v>
      </c>
      <c r="M44" s="73">
        <f t="shared" si="9"/>
        <v>0</v>
      </c>
      <c r="N44" s="189"/>
      <c r="O44" s="17" t="s">
        <v>379</v>
      </c>
      <c r="P44" s="7" t="s">
        <v>378</v>
      </c>
      <c r="Q44" s="7" t="s">
        <v>345</v>
      </c>
    </row>
    <row r="45" spans="1:29" ht="30.6" customHeight="1" x14ac:dyDescent="0.3">
      <c r="A45" s="196"/>
      <c r="B45" s="196" t="s">
        <v>17</v>
      </c>
      <c r="C45" s="215" t="s">
        <v>18</v>
      </c>
      <c r="D45" s="44">
        <v>0</v>
      </c>
      <c r="E45" s="211" t="s">
        <v>14</v>
      </c>
      <c r="F45" s="50">
        <f t="shared" si="5"/>
        <v>0</v>
      </c>
      <c r="G45" s="58">
        <f t="shared" si="6"/>
        <v>0</v>
      </c>
      <c r="H45" s="68">
        <f>IF(D45=0,0,일위대가목록표!F5)</f>
        <v>0</v>
      </c>
      <c r="I45" s="62">
        <f t="shared" si="7"/>
        <v>0</v>
      </c>
      <c r="J45" s="74">
        <f>IF(D45=0,0,일위대가목록표!G5)</f>
        <v>0</v>
      </c>
      <c r="K45" s="62">
        <f t="shared" si="8"/>
        <v>0</v>
      </c>
      <c r="L45" s="80">
        <f>IF(D45=0,0,일위대가목록표!H5)</f>
        <v>0</v>
      </c>
      <c r="M45" s="72">
        <f t="shared" si="9"/>
        <v>0</v>
      </c>
      <c r="N45" s="213" t="s">
        <v>386</v>
      </c>
      <c r="O45" s="17" t="s">
        <v>383</v>
      </c>
      <c r="P45" s="7" t="s">
        <v>382</v>
      </c>
      <c r="Q45" s="7" t="s">
        <v>342</v>
      </c>
      <c r="AC45" s="3" t="str">
        <f ca="1">HYPERLINK("#"&amp;일위대가목록표!J2&amp;"!A"&amp;ROW(일위대가목록표!A5),"B01093 →")</f>
        <v>B01093 →</v>
      </c>
    </row>
    <row r="46" spans="1:29" ht="30.6" customHeight="1" x14ac:dyDescent="0.3">
      <c r="A46" s="197"/>
      <c r="B46" s="197"/>
      <c r="C46" s="189"/>
      <c r="D46" s="45">
        <v>5.31</v>
      </c>
      <c r="E46" s="212"/>
      <c r="F46" s="51">
        <f t="shared" si="5"/>
        <v>55808</v>
      </c>
      <c r="G46" s="59">
        <f t="shared" si="6"/>
        <v>296339</v>
      </c>
      <c r="H46" s="69">
        <f>IF(D46=0,0,일위대가목록표!F5)</f>
        <v>41082</v>
      </c>
      <c r="I46" s="63">
        <f t="shared" si="7"/>
        <v>218145</v>
      </c>
      <c r="J46" s="75">
        <f>IF(D46=0,0,일위대가목록표!G5)</f>
        <v>5314</v>
      </c>
      <c r="K46" s="63">
        <f t="shared" si="8"/>
        <v>28217</v>
      </c>
      <c r="L46" s="81">
        <f>IF(D46=0,0,일위대가목록표!H5)</f>
        <v>9412</v>
      </c>
      <c r="M46" s="73">
        <f t="shared" si="9"/>
        <v>49977</v>
      </c>
      <c r="N46" s="189"/>
      <c r="O46" s="17" t="s">
        <v>385</v>
      </c>
      <c r="P46" s="7" t="s">
        <v>384</v>
      </c>
      <c r="Q46" s="7" t="s">
        <v>345</v>
      </c>
    </row>
    <row r="47" spans="1:29" ht="30.6" customHeight="1" x14ac:dyDescent="0.3">
      <c r="A47" s="196"/>
      <c r="B47" s="196" t="s">
        <v>50</v>
      </c>
      <c r="C47" s="215" t="s">
        <v>51</v>
      </c>
      <c r="D47" s="44">
        <v>1.6</v>
      </c>
      <c r="E47" s="211" t="s">
        <v>52</v>
      </c>
      <c r="F47" s="50">
        <f t="shared" si="5"/>
        <v>18302</v>
      </c>
      <c r="G47" s="58">
        <f t="shared" si="6"/>
        <v>29281</v>
      </c>
      <c r="H47" s="68">
        <f>IF(D47=0,0,단가산출근거목록표!F5)</f>
        <v>13033</v>
      </c>
      <c r="I47" s="62">
        <f t="shared" si="7"/>
        <v>20852</v>
      </c>
      <c r="J47" s="74">
        <f>IF(D47=0,0,단가산출근거목록표!G5)</f>
        <v>1741</v>
      </c>
      <c r="K47" s="62">
        <f t="shared" si="8"/>
        <v>2785</v>
      </c>
      <c r="L47" s="80">
        <f>IF(D47=0,0,단가산출근거목록표!H5)</f>
        <v>3528</v>
      </c>
      <c r="M47" s="72">
        <f t="shared" si="9"/>
        <v>5644</v>
      </c>
      <c r="N47" s="213" t="s">
        <v>391</v>
      </c>
      <c r="O47" s="17" t="s">
        <v>388</v>
      </c>
      <c r="P47" s="7" t="s">
        <v>387</v>
      </c>
      <c r="Q47" s="7" t="s">
        <v>342</v>
      </c>
      <c r="AC47" s="3" t="str">
        <f ca="1">HYPERLINK("#"&amp;단가산출근거목록표!J2&amp;"!A"&amp;ROW(단가산출근거목록표!A5),"D01425 →")</f>
        <v>D01425 →</v>
      </c>
    </row>
    <row r="48" spans="1:29" ht="30.6" customHeight="1" x14ac:dyDescent="0.3">
      <c r="A48" s="197"/>
      <c r="B48" s="197"/>
      <c r="C48" s="189"/>
      <c r="D48" s="45">
        <v>0.8</v>
      </c>
      <c r="E48" s="212"/>
      <c r="F48" s="51">
        <f t="shared" si="5"/>
        <v>18302</v>
      </c>
      <c r="G48" s="59">
        <f t="shared" si="6"/>
        <v>14640</v>
      </c>
      <c r="H48" s="69">
        <f>IF(D48=0,0,단가산출근거목록표!F5)</f>
        <v>13033</v>
      </c>
      <c r="I48" s="63">
        <f t="shared" si="7"/>
        <v>10426</v>
      </c>
      <c r="J48" s="75">
        <f>IF(D48=0,0,단가산출근거목록표!G5)</f>
        <v>1741</v>
      </c>
      <c r="K48" s="63">
        <f t="shared" si="8"/>
        <v>1392</v>
      </c>
      <c r="L48" s="81">
        <f>IF(D48=0,0,단가산출근거목록표!H5)</f>
        <v>3528</v>
      </c>
      <c r="M48" s="73">
        <f t="shared" si="9"/>
        <v>2822</v>
      </c>
      <c r="N48" s="189"/>
      <c r="O48" s="17" t="s">
        <v>390</v>
      </c>
      <c r="P48" s="7" t="s">
        <v>389</v>
      </c>
      <c r="Q48" s="7" t="s">
        <v>345</v>
      </c>
    </row>
    <row r="49" spans="1:29" ht="30.6" customHeight="1" x14ac:dyDescent="0.3">
      <c r="A49" s="196"/>
      <c r="B49" s="196" t="s">
        <v>396</v>
      </c>
      <c r="C49" s="215" t="s">
        <v>369</v>
      </c>
      <c r="D49" s="44">
        <v>2.2799999999999998</v>
      </c>
      <c r="E49" s="211" t="s">
        <v>181</v>
      </c>
      <c r="F49" s="50">
        <f t="shared" si="5"/>
        <v>0</v>
      </c>
      <c r="G49" s="58">
        <f t="shared" si="6"/>
        <v>0</v>
      </c>
      <c r="H49" s="66">
        <v>0</v>
      </c>
      <c r="I49" s="70">
        <f t="shared" si="7"/>
        <v>0</v>
      </c>
      <c r="J49" s="66">
        <v>0</v>
      </c>
      <c r="K49" s="72">
        <f t="shared" si="8"/>
        <v>0</v>
      </c>
      <c r="L49" s="78">
        <v>0</v>
      </c>
      <c r="M49" s="72">
        <f t="shared" si="9"/>
        <v>0</v>
      </c>
      <c r="N49" s="213" t="s">
        <v>397</v>
      </c>
      <c r="O49" s="17" t="s">
        <v>393</v>
      </c>
      <c r="P49" s="7" t="s">
        <v>392</v>
      </c>
      <c r="Q49" s="7" t="s">
        <v>342</v>
      </c>
    </row>
    <row r="50" spans="1:29" ht="30.6" customHeight="1" x14ac:dyDescent="0.3">
      <c r="A50" s="197"/>
      <c r="B50" s="197"/>
      <c r="C50" s="189"/>
      <c r="D50" s="45">
        <v>1.1399999999999999</v>
      </c>
      <c r="E50" s="212"/>
      <c r="F50" s="51">
        <f t="shared" si="5"/>
        <v>0</v>
      </c>
      <c r="G50" s="59">
        <f t="shared" si="6"/>
        <v>0</v>
      </c>
      <c r="H50" s="67">
        <v>0</v>
      </c>
      <c r="I50" s="71">
        <f t="shared" si="7"/>
        <v>0</v>
      </c>
      <c r="J50" s="67">
        <v>0</v>
      </c>
      <c r="K50" s="73">
        <f t="shared" si="8"/>
        <v>0</v>
      </c>
      <c r="L50" s="79">
        <v>0</v>
      </c>
      <c r="M50" s="73">
        <f t="shared" si="9"/>
        <v>0</v>
      </c>
      <c r="N50" s="189"/>
      <c r="O50" s="17" t="s">
        <v>395</v>
      </c>
      <c r="P50" s="7" t="s">
        <v>394</v>
      </c>
      <c r="Q50" s="7" t="s">
        <v>345</v>
      </c>
    </row>
    <row r="51" spans="1:29" ht="30.6" customHeight="1" x14ac:dyDescent="0.3">
      <c r="A51" s="196"/>
      <c r="B51" s="196" t="s">
        <v>56</v>
      </c>
      <c r="C51" s="215" t="s">
        <v>57</v>
      </c>
      <c r="D51" s="44">
        <v>2.2799999999999998</v>
      </c>
      <c r="E51" s="211" t="s">
        <v>52</v>
      </c>
      <c r="F51" s="50">
        <f t="shared" si="5"/>
        <v>8127</v>
      </c>
      <c r="G51" s="58">
        <f t="shared" si="6"/>
        <v>18528</v>
      </c>
      <c r="H51" s="68">
        <f>IF(D51=0,0,단가산출근거목록표!F6)</f>
        <v>6783</v>
      </c>
      <c r="I51" s="62">
        <f t="shared" si="7"/>
        <v>15465</v>
      </c>
      <c r="J51" s="74">
        <f>IF(D51=0,0,단가산출근거목록표!G6)</f>
        <v>487</v>
      </c>
      <c r="K51" s="62">
        <f t="shared" si="8"/>
        <v>1110</v>
      </c>
      <c r="L51" s="80">
        <f>IF(D51=0,0,단가산출근거목록표!H6)</f>
        <v>857</v>
      </c>
      <c r="M51" s="72">
        <f t="shared" si="9"/>
        <v>1953</v>
      </c>
      <c r="N51" s="213" t="s">
        <v>402</v>
      </c>
      <c r="O51" s="17" t="s">
        <v>399</v>
      </c>
      <c r="P51" s="7" t="s">
        <v>398</v>
      </c>
      <c r="Q51" s="7" t="s">
        <v>342</v>
      </c>
      <c r="AC51" s="3" t="str">
        <f ca="1">HYPERLINK("#"&amp;단가산출근거목록표!J2&amp;"!A"&amp;ROW(단가산출근거목록표!A6),"D01426 →")</f>
        <v>D01426 →</v>
      </c>
    </row>
    <row r="52" spans="1:29" ht="30.6" customHeight="1" x14ac:dyDescent="0.3">
      <c r="A52" s="197"/>
      <c r="B52" s="197"/>
      <c r="C52" s="189"/>
      <c r="D52" s="45">
        <v>1.1399999999999999</v>
      </c>
      <c r="E52" s="212"/>
      <c r="F52" s="51">
        <f t="shared" si="5"/>
        <v>8127</v>
      </c>
      <c r="G52" s="59">
        <f t="shared" si="6"/>
        <v>9263</v>
      </c>
      <c r="H52" s="69">
        <f>IF(D52=0,0,단가산출근거목록표!F6)</f>
        <v>6783</v>
      </c>
      <c r="I52" s="63">
        <f t="shared" si="7"/>
        <v>7732</v>
      </c>
      <c r="J52" s="75">
        <f>IF(D52=0,0,단가산출근거목록표!G6)</f>
        <v>487</v>
      </c>
      <c r="K52" s="63">
        <f t="shared" si="8"/>
        <v>555</v>
      </c>
      <c r="L52" s="81">
        <f>IF(D52=0,0,단가산출근거목록표!H6)</f>
        <v>857</v>
      </c>
      <c r="M52" s="73">
        <f t="shared" si="9"/>
        <v>976</v>
      </c>
      <c r="N52" s="189"/>
      <c r="O52" s="17" t="s">
        <v>401</v>
      </c>
      <c r="P52" s="7" t="s">
        <v>400</v>
      </c>
      <c r="Q52" s="7" t="s">
        <v>345</v>
      </c>
    </row>
    <row r="53" spans="1:29" ht="30.6" customHeight="1" x14ac:dyDescent="0.3">
      <c r="A53" s="207" t="s">
        <v>403</v>
      </c>
      <c r="B53" s="207" t="s">
        <v>404</v>
      </c>
      <c r="C53" s="209" t="s">
        <v>405</v>
      </c>
      <c r="D53" s="42"/>
      <c r="E53" s="211"/>
      <c r="F53" s="48">
        <v>0</v>
      </c>
      <c r="G53" s="54">
        <f>SUMIF(Q55:Q74,P53,G55:G74)</f>
        <v>510130</v>
      </c>
      <c r="H53" s="62">
        <v>0</v>
      </c>
      <c r="I53" s="58">
        <f>SUMIF(Q55:Q74,P53,I55:I74)</f>
        <v>380785</v>
      </c>
      <c r="J53" s="62">
        <v>0</v>
      </c>
      <c r="K53" s="76">
        <f>SUMIF(Q55:Q74,P53,K55:K74)</f>
        <v>52032</v>
      </c>
      <c r="L53" s="72">
        <v>0</v>
      </c>
      <c r="M53" s="76">
        <f>SUMIF(Q55:Q74,P53,M55:M74)</f>
        <v>77313</v>
      </c>
      <c r="N53" s="213"/>
      <c r="O53" s="17" t="str">
        <f>"_x0007_`COD|E2_x0005_`QTY1|1_x0005_`EXI|0_x0005_`ITT|0_x0005_`END|"&amp;ROW(M75)&amp;"_x0005_`"</f>
        <v>_x0007_`COD|E2_x0005_`QTY1|1_x0005_`EXI|0_x0005_`ITT|0_x0005_`END|75_x0005_`</v>
      </c>
      <c r="P53" s="7" t="s">
        <v>342</v>
      </c>
      <c r="Q53" s="7" t="s">
        <v>276</v>
      </c>
    </row>
    <row r="54" spans="1:29" ht="30.6" customHeight="1" x14ac:dyDescent="0.3">
      <c r="A54" s="208"/>
      <c r="B54" s="208"/>
      <c r="C54" s="210"/>
      <c r="D54" s="43"/>
      <c r="E54" s="212"/>
      <c r="F54" s="49">
        <v>0</v>
      </c>
      <c r="G54" s="55">
        <f>SUMIF(Q55:Q74,P54,G55:G74)</f>
        <v>719919</v>
      </c>
      <c r="H54" s="63">
        <v>0</v>
      </c>
      <c r="I54" s="59">
        <f>SUMIF(Q55:Q74,P54,I55:I74)</f>
        <v>507575</v>
      </c>
      <c r="J54" s="63">
        <v>0</v>
      </c>
      <c r="K54" s="77">
        <f>SUMIF(Q55:Q74,P54,K55:K74)</f>
        <v>74497</v>
      </c>
      <c r="L54" s="73">
        <v>0</v>
      </c>
      <c r="M54" s="77">
        <f>SUMIF(Q55:Q74,P54,M55:M74)</f>
        <v>137847</v>
      </c>
      <c r="N54" s="189"/>
      <c r="O54" s="17" t="str">
        <f>"_x0007_`COD|E2_x0005_`QTY2|2_x0005_`END|"&amp;ROW(M75)&amp;"_x0005_`"</f>
        <v>_x0007_`COD|E2_x0005_`QTY2|2_x0005_`END|75_x0005_`</v>
      </c>
      <c r="P54" s="7" t="s">
        <v>345</v>
      </c>
      <c r="Q54" s="7" t="s">
        <v>279</v>
      </c>
    </row>
    <row r="55" spans="1:29" ht="30.6" customHeight="1" x14ac:dyDescent="0.3">
      <c r="A55" s="196"/>
      <c r="B55" s="196" t="s">
        <v>347</v>
      </c>
      <c r="C55" s="215" t="s">
        <v>348</v>
      </c>
      <c r="D55" s="44">
        <v>1.83</v>
      </c>
      <c r="E55" s="211" t="s">
        <v>52</v>
      </c>
      <c r="F55" s="50">
        <f t="shared" ref="F55:F74" si="10">J55+H55+L55</f>
        <v>7000</v>
      </c>
      <c r="G55" s="58">
        <f t="shared" ref="G55:G74" si="11">K55+I55+M55</f>
        <v>12808</v>
      </c>
      <c r="H55" s="66">
        <v>5802</v>
      </c>
      <c r="I55" s="70">
        <f t="shared" ref="I55:I74" si="12">ROUNDDOWN(H55*D55,0)</f>
        <v>10617</v>
      </c>
      <c r="J55" s="66">
        <v>920</v>
      </c>
      <c r="K55" s="72">
        <f t="shared" ref="K55:K74" si="13">ROUNDDOWN(J55*D55,0)</f>
        <v>1683</v>
      </c>
      <c r="L55" s="78">
        <v>278</v>
      </c>
      <c r="M55" s="72">
        <f t="shared" ref="M55:M74" si="14">ROUNDDOWN(L55*D55,0)</f>
        <v>508</v>
      </c>
      <c r="N55" s="213" t="s">
        <v>349</v>
      </c>
      <c r="O55" s="17" t="s">
        <v>343</v>
      </c>
      <c r="P55" s="7" t="s">
        <v>341</v>
      </c>
      <c r="Q55" s="7" t="s">
        <v>342</v>
      </c>
    </row>
    <row r="56" spans="1:29" ht="30.6" customHeight="1" x14ac:dyDescent="0.3">
      <c r="A56" s="197"/>
      <c r="B56" s="197"/>
      <c r="C56" s="189"/>
      <c r="D56" s="45">
        <v>0</v>
      </c>
      <c r="E56" s="212"/>
      <c r="F56" s="51">
        <f t="shared" si="10"/>
        <v>0</v>
      </c>
      <c r="G56" s="59">
        <f t="shared" si="11"/>
        <v>0</v>
      </c>
      <c r="H56" s="67">
        <v>0</v>
      </c>
      <c r="I56" s="71">
        <f t="shared" si="12"/>
        <v>0</v>
      </c>
      <c r="J56" s="67">
        <v>0</v>
      </c>
      <c r="K56" s="73">
        <f t="shared" si="13"/>
        <v>0</v>
      </c>
      <c r="L56" s="79">
        <v>0</v>
      </c>
      <c r="M56" s="73">
        <f t="shared" si="14"/>
        <v>0</v>
      </c>
      <c r="N56" s="189"/>
      <c r="O56" s="17" t="s">
        <v>346</v>
      </c>
      <c r="P56" s="7" t="s">
        <v>344</v>
      </c>
      <c r="Q56" s="7" t="s">
        <v>345</v>
      </c>
    </row>
    <row r="57" spans="1:29" ht="30.6" customHeight="1" x14ac:dyDescent="0.3">
      <c r="A57" s="196"/>
      <c r="B57" s="196" t="s">
        <v>354</v>
      </c>
      <c r="C57" s="215" t="s">
        <v>355</v>
      </c>
      <c r="D57" s="44">
        <v>4.3499999999999996</v>
      </c>
      <c r="E57" s="211" t="s">
        <v>167</v>
      </c>
      <c r="F57" s="50">
        <f t="shared" si="10"/>
        <v>1682</v>
      </c>
      <c r="G57" s="58">
        <f t="shared" si="11"/>
        <v>7316</v>
      </c>
      <c r="H57" s="66">
        <v>0</v>
      </c>
      <c r="I57" s="70">
        <f t="shared" si="12"/>
        <v>0</v>
      </c>
      <c r="J57" s="66">
        <v>1682</v>
      </c>
      <c r="K57" s="72">
        <f t="shared" si="13"/>
        <v>7316</v>
      </c>
      <c r="L57" s="78">
        <v>0</v>
      </c>
      <c r="M57" s="72">
        <f t="shared" si="14"/>
        <v>0</v>
      </c>
      <c r="N57" s="213" t="s">
        <v>356</v>
      </c>
      <c r="O57" s="17" t="s">
        <v>351</v>
      </c>
      <c r="P57" s="7" t="s">
        <v>350</v>
      </c>
      <c r="Q57" s="7" t="s">
        <v>342</v>
      </c>
    </row>
    <row r="58" spans="1:29" ht="30.6" customHeight="1" x14ac:dyDescent="0.3">
      <c r="A58" s="197"/>
      <c r="B58" s="197"/>
      <c r="C58" s="189"/>
      <c r="D58" s="45">
        <v>0</v>
      </c>
      <c r="E58" s="212"/>
      <c r="F58" s="51">
        <f t="shared" si="10"/>
        <v>0</v>
      </c>
      <c r="G58" s="59">
        <f t="shared" si="11"/>
        <v>0</v>
      </c>
      <c r="H58" s="67">
        <v>0</v>
      </c>
      <c r="I58" s="71">
        <f t="shared" si="12"/>
        <v>0</v>
      </c>
      <c r="J58" s="67">
        <v>0</v>
      </c>
      <c r="K58" s="73">
        <f t="shared" si="13"/>
        <v>0</v>
      </c>
      <c r="L58" s="79">
        <v>0</v>
      </c>
      <c r="M58" s="73">
        <f t="shared" si="14"/>
        <v>0</v>
      </c>
      <c r="N58" s="189"/>
      <c r="O58" s="17" t="s">
        <v>353</v>
      </c>
      <c r="P58" s="7" t="s">
        <v>352</v>
      </c>
      <c r="Q58" s="7" t="s">
        <v>345</v>
      </c>
    </row>
    <row r="59" spans="1:29" ht="30.6" customHeight="1" x14ac:dyDescent="0.3">
      <c r="A59" s="196"/>
      <c r="B59" s="196" t="s">
        <v>361</v>
      </c>
      <c r="C59" s="215" t="s">
        <v>362</v>
      </c>
      <c r="D59" s="44">
        <v>0.08</v>
      </c>
      <c r="E59" s="211" t="s">
        <v>52</v>
      </c>
      <c r="F59" s="50">
        <f t="shared" si="10"/>
        <v>98621</v>
      </c>
      <c r="G59" s="58">
        <f t="shared" si="11"/>
        <v>7889</v>
      </c>
      <c r="H59" s="66">
        <v>98621</v>
      </c>
      <c r="I59" s="70">
        <f t="shared" si="12"/>
        <v>7889</v>
      </c>
      <c r="J59" s="66">
        <v>0</v>
      </c>
      <c r="K59" s="72">
        <f t="shared" si="13"/>
        <v>0</v>
      </c>
      <c r="L59" s="78">
        <v>0</v>
      </c>
      <c r="M59" s="72">
        <f t="shared" si="14"/>
        <v>0</v>
      </c>
      <c r="N59" s="213" t="s">
        <v>363</v>
      </c>
      <c r="O59" s="17" t="s">
        <v>358</v>
      </c>
      <c r="P59" s="7" t="s">
        <v>357</v>
      </c>
      <c r="Q59" s="7" t="s">
        <v>342</v>
      </c>
    </row>
    <row r="60" spans="1:29" ht="30.6" customHeight="1" x14ac:dyDescent="0.3">
      <c r="A60" s="197"/>
      <c r="B60" s="197"/>
      <c r="C60" s="189"/>
      <c r="D60" s="45">
        <v>0</v>
      </c>
      <c r="E60" s="212"/>
      <c r="F60" s="51">
        <f t="shared" si="10"/>
        <v>0</v>
      </c>
      <c r="G60" s="59">
        <f t="shared" si="11"/>
        <v>0</v>
      </c>
      <c r="H60" s="67">
        <v>0</v>
      </c>
      <c r="I60" s="71">
        <f t="shared" si="12"/>
        <v>0</v>
      </c>
      <c r="J60" s="67">
        <v>0</v>
      </c>
      <c r="K60" s="73">
        <f t="shared" si="13"/>
        <v>0</v>
      </c>
      <c r="L60" s="79">
        <v>0</v>
      </c>
      <c r="M60" s="73">
        <f t="shared" si="14"/>
        <v>0</v>
      </c>
      <c r="N60" s="189"/>
      <c r="O60" s="17" t="s">
        <v>360</v>
      </c>
      <c r="P60" s="7" t="s">
        <v>359</v>
      </c>
      <c r="Q60" s="7" t="s">
        <v>345</v>
      </c>
    </row>
    <row r="61" spans="1:29" ht="30.6" customHeight="1" x14ac:dyDescent="0.3">
      <c r="A61" s="196"/>
      <c r="B61" s="196" t="s">
        <v>368</v>
      </c>
      <c r="C61" s="215" t="s">
        <v>369</v>
      </c>
      <c r="D61" s="44">
        <v>9.16</v>
      </c>
      <c r="E61" s="211" t="s">
        <v>14</v>
      </c>
      <c r="F61" s="50">
        <f t="shared" si="10"/>
        <v>0</v>
      </c>
      <c r="G61" s="58">
        <f t="shared" si="11"/>
        <v>0</v>
      </c>
      <c r="H61" s="66">
        <v>0</v>
      </c>
      <c r="I61" s="70">
        <f t="shared" si="12"/>
        <v>0</v>
      </c>
      <c r="J61" s="66">
        <v>0</v>
      </c>
      <c r="K61" s="72">
        <f t="shared" si="13"/>
        <v>0</v>
      </c>
      <c r="L61" s="78">
        <v>0</v>
      </c>
      <c r="M61" s="72">
        <f t="shared" si="14"/>
        <v>0</v>
      </c>
      <c r="N61" s="213" t="s">
        <v>410</v>
      </c>
      <c r="O61" s="17" t="s">
        <v>407</v>
      </c>
      <c r="P61" s="7" t="s">
        <v>406</v>
      </c>
      <c r="Q61" s="7" t="s">
        <v>342</v>
      </c>
    </row>
    <row r="62" spans="1:29" ht="30.6" customHeight="1" x14ac:dyDescent="0.3">
      <c r="A62" s="197"/>
      <c r="B62" s="197"/>
      <c r="C62" s="189"/>
      <c r="D62" s="45">
        <v>0</v>
      </c>
      <c r="E62" s="212"/>
      <c r="F62" s="51">
        <f t="shared" si="10"/>
        <v>0</v>
      </c>
      <c r="G62" s="59">
        <f t="shared" si="11"/>
        <v>0</v>
      </c>
      <c r="H62" s="67">
        <v>0</v>
      </c>
      <c r="I62" s="71">
        <f t="shared" si="12"/>
        <v>0</v>
      </c>
      <c r="J62" s="67">
        <v>0</v>
      </c>
      <c r="K62" s="73">
        <f t="shared" si="13"/>
        <v>0</v>
      </c>
      <c r="L62" s="79">
        <v>0</v>
      </c>
      <c r="M62" s="73">
        <f t="shared" si="14"/>
        <v>0</v>
      </c>
      <c r="N62" s="189"/>
      <c r="O62" s="17" t="s">
        <v>409</v>
      </c>
      <c r="P62" s="7" t="s">
        <v>408</v>
      </c>
      <c r="Q62" s="7" t="s">
        <v>345</v>
      </c>
    </row>
    <row r="63" spans="1:29" ht="30.6" customHeight="1" x14ac:dyDescent="0.3">
      <c r="A63" s="196"/>
      <c r="B63" s="196" t="s">
        <v>60</v>
      </c>
      <c r="C63" s="215" t="s">
        <v>61</v>
      </c>
      <c r="D63" s="44">
        <v>0</v>
      </c>
      <c r="E63" s="211" t="s">
        <v>14</v>
      </c>
      <c r="F63" s="50">
        <f t="shared" si="10"/>
        <v>0</v>
      </c>
      <c r="G63" s="58">
        <f t="shared" si="11"/>
        <v>0</v>
      </c>
      <c r="H63" s="68">
        <f>IF(D63=0,0,단가산출근거목록표!F7)</f>
        <v>0</v>
      </c>
      <c r="I63" s="62">
        <f t="shared" si="12"/>
        <v>0</v>
      </c>
      <c r="J63" s="74">
        <f>IF(D63=0,0,단가산출근거목록표!G7)</f>
        <v>0</v>
      </c>
      <c r="K63" s="62">
        <f t="shared" si="13"/>
        <v>0</v>
      </c>
      <c r="L63" s="80">
        <f>IF(D63=0,0,단가산출근거목록표!H7)</f>
        <v>0</v>
      </c>
      <c r="M63" s="72">
        <f t="shared" si="14"/>
        <v>0</v>
      </c>
      <c r="N63" s="213" t="s">
        <v>375</v>
      </c>
      <c r="O63" s="17" t="s">
        <v>372</v>
      </c>
      <c r="P63" s="7" t="s">
        <v>371</v>
      </c>
      <c r="Q63" s="7" t="s">
        <v>342</v>
      </c>
      <c r="AC63" s="3" t="str">
        <f ca="1">HYPERLINK("#"&amp;단가산출근거목록표!J2&amp;"!A"&amp;ROW(단가산출근거목록표!A7),"D01427 →")</f>
        <v>D01427 →</v>
      </c>
    </row>
    <row r="64" spans="1:29" ht="30.6" customHeight="1" x14ac:dyDescent="0.3">
      <c r="A64" s="197"/>
      <c r="B64" s="197"/>
      <c r="C64" s="189"/>
      <c r="D64" s="45">
        <v>9.16</v>
      </c>
      <c r="E64" s="212"/>
      <c r="F64" s="51">
        <f t="shared" si="10"/>
        <v>17902</v>
      </c>
      <c r="G64" s="59">
        <f t="shared" si="11"/>
        <v>163981</v>
      </c>
      <c r="H64" s="69">
        <f>IF(D64=0,0,단가산출근거목록표!F7)</f>
        <v>10589</v>
      </c>
      <c r="I64" s="63">
        <f t="shared" si="12"/>
        <v>96995</v>
      </c>
      <c r="J64" s="75">
        <f>IF(D64=0,0,단가산출근거목록표!G7)</f>
        <v>2430</v>
      </c>
      <c r="K64" s="63">
        <f t="shared" si="13"/>
        <v>22258</v>
      </c>
      <c r="L64" s="81">
        <f>IF(D64=0,0,단가산출근거목록표!H7)</f>
        <v>4883</v>
      </c>
      <c r="M64" s="73">
        <f t="shared" si="14"/>
        <v>44728</v>
      </c>
      <c r="N64" s="189"/>
      <c r="O64" s="17" t="s">
        <v>374</v>
      </c>
      <c r="P64" s="7" t="s">
        <v>373</v>
      </c>
      <c r="Q64" s="7" t="s">
        <v>345</v>
      </c>
    </row>
    <row r="65" spans="1:29" ht="30.6" customHeight="1" x14ac:dyDescent="0.3">
      <c r="A65" s="196"/>
      <c r="B65" s="196" t="s">
        <v>17</v>
      </c>
      <c r="C65" s="215" t="s">
        <v>380</v>
      </c>
      <c r="D65" s="44">
        <v>9.16</v>
      </c>
      <c r="E65" s="211" t="s">
        <v>14</v>
      </c>
      <c r="F65" s="50">
        <f t="shared" si="10"/>
        <v>47749</v>
      </c>
      <c r="G65" s="58">
        <f t="shared" si="11"/>
        <v>437379</v>
      </c>
      <c r="H65" s="66">
        <v>35809</v>
      </c>
      <c r="I65" s="70">
        <f t="shared" si="12"/>
        <v>328010</v>
      </c>
      <c r="J65" s="66">
        <v>4309</v>
      </c>
      <c r="K65" s="72">
        <f t="shared" si="13"/>
        <v>39470</v>
      </c>
      <c r="L65" s="78">
        <v>7631</v>
      </c>
      <c r="M65" s="72">
        <f t="shared" si="14"/>
        <v>69899</v>
      </c>
      <c r="N65" s="213" t="s">
        <v>381</v>
      </c>
      <c r="O65" s="17" t="s">
        <v>377</v>
      </c>
      <c r="P65" s="7" t="s">
        <v>376</v>
      </c>
      <c r="Q65" s="7" t="s">
        <v>342</v>
      </c>
    </row>
    <row r="66" spans="1:29" ht="30.6" customHeight="1" x14ac:dyDescent="0.3">
      <c r="A66" s="197"/>
      <c r="B66" s="197"/>
      <c r="C66" s="189"/>
      <c r="D66" s="45">
        <v>0</v>
      </c>
      <c r="E66" s="212"/>
      <c r="F66" s="51">
        <f t="shared" si="10"/>
        <v>0</v>
      </c>
      <c r="G66" s="59">
        <f t="shared" si="11"/>
        <v>0</v>
      </c>
      <c r="H66" s="67">
        <v>0</v>
      </c>
      <c r="I66" s="71">
        <f t="shared" si="12"/>
        <v>0</v>
      </c>
      <c r="J66" s="67">
        <v>0</v>
      </c>
      <c r="K66" s="73">
        <f t="shared" si="13"/>
        <v>0</v>
      </c>
      <c r="L66" s="79">
        <v>0</v>
      </c>
      <c r="M66" s="73">
        <f t="shared" si="14"/>
        <v>0</v>
      </c>
      <c r="N66" s="189"/>
      <c r="O66" s="17" t="s">
        <v>379</v>
      </c>
      <c r="P66" s="7" t="s">
        <v>378</v>
      </c>
      <c r="Q66" s="7" t="s">
        <v>345</v>
      </c>
    </row>
    <row r="67" spans="1:29" ht="30.6" customHeight="1" x14ac:dyDescent="0.3">
      <c r="A67" s="196"/>
      <c r="B67" s="196" t="s">
        <v>17</v>
      </c>
      <c r="C67" s="215" t="s">
        <v>18</v>
      </c>
      <c r="D67" s="44">
        <v>0</v>
      </c>
      <c r="E67" s="211" t="s">
        <v>14</v>
      </c>
      <c r="F67" s="50">
        <f t="shared" si="10"/>
        <v>0</v>
      </c>
      <c r="G67" s="58">
        <f t="shared" si="11"/>
        <v>0</v>
      </c>
      <c r="H67" s="68">
        <f>IF(D67=0,0,일위대가목록표!F5)</f>
        <v>0</v>
      </c>
      <c r="I67" s="62">
        <f t="shared" si="12"/>
        <v>0</v>
      </c>
      <c r="J67" s="74">
        <f>IF(D67=0,0,일위대가목록표!G5)</f>
        <v>0</v>
      </c>
      <c r="K67" s="62">
        <f t="shared" si="13"/>
        <v>0</v>
      </c>
      <c r="L67" s="80">
        <f>IF(D67=0,0,일위대가목록표!H5)</f>
        <v>0</v>
      </c>
      <c r="M67" s="72">
        <f t="shared" si="14"/>
        <v>0</v>
      </c>
      <c r="N67" s="213" t="s">
        <v>386</v>
      </c>
      <c r="O67" s="17" t="s">
        <v>383</v>
      </c>
      <c r="P67" s="7" t="s">
        <v>382</v>
      </c>
      <c r="Q67" s="7" t="s">
        <v>342</v>
      </c>
      <c r="AC67" s="3" t="str">
        <f ca="1">HYPERLINK("#"&amp;일위대가목록표!J2&amp;"!A"&amp;ROW(일위대가목록표!A5),"B01093 →")</f>
        <v>B01093 →</v>
      </c>
    </row>
    <row r="68" spans="1:29" ht="30.6" customHeight="1" x14ac:dyDescent="0.3">
      <c r="A68" s="197"/>
      <c r="B68" s="197"/>
      <c r="C68" s="189"/>
      <c r="D68" s="45">
        <v>9.16</v>
      </c>
      <c r="E68" s="212"/>
      <c r="F68" s="51">
        <f t="shared" si="10"/>
        <v>55808</v>
      </c>
      <c r="G68" s="59">
        <f t="shared" si="11"/>
        <v>511200</v>
      </c>
      <c r="H68" s="69">
        <f>IF(D68=0,0,일위대가목록표!F5)</f>
        <v>41082</v>
      </c>
      <c r="I68" s="63">
        <f t="shared" si="12"/>
        <v>376311</v>
      </c>
      <c r="J68" s="75">
        <f>IF(D68=0,0,일위대가목록표!G5)</f>
        <v>5314</v>
      </c>
      <c r="K68" s="63">
        <f t="shared" si="13"/>
        <v>48676</v>
      </c>
      <c r="L68" s="81">
        <f>IF(D68=0,0,일위대가목록표!H5)</f>
        <v>9412</v>
      </c>
      <c r="M68" s="73">
        <f t="shared" si="14"/>
        <v>86213</v>
      </c>
      <c r="N68" s="189"/>
      <c r="O68" s="17" t="s">
        <v>385</v>
      </c>
      <c r="P68" s="7" t="s">
        <v>384</v>
      </c>
      <c r="Q68" s="7" t="s">
        <v>345</v>
      </c>
    </row>
    <row r="69" spans="1:29" ht="30.6" customHeight="1" x14ac:dyDescent="0.3">
      <c r="A69" s="196"/>
      <c r="B69" s="196" t="s">
        <v>50</v>
      </c>
      <c r="C69" s="215" t="s">
        <v>51</v>
      </c>
      <c r="D69" s="44">
        <v>1.37</v>
      </c>
      <c r="E69" s="211" t="s">
        <v>52</v>
      </c>
      <c r="F69" s="50">
        <f t="shared" si="10"/>
        <v>18302</v>
      </c>
      <c r="G69" s="58">
        <f t="shared" si="11"/>
        <v>25073</v>
      </c>
      <c r="H69" s="68">
        <f>IF(D69=0,0,단가산출근거목록표!F5)</f>
        <v>13033</v>
      </c>
      <c r="I69" s="62">
        <f t="shared" si="12"/>
        <v>17855</v>
      </c>
      <c r="J69" s="74">
        <f>IF(D69=0,0,단가산출근거목록표!G5)</f>
        <v>1741</v>
      </c>
      <c r="K69" s="62">
        <f t="shared" si="13"/>
        <v>2385</v>
      </c>
      <c r="L69" s="80">
        <f>IF(D69=0,0,단가산출근거목록표!H5)</f>
        <v>3528</v>
      </c>
      <c r="M69" s="72">
        <f t="shared" si="14"/>
        <v>4833</v>
      </c>
      <c r="N69" s="213" t="s">
        <v>391</v>
      </c>
      <c r="O69" s="17" t="s">
        <v>388</v>
      </c>
      <c r="P69" s="7" t="s">
        <v>387</v>
      </c>
      <c r="Q69" s="7" t="s">
        <v>342</v>
      </c>
      <c r="AC69" s="3" t="str">
        <f ca="1">HYPERLINK("#"&amp;단가산출근거목록표!J2&amp;"!A"&amp;ROW(단가산출근거목록표!A5),"D01425 →")</f>
        <v>D01425 →</v>
      </c>
    </row>
    <row r="70" spans="1:29" ht="30.6" customHeight="1" x14ac:dyDescent="0.3">
      <c r="A70" s="197"/>
      <c r="B70" s="197"/>
      <c r="C70" s="189"/>
      <c r="D70" s="45">
        <v>1.37</v>
      </c>
      <c r="E70" s="212"/>
      <c r="F70" s="51">
        <f t="shared" si="10"/>
        <v>18302</v>
      </c>
      <c r="G70" s="59">
        <f t="shared" si="11"/>
        <v>25073</v>
      </c>
      <c r="H70" s="69">
        <f>IF(D70=0,0,단가산출근거목록표!F5)</f>
        <v>13033</v>
      </c>
      <c r="I70" s="63">
        <f t="shared" si="12"/>
        <v>17855</v>
      </c>
      <c r="J70" s="75">
        <f>IF(D70=0,0,단가산출근거목록표!G5)</f>
        <v>1741</v>
      </c>
      <c r="K70" s="63">
        <f t="shared" si="13"/>
        <v>2385</v>
      </c>
      <c r="L70" s="81">
        <f>IF(D70=0,0,단가산출근거목록표!H5)</f>
        <v>3528</v>
      </c>
      <c r="M70" s="73">
        <f t="shared" si="14"/>
        <v>4833</v>
      </c>
      <c r="N70" s="189"/>
      <c r="O70" s="17" t="s">
        <v>390</v>
      </c>
      <c r="P70" s="7" t="s">
        <v>389</v>
      </c>
      <c r="Q70" s="7" t="s">
        <v>345</v>
      </c>
    </row>
    <row r="71" spans="1:29" ht="30.6" customHeight="1" x14ac:dyDescent="0.3">
      <c r="A71" s="196"/>
      <c r="B71" s="196" t="s">
        <v>396</v>
      </c>
      <c r="C71" s="215" t="s">
        <v>369</v>
      </c>
      <c r="D71" s="44">
        <v>2.42</v>
      </c>
      <c r="E71" s="211" t="s">
        <v>181</v>
      </c>
      <c r="F71" s="50">
        <f t="shared" si="10"/>
        <v>0</v>
      </c>
      <c r="G71" s="58">
        <f t="shared" si="11"/>
        <v>0</v>
      </c>
      <c r="H71" s="66">
        <v>0</v>
      </c>
      <c r="I71" s="70">
        <f t="shared" si="12"/>
        <v>0</v>
      </c>
      <c r="J71" s="66">
        <v>0</v>
      </c>
      <c r="K71" s="72">
        <f t="shared" si="13"/>
        <v>0</v>
      </c>
      <c r="L71" s="78">
        <v>0</v>
      </c>
      <c r="M71" s="72">
        <f t="shared" si="14"/>
        <v>0</v>
      </c>
      <c r="N71" s="213" t="s">
        <v>397</v>
      </c>
      <c r="O71" s="17" t="s">
        <v>393</v>
      </c>
      <c r="P71" s="7" t="s">
        <v>392</v>
      </c>
      <c r="Q71" s="7" t="s">
        <v>342</v>
      </c>
    </row>
    <row r="72" spans="1:29" ht="30.6" customHeight="1" x14ac:dyDescent="0.3">
      <c r="A72" s="197"/>
      <c r="B72" s="197"/>
      <c r="C72" s="189"/>
      <c r="D72" s="45">
        <v>2.42</v>
      </c>
      <c r="E72" s="212"/>
      <c r="F72" s="51">
        <f t="shared" si="10"/>
        <v>0</v>
      </c>
      <c r="G72" s="59">
        <f t="shared" si="11"/>
        <v>0</v>
      </c>
      <c r="H72" s="67">
        <v>0</v>
      </c>
      <c r="I72" s="71">
        <f t="shared" si="12"/>
        <v>0</v>
      </c>
      <c r="J72" s="67">
        <v>0</v>
      </c>
      <c r="K72" s="73">
        <f t="shared" si="13"/>
        <v>0</v>
      </c>
      <c r="L72" s="79">
        <v>0</v>
      </c>
      <c r="M72" s="73">
        <f t="shared" si="14"/>
        <v>0</v>
      </c>
      <c r="N72" s="189"/>
      <c r="O72" s="17" t="s">
        <v>395</v>
      </c>
      <c r="P72" s="7" t="s">
        <v>394</v>
      </c>
      <c r="Q72" s="7" t="s">
        <v>345</v>
      </c>
    </row>
    <row r="73" spans="1:29" ht="30.6" customHeight="1" x14ac:dyDescent="0.3">
      <c r="A73" s="196"/>
      <c r="B73" s="196" t="s">
        <v>56</v>
      </c>
      <c r="C73" s="215" t="s">
        <v>57</v>
      </c>
      <c r="D73" s="44">
        <v>2.42</v>
      </c>
      <c r="E73" s="211" t="s">
        <v>52</v>
      </c>
      <c r="F73" s="50">
        <f t="shared" si="10"/>
        <v>8127</v>
      </c>
      <c r="G73" s="58">
        <f t="shared" si="11"/>
        <v>19665</v>
      </c>
      <c r="H73" s="68">
        <f>IF(D73=0,0,단가산출근거목록표!F6)</f>
        <v>6783</v>
      </c>
      <c r="I73" s="62">
        <f t="shared" si="12"/>
        <v>16414</v>
      </c>
      <c r="J73" s="74">
        <f>IF(D73=0,0,단가산출근거목록표!G6)</f>
        <v>487</v>
      </c>
      <c r="K73" s="62">
        <f t="shared" si="13"/>
        <v>1178</v>
      </c>
      <c r="L73" s="80">
        <f>IF(D73=0,0,단가산출근거목록표!H6)</f>
        <v>857</v>
      </c>
      <c r="M73" s="72">
        <f t="shared" si="14"/>
        <v>2073</v>
      </c>
      <c r="N73" s="213" t="s">
        <v>402</v>
      </c>
      <c r="O73" s="17" t="s">
        <v>399</v>
      </c>
      <c r="P73" s="7" t="s">
        <v>398</v>
      </c>
      <c r="Q73" s="7" t="s">
        <v>342</v>
      </c>
      <c r="AC73" s="3" t="str">
        <f ca="1">HYPERLINK("#"&amp;단가산출근거목록표!J2&amp;"!A"&amp;ROW(단가산출근거목록표!A6),"D01426 →")</f>
        <v>D01426 →</v>
      </c>
    </row>
    <row r="74" spans="1:29" ht="30.6" customHeight="1" x14ac:dyDescent="0.3">
      <c r="A74" s="197"/>
      <c r="B74" s="197"/>
      <c r="C74" s="189"/>
      <c r="D74" s="45">
        <v>2.42</v>
      </c>
      <c r="E74" s="212"/>
      <c r="F74" s="51">
        <f t="shared" si="10"/>
        <v>8127</v>
      </c>
      <c r="G74" s="59">
        <f t="shared" si="11"/>
        <v>19665</v>
      </c>
      <c r="H74" s="69">
        <f>IF(D74=0,0,단가산출근거목록표!F6)</f>
        <v>6783</v>
      </c>
      <c r="I74" s="63">
        <f t="shared" si="12"/>
        <v>16414</v>
      </c>
      <c r="J74" s="75">
        <f>IF(D74=0,0,단가산출근거목록표!G6)</f>
        <v>487</v>
      </c>
      <c r="K74" s="63">
        <f t="shared" si="13"/>
        <v>1178</v>
      </c>
      <c r="L74" s="81">
        <f>IF(D74=0,0,단가산출근거목록표!H6)</f>
        <v>857</v>
      </c>
      <c r="M74" s="73">
        <f t="shared" si="14"/>
        <v>2073</v>
      </c>
      <c r="N74" s="189"/>
      <c r="O74" s="17" t="s">
        <v>401</v>
      </c>
      <c r="P74" s="7" t="s">
        <v>400</v>
      </c>
      <c r="Q74" s="7" t="s">
        <v>345</v>
      </c>
    </row>
    <row r="75" spans="1:29" ht="30.6" customHeight="1" x14ac:dyDescent="0.3">
      <c r="A75" s="214"/>
      <c r="B75" s="214"/>
      <c r="C75" s="188"/>
      <c r="D75" s="42"/>
      <c r="E75" s="211"/>
      <c r="F75" s="48">
        <v>0</v>
      </c>
      <c r="G75" s="56"/>
      <c r="H75" s="64"/>
      <c r="I75" s="64"/>
      <c r="J75" s="64"/>
      <c r="K75" s="64"/>
      <c r="L75" s="64"/>
      <c r="M75" s="82"/>
      <c r="N75" s="213"/>
      <c r="O75" s="17" t="s">
        <v>265</v>
      </c>
      <c r="P75" s="7" t="s">
        <v>263</v>
      </c>
      <c r="Q75" s="7" t="s">
        <v>264</v>
      </c>
    </row>
    <row r="76" spans="1:29" ht="30.6" customHeight="1" x14ac:dyDescent="0.3">
      <c r="A76" s="197"/>
      <c r="B76" s="197"/>
      <c r="C76" s="189"/>
      <c r="D76" s="43"/>
      <c r="E76" s="212"/>
      <c r="F76" s="49">
        <v>0</v>
      </c>
      <c r="G76" s="57"/>
      <c r="H76" s="65"/>
      <c r="I76" s="65"/>
      <c r="J76" s="65"/>
      <c r="K76" s="65"/>
      <c r="L76" s="65"/>
      <c r="M76" s="83"/>
      <c r="N76" s="189"/>
      <c r="O76" s="17" t="s">
        <v>268</v>
      </c>
      <c r="P76" s="7" t="s">
        <v>266</v>
      </c>
      <c r="Q76" s="7" t="s">
        <v>267</v>
      </c>
    </row>
    <row r="77" spans="1:29" ht="30.6" customHeight="1" x14ac:dyDescent="0.3">
      <c r="A77" s="207" t="s">
        <v>334</v>
      </c>
      <c r="B77" s="207" t="s">
        <v>335</v>
      </c>
      <c r="C77" s="209" t="s">
        <v>336</v>
      </c>
      <c r="D77" s="42"/>
      <c r="E77" s="211"/>
      <c r="F77" s="48">
        <v>0</v>
      </c>
      <c r="G77" s="54">
        <f>SUMIF(Q79:Q116,P77,G79:G116)</f>
        <v>30805166</v>
      </c>
      <c r="H77" s="62">
        <v>0</v>
      </c>
      <c r="I77" s="58">
        <f>SUMIF(Q79:Q116,P77,I79:I116)</f>
        <v>23449326</v>
      </c>
      <c r="J77" s="62">
        <v>0</v>
      </c>
      <c r="K77" s="76">
        <f>SUMIF(Q79:Q116,P77,K79:K116)</f>
        <v>2913350</v>
      </c>
      <c r="L77" s="72">
        <v>0</v>
      </c>
      <c r="M77" s="76">
        <f>SUMIF(Q79:Q116,P77,M79:M116)</f>
        <v>4442490</v>
      </c>
      <c r="N77" s="213"/>
      <c r="O77" s="17" t="str">
        <f>"_x0007_`COD|E3_x0005_`QTY1|1_x0005_`EXI|0_x0005_`ITT|0_x0005_`END|"&amp;ROW(M117)&amp;"_x0005_`"</f>
        <v>_x0007_`COD|E3_x0005_`QTY1|1_x0005_`EXI|0_x0005_`ITT|0_x0005_`END|117_x0005_`</v>
      </c>
      <c r="P77" s="7" t="s">
        <v>276</v>
      </c>
      <c r="Q77" s="7" t="s">
        <v>264</v>
      </c>
    </row>
    <row r="78" spans="1:29" ht="30.6" customHeight="1" x14ac:dyDescent="0.3">
      <c r="A78" s="208"/>
      <c r="B78" s="208"/>
      <c r="C78" s="210"/>
      <c r="D78" s="43"/>
      <c r="E78" s="212"/>
      <c r="F78" s="49">
        <v>0</v>
      </c>
      <c r="G78" s="55">
        <f>SUMIF(Q79:Q116,P78,G79:G116)</f>
        <v>34227634</v>
      </c>
      <c r="H78" s="63">
        <v>0</v>
      </c>
      <c r="I78" s="59">
        <f>SUMIF(Q79:Q116,P78,I79:I116)</f>
        <v>26033060</v>
      </c>
      <c r="J78" s="63">
        <v>0</v>
      </c>
      <c r="K78" s="77">
        <f>SUMIF(Q79:Q116,P78,K79:K116)</f>
        <v>3019102</v>
      </c>
      <c r="L78" s="73">
        <v>0</v>
      </c>
      <c r="M78" s="77">
        <f>SUMIF(Q79:Q116,P78,M79:M116)</f>
        <v>5175472</v>
      </c>
      <c r="N78" s="189"/>
      <c r="O78" s="17" t="str">
        <f>"_x0007_`COD|E3_x0005_`QTY2|2_x0005_`END|"&amp;ROW(M117)&amp;"_x0005_`"</f>
        <v>_x0007_`COD|E3_x0005_`QTY2|2_x0005_`END|117_x0005_`</v>
      </c>
      <c r="P78" s="7" t="s">
        <v>279</v>
      </c>
      <c r="Q78" s="7" t="s">
        <v>267</v>
      </c>
    </row>
    <row r="79" spans="1:29" ht="30.6" customHeight="1" x14ac:dyDescent="0.3">
      <c r="A79" s="207" t="s">
        <v>414</v>
      </c>
      <c r="B79" s="207" t="s">
        <v>415</v>
      </c>
      <c r="C79" s="209" t="s">
        <v>416</v>
      </c>
      <c r="D79" s="42"/>
      <c r="E79" s="211"/>
      <c r="F79" s="48">
        <v>0</v>
      </c>
      <c r="G79" s="54">
        <f>SUMIF(Q81:Q100,P79,G81:G100)</f>
        <v>30805166</v>
      </c>
      <c r="H79" s="62">
        <v>0</v>
      </c>
      <c r="I79" s="58">
        <f>SUMIF(Q81:Q100,P79,I81:I100)</f>
        <v>23449326</v>
      </c>
      <c r="J79" s="62">
        <v>0</v>
      </c>
      <c r="K79" s="76">
        <f>SUMIF(Q81:Q100,P79,K81:K100)</f>
        <v>2913350</v>
      </c>
      <c r="L79" s="72">
        <v>0</v>
      </c>
      <c r="M79" s="76">
        <f>SUMIF(Q81:Q100,P79,M81:M100)</f>
        <v>4442490</v>
      </c>
      <c r="N79" s="213"/>
      <c r="O79" s="17" t="str">
        <f>"_x0007_`COD|E2_x0005_`QTY1|1_x0005_`EXI|0_x0005_`ITT|0_x0005_`END|"&amp;ROW(M101)&amp;"_x0005_`"</f>
        <v>_x0007_`COD|E2_x0005_`QTY1|1_x0005_`EXI|0_x0005_`ITT|0_x0005_`END|101_x0005_`</v>
      </c>
      <c r="P79" s="7" t="s">
        <v>342</v>
      </c>
      <c r="Q79" s="7" t="s">
        <v>276</v>
      </c>
    </row>
    <row r="80" spans="1:29" ht="30.6" customHeight="1" x14ac:dyDescent="0.3">
      <c r="A80" s="208"/>
      <c r="B80" s="208"/>
      <c r="C80" s="210"/>
      <c r="D80" s="43"/>
      <c r="E80" s="212"/>
      <c r="F80" s="49">
        <v>0</v>
      </c>
      <c r="G80" s="55">
        <f>SUMIF(Q81:Q100,P80,G81:G100)</f>
        <v>9625211</v>
      </c>
      <c r="H80" s="63">
        <v>0</v>
      </c>
      <c r="I80" s="59">
        <f>SUMIF(Q81:Q100,P80,I81:I100)</f>
        <v>7414976</v>
      </c>
      <c r="J80" s="63">
        <v>0</v>
      </c>
      <c r="K80" s="77">
        <f>SUMIF(Q81:Q100,P80,K81:K100)</f>
        <v>870960</v>
      </c>
      <c r="L80" s="73">
        <v>0</v>
      </c>
      <c r="M80" s="77">
        <f>SUMIF(Q81:Q100,P80,M81:M100)</f>
        <v>1339275</v>
      </c>
      <c r="N80" s="189"/>
      <c r="O80" s="17" t="str">
        <f>"_x0007_`COD|E2_x0005_`QTY2|2_x0005_`END|"&amp;ROW(M101)&amp;"_x0005_`"</f>
        <v>_x0007_`COD|E2_x0005_`QTY2|2_x0005_`END|101_x0005_`</v>
      </c>
      <c r="P80" s="7" t="s">
        <v>345</v>
      </c>
      <c r="Q80" s="7" t="s">
        <v>279</v>
      </c>
    </row>
    <row r="81" spans="1:29" ht="30.6" customHeight="1" x14ac:dyDescent="0.3">
      <c r="A81" s="196"/>
      <c r="B81" s="196" t="s">
        <v>347</v>
      </c>
      <c r="C81" s="215" t="s">
        <v>348</v>
      </c>
      <c r="D81" s="44">
        <v>114.24</v>
      </c>
      <c r="E81" s="211" t="s">
        <v>52</v>
      </c>
      <c r="F81" s="50">
        <f t="shared" ref="F81:F100" si="15">J81+H81+L81</f>
        <v>7000</v>
      </c>
      <c r="G81" s="58">
        <f t="shared" ref="G81:G100" si="16">K81+I81+M81</f>
        <v>799678</v>
      </c>
      <c r="H81" s="66">
        <v>5802</v>
      </c>
      <c r="I81" s="70">
        <f t="shared" ref="I81:I100" si="17">ROUNDDOWN(H81*D81,0)</f>
        <v>662820</v>
      </c>
      <c r="J81" s="66">
        <v>920</v>
      </c>
      <c r="K81" s="72">
        <f t="shared" ref="K81:K100" si="18">ROUNDDOWN(J81*D81,0)</f>
        <v>105100</v>
      </c>
      <c r="L81" s="78">
        <v>278</v>
      </c>
      <c r="M81" s="72">
        <f t="shared" ref="M81:M100" si="19">ROUNDDOWN(L81*D81,0)</f>
        <v>31758</v>
      </c>
      <c r="N81" s="213" t="s">
        <v>349</v>
      </c>
      <c r="O81" s="17" t="s">
        <v>343</v>
      </c>
      <c r="P81" s="7" t="s">
        <v>341</v>
      </c>
      <c r="Q81" s="7" t="s">
        <v>342</v>
      </c>
    </row>
    <row r="82" spans="1:29" ht="30.6" customHeight="1" x14ac:dyDescent="0.3">
      <c r="A82" s="197"/>
      <c r="B82" s="197"/>
      <c r="C82" s="189"/>
      <c r="D82" s="45">
        <v>20.8</v>
      </c>
      <c r="E82" s="212"/>
      <c r="F82" s="51">
        <f t="shared" si="15"/>
        <v>7000</v>
      </c>
      <c r="G82" s="59">
        <f t="shared" si="16"/>
        <v>145599</v>
      </c>
      <c r="H82" s="67">
        <v>5802</v>
      </c>
      <c r="I82" s="71">
        <f t="shared" si="17"/>
        <v>120681</v>
      </c>
      <c r="J82" s="67">
        <v>920</v>
      </c>
      <c r="K82" s="73">
        <f t="shared" si="18"/>
        <v>19136</v>
      </c>
      <c r="L82" s="79">
        <v>278</v>
      </c>
      <c r="M82" s="73">
        <f t="shared" si="19"/>
        <v>5782</v>
      </c>
      <c r="N82" s="189"/>
      <c r="O82" s="17" t="s">
        <v>346</v>
      </c>
      <c r="P82" s="7" t="s">
        <v>344</v>
      </c>
      <c r="Q82" s="7" t="s">
        <v>345</v>
      </c>
    </row>
    <row r="83" spans="1:29" ht="30.6" customHeight="1" x14ac:dyDescent="0.3">
      <c r="A83" s="196"/>
      <c r="B83" s="196" t="s">
        <v>354</v>
      </c>
      <c r="C83" s="215" t="s">
        <v>355</v>
      </c>
      <c r="D83" s="44">
        <v>201.6</v>
      </c>
      <c r="E83" s="211" t="s">
        <v>167</v>
      </c>
      <c r="F83" s="50">
        <f t="shared" si="15"/>
        <v>1682</v>
      </c>
      <c r="G83" s="58">
        <f t="shared" si="16"/>
        <v>339091</v>
      </c>
      <c r="H83" s="66">
        <v>0</v>
      </c>
      <c r="I83" s="70">
        <f t="shared" si="17"/>
        <v>0</v>
      </c>
      <c r="J83" s="66">
        <v>1682</v>
      </c>
      <c r="K83" s="72">
        <f t="shared" si="18"/>
        <v>339091</v>
      </c>
      <c r="L83" s="78">
        <v>0</v>
      </c>
      <c r="M83" s="72">
        <f t="shared" si="19"/>
        <v>0</v>
      </c>
      <c r="N83" s="213" t="s">
        <v>356</v>
      </c>
      <c r="O83" s="17" t="s">
        <v>351</v>
      </c>
      <c r="P83" s="7" t="s">
        <v>350</v>
      </c>
      <c r="Q83" s="7" t="s">
        <v>342</v>
      </c>
    </row>
    <row r="84" spans="1:29" ht="30.6" customHeight="1" x14ac:dyDescent="0.3">
      <c r="A84" s="197"/>
      <c r="B84" s="197"/>
      <c r="C84" s="189"/>
      <c r="D84" s="45">
        <v>62.4</v>
      </c>
      <c r="E84" s="212"/>
      <c r="F84" s="51">
        <f t="shared" si="15"/>
        <v>1682</v>
      </c>
      <c r="G84" s="59">
        <f t="shared" si="16"/>
        <v>104956</v>
      </c>
      <c r="H84" s="67">
        <v>0</v>
      </c>
      <c r="I84" s="71">
        <f t="shared" si="17"/>
        <v>0</v>
      </c>
      <c r="J84" s="67">
        <v>1682</v>
      </c>
      <c r="K84" s="73">
        <f t="shared" si="18"/>
        <v>104956</v>
      </c>
      <c r="L84" s="79">
        <v>0</v>
      </c>
      <c r="M84" s="73">
        <f t="shared" si="19"/>
        <v>0</v>
      </c>
      <c r="N84" s="189"/>
      <c r="O84" s="17" t="s">
        <v>353</v>
      </c>
      <c r="P84" s="7" t="s">
        <v>352</v>
      </c>
      <c r="Q84" s="7" t="s">
        <v>345</v>
      </c>
    </row>
    <row r="85" spans="1:29" ht="30.6" customHeight="1" x14ac:dyDescent="0.3">
      <c r="A85" s="196"/>
      <c r="B85" s="196" t="s">
        <v>361</v>
      </c>
      <c r="C85" s="215" t="s">
        <v>362</v>
      </c>
      <c r="D85" s="44">
        <v>5.04</v>
      </c>
      <c r="E85" s="211" t="s">
        <v>52</v>
      </c>
      <c r="F85" s="50">
        <f t="shared" si="15"/>
        <v>98621</v>
      </c>
      <c r="G85" s="58">
        <f t="shared" si="16"/>
        <v>497049</v>
      </c>
      <c r="H85" s="66">
        <v>98621</v>
      </c>
      <c r="I85" s="70">
        <f t="shared" si="17"/>
        <v>497049</v>
      </c>
      <c r="J85" s="66">
        <v>0</v>
      </c>
      <c r="K85" s="72">
        <f t="shared" si="18"/>
        <v>0</v>
      </c>
      <c r="L85" s="78">
        <v>0</v>
      </c>
      <c r="M85" s="72">
        <f t="shared" si="19"/>
        <v>0</v>
      </c>
      <c r="N85" s="213" t="s">
        <v>363</v>
      </c>
      <c r="O85" s="17" t="s">
        <v>358</v>
      </c>
      <c r="P85" s="7" t="s">
        <v>357</v>
      </c>
      <c r="Q85" s="7" t="s">
        <v>342</v>
      </c>
    </row>
    <row r="86" spans="1:29" ht="30.6" customHeight="1" x14ac:dyDescent="0.3">
      <c r="A86" s="197"/>
      <c r="B86" s="197"/>
      <c r="C86" s="189"/>
      <c r="D86" s="45">
        <v>1.04</v>
      </c>
      <c r="E86" s="212"/>
      <c r="F86" s="51">
        <f t="shared" si="15"/>
        <v>98621</v>
      </c>
      <c r="G86" s="59">
        <f t="shared" si="16"/>
        <v>102565</v>
      </c>
      <c r="H86" s="67">
        <v>98621</v>
      </c>
      <c r="I86" s="71">
        <f t="shared" si="17"/>
        <v>102565</v>
      </c>
      <c r="J86" s="67">
        <v>0</v>
      </c>
      <c r="K86" s="73">
        <f t="shared" si="18"/>
        <v>0</v>
      </c>
      <c r="L86" s="79">
        <v>0</v>
      </c>
      <c r="M86" s="73">
        <f t="shared" si="19"/>
        <v>0</v>
      </c>
      <c r="N86" s="189"/>
      <c r="O86" s="17" t="s">
        <v>360</v>
      </c>
      <c r="P86" s="7" t="s">
        <v>359</v>
      </c>
      <c r="Q86" s="7" t="s">
        <v>345</v>
      </c>
    </row>
    <row r="87" spans="1:29" ht="30.6" customHeight="1" x14ac:dyDescent="0.3">
      <c r="A87" s="196"/>
      <c r="B87" s="196" t="s">
        <v>368</v>
      </c>
      <c r="C87" s="215" t="s">
        <v>369</v>
      </c>
      <c r="D87" s="44">
        <v>571.20000000000005</v>
      </c>
      <c r="E87" s="211" t="s">
        <v>14</v>
      </c>
      <c r="F87" s="50">
        <f t="shared" si="15"/>
        <v>0</v>
      </c>
      <c r="G87" s="58">
        <f t="shared" si="16"/>
        <v>0</v>
      </c>
      <c r="H87" s="66">
        <v>0</v>
      </c>
      <c r="I87" s="70">
        <f t="shared" si="17"/>
        <v>0</v>
      </c>
      <c r="J87" s="66">
        <v>0</v>
      </c>
      <c r="K87" s="72">
        <f t="shared" si="18"/>
        <v>0</v>
      </c>
      <c r="L87" s="78">
        <v>0</v>
      </c>
      <c r="M87" s="72">
        <f t="shared" si="19"/>
        <v>0</v>
      </c>
      <c r="N87" s="213" t="s">
        <v>410</v>
      </c>
      <c r="O87" s="17" t="s">
        <v>407</v>
      </c>
      <c r="P87" s="7" t="s">
        <v>406</v>
      </c>
      <c r="Q87" s="7" t="s">
        <v>342</v>
      </c>
    </row>
    <row r="88" spans="1:29" ht="30.6" customHeight="1" x14ac:dyDescent="0.3">
      <c r="A88" s="197"/>
      <c r="B88" s="197"/>
      <c r="C88" s="189"/>
      <c r="D88" s="45">
        <v>0</v>
      </c>
      <c r="E88" s="212"/>
      <c r="F88" s="51">
        <f t="shared" si="15"/>
        <v>0</v>
      </c>
      <c r="G88" s="59">
        <f t="shared" si="16"/>
        <v>0</v>
      </c>
      <c r="H88" s="67">
        <v>0</v>
      </c>
      <c r="I88" s="71">
        <f t="shared" si="17"/>
        <v>0</v>
      </c>
      <c r="J88" s="67">
        <v>0</v>
      </c>
      <c r="K88" s="73">
        <f t="shared" si="18"/>
        <v>0</v>
      </c>
      <c r="L88" s="79">
        <v>0</v>
      </c>
      <c r="M88" s="73">
        <f t="shared" si="19"/>
        <v>0</v>
      </c>
      <c r="N88" s="189"/>
      <c r="O88" s="17" t="s">
        <v>409</v>
      </c>
      <c r="P88" s="7" t="s">
        <v>408</v>
      </c>
      <c r="Q88" s="7" t="s">
        <v>345</v>
      </c>
    </row>
    <row r="89" spans="1:29" ht="30.6" customHeight="1" x14ac:dyDescent="0.3">
      <c r="A89" s="196"/>
      <c r="B89" s="196" t="s">
        <v>17</v>
      </c>
      <c r="C89" s="215" t="s">
        <v>380</v>
      </c>
      <c r="D89" s="44">
        <v>403.2</v>
      </c>
      <c r="E89" s="211" t="s">
        <v>14</v>
      </c>
      <c r="F89" s="50">
        <f t="shared" si="15"/>
        <v>47749</v>
      </c>
      <c r="G89" s="58">
        <f t="shared" si="16"/>
        <v>19252395</v>
      </c>
      <c r="H89" s="66">
        <v>35809</v>
      </c>
      <c r="I89" s="70">
        <f t="shared" si="17"/>
        <v>14438188</v>
      </c>
      <c r="J89" s="66">
        <v>4309</v>
      </c>
      <c r="K89" s="72">
        <f t="shared" si="18"/>
        <v>1737388</v>
      </c>
      <c r="L89" s="78">
        <v>7631</v>
      </c>
      <c r="M89" s="72">
        <f t="shared" si="19"/>
        <v>3076819</v>
      </c>
      <c r="N89" s="213" t="s">
        <v>381</v>
      </c>
      <c r="O89" s="17" t="s">
        <v>377</v>
      </c>
      <c r="P89" s="7" t="s">
        <v>376</v>
      </c>
      <c r="Q89" s="7" t="s">
        <v>342</v>
      </c>
    </row>
    <row r="90" spans="1:29" ht="30.6" customHeight="1" x14ac:dyDescent="0.3">
      <c r="A90" s="197"/>
      <c r="B90" s="197"/>
      <c r="C90" s="189"/>
      <c r="D90" s="45">
        <v>102.96</v>
      </c>
      <c r="E90" s="212"/>
      <c r="F90" s="51">
        <f t="shared" si="15"/>
        <v>47749</v>
      </c>
      <c r="G90" s="59">
        <f t="shared" si="16"/>
        <v>4916235</v>
      </c>
      <c r="H90" s="67">
        <v>35809</v>
      </c>
      <c r="I90" s="71">
        <f t="shared" si="17"/>
        <v>3686894</v>
      </c>
      <c r="J90" s="67">
        <v>4309</v>
      </c>
      <c r="K90" s="73">
        <f t="shared" si="18"/>
        <v>443654</v>
      </c>
      <c r="L90" s="79">
        <v>7631</v>
      </c>
      <c r="M90" s="73">
        <f t="shared" si="19"/>
        <v>785687</v>
      </c>
      <c r="N90" s="189"/>
      <c r="O90" s="17" t="s">
        <v>379</v>
      </c>
      <c r="P90" s="7" t="s">
        <v>378</v>
      </c>
      <c r="Q90" s="7" t="s">
        <v>345</v>
      </c>
    </row>
    <row r="91" spans="1:29" ht="30.6" customHeight="1" x14ac:dyDescent="0.3">
      <c r="A91" s="196"/>
      <c r="B91" s="196" t="s">
        <v>12</v>
      </c>
      <c r="C91" s="215" t="s">
        <v>421</v>
      </c>
      <c r="D91" s="44">
        <v>168</v>
      </c>
      <c r="E91" s="211" t="s">
        <v>14</v>
      </c>
      <c r="F91" s="50">
        <f t="shared" si="15"/>
        <v>47745</v>
      </c>
      <c r="G91" s="58">
        <f t="shared" si="16"/>
        <v>8021160</v>
      </c>
      <c r="H91" s="66">
        <v>38459</v>
      </c>
      <c r="I91" s="70">
        <f t="shared" si="17"/>
        <v>6461112</v>
      </c>
      <c r="J91" s="66">
        <v>3351</v>
      </c>
      <c r="K91" s="72">
        <f t="shared" si="18"/>
        <v>562968</v>
      </c>
      <c r="L91" s="78">
        <v>5935</v>
      </c>
      <c r="M91" s="72">
        <f t="shared" si="19"/>
        <v>997080</v>
      </c>
      <c r="N91" s="213" t="s">
        <v>422</v>
      </c>
      <c r="O91" s="17" t="s">
        <v>418</v>
      </c>
      <c r="P91" s="7" t="s">
        <v>417</v>
      </c>
      <c r="Q91" s="7" t="s">
        <v>342</v>
      </c>
    </row>
    <row r="92" spans="1:29" ht="30.6" customHeight="1" x14ac:dyDescent="0.3">
      <c r="A92" s="197"/>
      <c r="B92" s="197"/>
      <c r="C92" s="189"/>
      <c r="D92" s="45">
        <v>0</v>
      </c>
      <c r="E92" s="212"/>
      <c r="F92" s="51">
        <f t="shared" si="15"/>
        <v>0</v>
      </c>
      <c r="G92" s="59">
        <f t="shared" si="16"/>
        <v>0</v>
      </c>
      <c r="H92" s="67">
        <v>0</v>
      </c>
      <c r="I92" s="71">
        <f t="shared" si="17"/>
        <v>0</v>
      </c>
      <c r="J92" s="67">
        <v>0</v>
      </c>
      <c r="K92" s="73">
        <f t="shared" si="18"/>
        <v>0</v>
      </c>
      <c r="L92" s="79">
        <v>0</v>
      </c>
      <c r="M92" s="73">
        <f t="shared" si="19"/>
        <v>0</v>
      </c>
      <c r="N92" s="189"/>
      <c r="O92" s="17" t="s">
        <v>420</v>
      </c>
      <c r="P92" s="7" t="s">
        <v>419</v>
      </c>
      <c r="Q92" s="7" t="s">
        <v>345</v>
      </c>
    </row>
    <row r="93" spans="1:29" ht="30.6" customHeight="1" x14ac:dyDescent="0.3">
      <c r="A93" s="196"/>
      <c r="B93" s="196" t="s">
        <v>12</v>
      </c>
      <c r="C93" s="215" t="s">
        <v>24</v>
      </c>
      <c r="D93" s="44">
        <v>0</v>
      </c>
      <c r="E93" s="211" t="s">
        <v>14</v>
      </c>
      <c r="F93" s="50">
        <f t="shared" si="15"/>
        <v>0</v>
      </c>
      <c r="G93" s="58">
        <f t="shared" si="16"/>
        <v>0</v>
      </c>
      <c r="H93" s="68">
        <f>IF(D93=0,0,일위대가목록표!F7)</f>
        <v>0</v>
      </c>
      <c r="I93" s="62">
        <f t="shared" si="17"/>
        <v>0</v>
      </c>
      <c r="J93" s="74">
        <f>IF(D93=0,0,일위대가목록표!G7)</f>
        <v>0</v>
      </c>
      <c r="K93" s="62">
        <f t="shared" si="18"/>
        <v>0</v>
      </c>
      <c r="L93" s="80">
        <f>IF(D93=0,0,일위대가목록표!H7)</f>
        <v>0</v>
      </c>
      <c r="M93" s="72">
        <f t="shared" si="19"/>
        <v>0</v>
      </c>
      <c r="N93" s="213" t="s">
        <v>427</v>
      </c>
      <c r="O93" s="17" t="s">
        <v>424</v>
      </c>
      <c r="P93" s="7" t="s">
        <v>423</v>
      </c>
      <c r="Q93" s="7" t="s">
        <v>342</v>
      </c>
      <c r="AC93" s="3" t="str">
        <f ca="1">HYPERLINK("#"&amp;일위대가목록표!J2&amp;"!A"&amp;ROW(일위대가목록표!A7),"B01095 →")</f>
        <v>B01095 →</v>
      </c>
    </row>
    <row r="94" spans="1:29" ht="30.6" customHeight="1" x14ac:dyDescent="0.3">
      <c r="A94" s="197"/>
      <c r="B94" s="197"/>
      <c r="C94" s="189"/>
      <c r="D94" s="45">
        <v>72.8</v>
      </c>
      <c r="E94" s="212"/>
      <c r="F94" s="51">
        <f t="shared" si="15"/>
        <v>52528</v>
      </c>
      <c r="G94" s="59">
        <f t="shared" si="16"/>
        <v>3824037</v>
      </c>
      <c r="H94" s="69">
        <f>IF(D94=0,0,일위대가목록표!F7)</f>
        <v>42799</v>
      </c>
      <c r="I94" s="63">
        <f t="shared" si="17"/>
        <v>3115767</v>
      </c>
      <c r="J94" s="75">
        <f>IF(D94=0,0,일위대가목록표!G7)</f>
        <v>3511</v>
      </c>
      <c r="K94" s="63">
        <f t="shared" si="18"/>
        <v>255600</v>
      </c>
      <c r="L94" s="81">
        <f>IF(D94=0,0,일위대가목록표!H7)</f>
        <v>6218</v>
      </c>
      <c r="M94" s="73">
        <f t="shared" si="19"/>
        <v>452670</v>
      </c>
      <c r="N94" s="189"/>
      <c r="O94" s="17" t="s">
        <v>426</v>
      </c>
      <c r="P94" s="7" t="s">
        <v>425</v>
      </c>
      <c r="Q94" s="7" t="s">
        <v>345</v>
      </c>
    </row>
    <row r="95" spans="1:29" ht="30.6" customHeight="1" x14ac:dyDescent="0.3">
      <c r="A95" s="196"/>
      <c r="B95" s="196" t="s">
        <v>50</v>
      </c>
      <c r="C95" s="215" t="s">
        <v>51</v>
      </c>
      <c r="D95" s="44">
        <v>85.68</v>
      </c>
      <c r="E95" s="211" t="s">
        <v>52</v>
      </c>
      <c r="F95" s="50">
        <f t="shared" si="15"/>
        <v>18302</v>
      </c>
      <c r="G95" s="58">
        <f t="shared" si="16"/>
        <v>1568114</v>
      </c>
      <c r="H95" s="68">
        <f>IF(D95=0,0,단가산출근거목록표!F5)</f>
        <v>13033</v>
      </c>
      <c r="I95" s="62">
        <f t="shared" si="17"/>
        <v>1116667</v>
      </c>
      <c r="J95" s="74">
        <f>IF(D95=0,0,단가산출근거목록표!G5)</f>
        <v>1741</v>
      </c>
      <c r="K95" s="62">
        <f t="shared" si="18"/>
        <v>149168</v>
      </c>
      <c r="L95" s="80">
        <f>IF(D95=0,0,단가산출근거목록표!H5)</f>
        <v>3528</v>
      </c>
      <c r="M95" s="72">
        <f t="shared" si="19"/>
        <v>302279</v>
      </c>
      <c r="N95" s="213" t="s">
        <v>391</v>
      </c>
      <c r="O95" s="17" t="s">
        <v>388</v>
      </c>
      <c r="P95" s="7" t="s">
        <v>387</v>
      </c>
      <c r="Q95" s="7" t="s">
        <v>342</v>
      </c>
      <c r="AC95" s="3" t="str">
        <f ca="1">HYPERLINK("#"&amp;단가산출근거목록표!J2&amp;"!A"&amp;ROW(단가산출근거목록표!A5),"D01425 →")</f>
        <v>D01425 →</v>
      </c>
    </row>
    <row r="96" spans="1:29" ht="30.6" customHeight="1" x14ac:dyDescent="0.3">
      <c r="A96" s="197"/>
      <c r="B96" s="197"/>
      <c r="C96" s="189"/>
      <c r="D96" s="45">
        <v>24.44</v>
      </c>
      <c r="E96" s="212"/>
      <c r="F96" s="51">
        <f t="shared" si="15"/>
        <v>18302</v>
      </c>
      <c r="G96" s="59">
        <f t="shared" si="16"/>
        <v>447300</v>
      </c>
      <c r="H96" s="69">
        <f>IF(D96=0,0,단가산출근거목록표!F5)</f>
        <v>13033</v>
      </c>
      <c r="I96" s="63">
        <f t="shared" si="17"/>
        <v>318526</v>
      </c>
      <c r="J96" s="75">
        <f>IF(D96=0,0,단가산출근거목록표!G5)</f>
        <v>1741</v>
      </c>
      <c r="K96" s="63">
        <f t="shared" si="18"/>
        <v>42550</v>
      </c>
      <c r="L96" s="81">
        <f>IF(D96=0,0,단가산출근거목록표!H5)</f>
        <v>3528</v>
      </c>
      <c r="M96" s="73">
        <f t="shared" si="19"/>
        <v>86224</v>
      </c>
      <c r="N96" s="189"/>
      <c r="O96" s="17" t="s">
        <v>390</v>
      </c>
      <c r="P96" s="7" t="s">
        <v>389</v>
      </c>
      <c r="Q96" s="7" t="s">
        <v>345</v>
      </c>
    </row>
    <row r="97" spans="1:29" ht="30.6" customHeight="1" x14ac:dyDescent="0.3">
      <c r="A97" s="196"/>
      <c r="B97" s="196" t="s">
        <v>396</v>
      </c>
      <c r="C97" s="215" t="s">
        <v>369</v>
      </c>
      <c r="D97" s="44">
        <v>40.32</v>
      </c>
      <c r="E97" s="211" t="s">
        <v>181</v>
      </c>
      <c r="F97" s="50">
        <f t="shared" si="15"/>
        <v>0</v>
      </c>
      <c r="G97" s="58">
        <f t="shared" si="16"/>
        <v>0</v>
      </c>
      <c r="H97" s="66">
        <v>0</v>
      </c>
      <c r="I97" s="70">
        <f t="shared" si="17"/>
        <v>0</v>
      </c>
      <c r="J97" s="66">
        <v>0</v>
      </c>
      <c r="K97" s="72">
        <f t="shared" si="18"/>
        <v>0</v>
      </c>
      <c r="L97" s="78">
        <v>0</v>
      </c>
      <c r="M97" s="72">
        <f t="shared" si="19"/>
        <v>0</v>
      </c>
      <c r="N97" s="213" t="s">
        <v>397</v>
      </c>
      <c r="O97" s="17" t="s">
        <v>393</v>
      </c>
      <c r="P97" s="7" t="s">
        <v>392</v>
      </c>
      <c r="Q97" s="7" t="s">
        <v>342</v>
      </c>
    </row>
    <row r="98" spans="1:29" ht="30.6" customHeight="1" x14ac:dyDescent="0.3">
      <c r="A98" s="197"/>
      <c r="B98" s="197"/>
      <c r="C98" s="189"/>
      <c r="D98" s="45">
        <v>10.4</v>
      </c>
      <c r="E98" s="212"/>
      <c r="F98" s="51">
        <f t="shared" si="15"/>
        <v>0</v>
      </c>
      <c r="G98" s="59">
        <f t="shared" si="16"/>
        <v>0</v>
      </c>
      <c r="H98" s="67">
        <v>0</v>
      </c>
      <c r="I98" s="71">
        <f t="shared" si="17"/>
        <v>0</v>
      </c>
      <c r="J98" s="67">
        <v>0</v>
      </c>
      <c r="K98" s="73">
        <f t="shared" si="18"/>
        <v>0</v>
      </c>
      <c r="L98" s="79">
        <v>0</v>
      </c>
      <c r="M98" s="73">
        <f t="shared" si="19"/>
        <v>0</v>
      </c>
      <c r="N98" s="189"/>
      <c r="O98" s="17" t="s">
        <v>395</v>
      </c>
      <c r="P98" s="7" t="s">
        <v>394</v>
      </c>
      <c r="Q98" s="7" t="s">
        <v>345</v>
      </c>
    </row>
    <row r="99" spans="1:29" ht="30.6" customHeight="1" x14ac:dyDescent="0.3">
      <c r="A99" s="196"/>
      <c r="B99" s="196" t="s">
        <v>56</v>
      </c>
      <c r="C99" s="215" t="s">
        <v>57</v>
      </c>
      <c r="D99" s="44">
        <v>40.32</v>
      </c>
      <c r="E99" s="211" t="s">
        <v>52</v>
      </c>
      <c r="F99" s="50">
        <f t="shared" si="15"/>
        <v>8127</v>
      </c>
      <c r="G99" s="58">
        <f t="shared" si="16"/>
        <v>327679</v>
      </c>
      <c r="H99" s="68">
        <f>IF(D99=0,0,단가산출근거목록표!F6)</f>
        <v>6783</v>
      </c>
      <c r="I99" s="62">
        <f t="shared" si="17"/>
        <v>273490</v>
      </c>
      <c r="J99" s="74">
        <f>IF(D99=0,0,단가산출근거목록표!G6)</f>
        <v>487</v>
      </c>
      <c r="K99" s="62">
        <f t="shared" si="18"/>
        <v>19635</v>
      </c>
      <c r="L99" s="80">
        <f>IF(D99=0,0,단가산출근거목록표!H6)</f>
        <v>857</v>
      </c>
      <c r="M99" s="72">
        <f t="shared" si="19"/>
        <v>34554</v>
      </c>
      <c r="N99" s="213" t="s">
        <v>402</v>
      </c>
      <c r="O99" s="17" t="s">
        <v>399</v>
      </c>
      <c r="P99" s="7" t="s">
        <v>398</v>
      </c>
      <c r="Q99" s="7" t="s">
        <v>342</v>
      </c>
      <c r="AC99" s="3" t="str">
        <f ca="1">HYPERLINK("#"&amp;단가산출근거목록표!J2&amp;"!A"&amp;ROW(단가산출근거목록표!A6),"D01426 →")</f>
        <v>D01426 →</v>
      </c>
    </row>
    <row r="100" spans="1:29" ht="30.6" customHeight="1" x14ac:dyDescent="0.3">
      <c r="A100" s="197"/>
      <c r="B100" s="197"/>
      <c r="C100" s="189"/>
      <c r="D100" s="45">
        <v>10.4</v>
      </c>
      <c r="E100" s="212"/>
      <c r="F100" s="51">
        <f t="shared" si="15"/>
        <v>8127</v>
      </c>
      <c r="G100" s="59">
        <f t="shared" si="16"/>
        <v>84519</v>
      </c>
      <c r="H100" s="69">
        <f>IF(D100=0,0,단가산출근거목록표!F6)</f>
        <v>6783</v>
      </c>
      <c r="I100" s="63">
        <f t="shared" si="17"/>
        <v>70543</v>
      </c>
      <c r="J100" s="75">
        <f>IF(D100=0,0,단가산출근거목록표!G6)</f>
        <v>487</v>
      </c>
      <c r="K100" s="63">
        <f t="shared" si="18"/>
        <v>5064</v>
      </c>
      <c r="L100" s="81">
        <f>IF(D100=0,0,단가산출근거목록표!H6)</f>
        <v>857</v>
      </c>
      <c r="M100" s="73">
        <f t="shared" si="19"/>
        <v>8912</v>
      </c>
      <c r="N100" s="189"/>
      <c r="O100" s="17" t="s">
        <v>401</v>
      </c>
      <c r="P100" s="7" t="s">
        <v>400</v>
      </c>
      <c r="Q100" s="7" t="s">
        <v>345</v>
      </c>
    </row>
    <row r="101" spans="1:29" ht="30.6" customHeight="1" x14ac:dyDescent="0.3">
      <c r="A101" s="214"/>
      <c r="B101" s="214"/>
      <c r="C101" s="188"/>
      <c r="D101" s="42"/>
      <c r="E101" s="211"/>
      <c r="F101" s="48">
        <v>0</v>
      </c>
      <c r="G101" s="56"/>
      <c r="H101" s="64"/>
      <c r="I101" s="64"/>
      <c r="J101" s="64"/>
      <c r="K101" s="64"/>
      <c r="L101" s="64"/>
      <c r="M101" s="82"/>
      <c r="N101" s="213"/>
      <c r="O101" s="17" t="s">
        <v>265</v>
      </c>
      <c r="P101" s="7" t="s">
        <v>263</v>
      </c>
      <c r="Q101" s="7" t="s">
        <v>276</v>
      </c>
    </row>
    <row r="102" spans="1:29" ht="30.6" customHeight="1" x14ac:dyDescent="0.3">
      <c r="A102" s="197"/>
      <c r="B102" s="197"/>
      <c r="C102" s="189"/>
      <c r="D102" s="43"/>
      <c r="E102" s="212"/>
      <c r="F102" s="49">
        <v>0</v>
      </c>
      <c r="G102" s="57"/>
      <c r="H102" s="65"/>
      <c r="I102" s="65"/>
      <c r="J102" s="65"/>
      <c r="K102" s="65"/>
      <c r="L102" s="65"/>
      <c r="M102" s="83"/>
      <c r="N102" s="189"/>
      <c r="O102" s="17" t="s">
        <v>268</v>
      </c>
      <c r="P102" s="7" t="s">
        <v>266</v>
      </c>
      <c r="Q102" s="7" t="s">
        <v>279</v>
      </c>
    </row>
    <row r="103" spans="1:29" ht="30.6" customHeight="1" x14ac:dyDescent="0.3">
      <c r="A103" s="207" t="s">
        <v>428</v>
      </c>
      <c r="B103" s="207" t="s">
        <v>429</v>
      </c>
      <c r="C103" s="209" t="s">
        <v>430</v>
      </c>
      <c r="D103" s="42"/>
      <c r="E103" s="211"/>
      <c r="F103" s="48">
        <v>0</v>
      </c>
      <c r="G103" s="54">
        <f>SUMIF(Q105:Q116,P103,G105:G116)</f>
        <v>0</v>
      </c>
      <c r="H103" s="62">
        <v>0</v>
      </c>
      <c r="I103" s="58">
        <f>SUMIF(Q105:Q116,P103,I105:I116)</f>
        <v>0</v>
      </c>
      <c r="J103" s="62">
        <v>0</v>
      </c>
      <c r="K103" s="76">
        <f>SUMIF(Q105:Q116,P103,K105:K116)</f>
        <v>0</v>
      </c>
      <c r="L103" s="72">
        <v>0</v>
      </c>
      <c r="M103" s="76">
        <f>SUMIF(Q105:Q116,P103,M105:M116)</f>
        <v>0</v>
      </c>
      <c r="N103" s="213"/>
      <c r="O103" s="17" t="str">
        <f>"_x0007_`COD|E2_x0005_`QTY1|1_x0005_`EXI|0_x0005_`ITT|0_x0005_`END|"&amp;ROW(M117)&amp;"_x0005_`"</f>
        <v>_x0007_`COD|E2_x0005_`QTY1|1_x0005_`EXI|0_x0005_`ITT|0_x0005_`END|117_x0005_`</v>
      </c>
      <c r="P103" s="7" t="s">
        <v>342</v>
      </c>
      <c r="Q103" s="7" t="s">
        <v>276</v>
      </c>
    </row>
    <row r="104" spans="1:29" ht="30.6" customHeight="1" x14ac:dyDescent="0.3">
      <c r="A104" s="208"/>
      <c r="B104" s="208"/>
      <c r="C104" s="210"/>
      <c r="D104" s="43"/>
      <c r="E104" s="212"/>
      <c r="F104" s="49">
        <v>0</v>
      </c>
      <c r="G104" s="55">
        <f>SUMIF(Q105:Q116,P104,G105:G116)</f>
        <v>24602423</v>
      </c>
      <c r="H104" s="63">
        <v>0</v>
      </c>
      <c r="I104" s="59">
        <f>SUMIF(Q105:Q116,P104,I105:I116)</f>
        <v>18618084</v>
      </c>
      <c r="J104" s="63">
        <v>0</v>
      </c>
      <c r="K104" s="77">
        <f>SUMIF(Q105:Q116,P104,K105:K116)</f>
        <v>2148142</v>
      </c>
      <c r="L104" s="73">
        <v>0</v>
      </c>
      <c r="M104" s="77">
        <f>SUMIF(Q105:Q116,P104,M105:M116)</f>
        <v>3836197</v>
      </c>
      <c r="N104" s="189"/>
      <c r="O104" s="17" t="str">
        <f>"_x0007_`COD|E2_x0005_`QTY2|2_x0005_`END|"&amp;ROW(M117)&amp;"_x0005_`"</f>
        <v>_x0007_`COD|E2_x0005_`QTY2|2_x0005_`END|117_x0005_`</v>
      </c>
      <c r="P104" s="7" t="s">
        <v>345</v>
      </c>
      <c r="Q104" s="7" t="s">
        <v>279</v>
      </c>
    </row>
    <row r="105" spans="1:29" ht="30.6" customHeight="1" x14ac:dyDescent="0.3">
      <c r="A105" s="196"/>
      <c r="B105" s="196" t="s">
        <v>12</v>
      </c>
      <c r="C105" s="215" t="s">
        <v>21</v>
      </c>
      <c r="D105" s="44">
        <v>0</v>
      </c>
      <c r="E105" s="211" t="s">
        <v>14</v>
      </c>
      <c r="F105" s="50">
        <f t="shared" ref="F105:F116" si="20">J105+H105+L105</f>
        <v>0</v>
      </c>
      <c r="G105" s="58">
        <f t="shared" ref="G105:G116" si="21">K105+I105+M105</f>
        <v>0</v>
      </c>
      <c r="H105" s="68">
        <f>IF(D105=0,0,일위대가목록표!F6)</f>
        <v>0</v>
      </c>
      <c r="I105" s="62">
        <f t="shared" ref="I105:I116" si="22">ROUNDDOWN(H105*D105,0)</f>
        <v>0</v>
      </c>
      <c r="J105" s="74">
        <f>IF(D105=0,0,일위대가목록표!G6)</f>
        <v>0</v>
      </c>
      <c r="K105" s="62">
        <f t="shared" ref="K105:K116" si="23">ROUNDDOWN(J105*D105,0)</f>
        <v>0</v>
      </c>
      <c r="L105" s="80">
        <f>IF(D105=0,0,일위대가목록표!H6)</f>
        <v>0</v>
      </c>
      <c r="M105" s="72">
        <f t="shared" ref="M105:M116" si="24">ROUNDDOWN(L105*D105,0)</f>
        <v>0</v>
      </c>
      <c r="N105" s="213" t="s">
        <v>435</v>
      </c>
      <c r="O105" s="17" t="s">
        <v>432</v>
      </c>
      <c r="P105" s="7" t="s">
        <v>431</v>
      </c>
      <c r="Q105" s="7" t="s">
        <v>342</v>
      </c>
      <c r="AC105" s="3" t="str">
        <f ca="1">HYPERLINK("#"&amp;일위대가목록표!J2&amp;"!A"&amp;ROW(일위대가목록표!A6),"B01094 →")</f>
        <v>B01094 →</v>
      </c>
    </row>
    <row r="106" spans="1:29" ht="30.6" customHeight="1" x14ac:dyDescent="0.3">
      <c r="A106" s="197"/>
      <c r="B106" s="197"/>
      <c r="C106" s="189"/>
      <c r="D106" s="45">
        <v>155.4</v>
      </c>
      <c r="E106" s="212"/>
      <c r="F106" s="51">
        <f t="shared" si="20"/>
        <v>60047</v>
      </c>
      <c r="G106" s="59">
        <f t="shared" si="21"/>
        <v>9331302</v>
      </c>
      <c r="H106" s="69">
        <f>IF(D106=0,0,일위대가목록표!F6)</f>
        <v>48992</v>
      </c>
      <c r="I106" s="63">
        <f t="shared" si="22"/>
        <v>7613356</v>
      </c>
      <c r="J106" s="75">
        <f>IF(D106=0,0,일위대가목록표!G6)</f>
        <v>3989</v>
      </c>
      <c r="K106" s="63">
        <f t="shared" si="23"/>
        <v>619890</v>
      </c>
      <c r="L106" s="81">
        <f>IF(D106=0,0,일위대가목록표!H6)</f>
        <v>7066</v>
      </c>
      <c r="M106" s="73">
        <f t="shared" si="24"/>
        <v>1098056</v>
      </c>
      <c r="N106" s="189"/>
      <c r="O106" s="17" t="s">
        <v>434</v>
      </c>
      <c r="P106" s="7" t="s">
        <v>433</v>
      </c>
      <c r="Q106" s="7" t="s">
        <v>345</v>
      </c>
    </row>
    <row r="107" spans="1:29" ht="30.6" customHeight="1" x14ac:dyDescent="0.3">
      <c r="A107" s="196"/>
      <c r="B107" s="196" t="s">
        <v>17</v>
      </c>
      <c r="C107" s="215" t="s">
        <v>18</v>
      </c>
      <c r="D107" s="44">
        <v>0</v>
      </c>
      <c r="E107" s="211" t="s">
        <v>14</v>
      </c>
      <c r="F107" s="50">
        <f t="shared" si="20"/>
        <v>0</v>
      </c>
      <c r="G107" s="58">
        <f t="shared" si="21"/>
        <v>0</v>
      </c>
      <c r="H107" s="68">
        <f>IF(D107=0,0,일위대가목록표!F5)</f>
        <v>0</v>
      </c>
      <c r="I107" s="62">
        <f t="shared" si="22"/>
        <v>0</v>
      </c>
      <c r="J107" s="74">
        <f>IF(D107=0,0,일위대가목록표!G5)</f>
        <v>0</v>
      </c>
      <c r="K107" s="62">
        <f t="shared" si="23"/>
        <v>0</v>
      </c>
      <c r="L107" s="80">
        <f>IF(D107=0,0,일위대가목록표!H5)</f>
        <v>0</v>
      </c>
      <c r="M107" s="72">
        <f t="shared" si="24"/>
        <v>0</v>
      </c>
      <c r="N107" s="213" t="s">
        <v>386</v>
      </c>
      <c r="O107" s="17" t="s">
        <v>383</v>
      </c>
      <c r="P107" s="7" t="s">
        <v>382</v>
      </c>
      <c r="Q107" s="7" t="s">
        <v>342</v>
      </c>
      <c r="AC107" s="3" t="str">
        <f ca="1">HYPERLINK("#"&amp;일위대가목록표!J2&amp;"!A"&amp;ROW(일위대가목록표!A5),"B01093 →")</f>
        <v>B01093 →</v>
      </c>
    </row>
    <row r="108" spans="1:29" ht="30.6" customHeight="1" x14ac:dyDescent="0.3">
      <c r="A108" s="197"/>
      <c r="B108" s="197"/>
      <c r="C108" s="189"/>
      <c r="D108" s="45">
        <v>219.78</v>
      </c>
      <c r="E108" s="212"/>
      <c r="F108" s="51">
        <f t="shared" si="20"/>
        <v>55808</v>
      </c>
      <c r="G108" s="59">
        <f t="shared" si="21"/>
        <v>12265480</v>
      </c>
      <c r="H108" s="69">
        <f>IF(D108=0,0,일위대가목록표!F5)</f>
        <v>41082</v>
      </c>
      <c r="I108" s="63">
        <f t="shared" si="22"/>
        <v>9029001</v>
      </c>
      <c r="J108" s="75">
        <f>IF(D108=0,0,일위대가목록표!G5)</f>
        <v>5314</v>
      </c>
      <c r="K108" s="63">
        <f t="shared" si="23"/>
        <v>1167910</v>
      </c>
      <c r="L108" s="81">
        <f>IF(D108=0,0,일위대가목록표!H5)</f>
        <v>9412</v>
      </c>
      <c r="M108" s="73">
        <f t="shared" si="24"/>
        <v>2068569</v>
      </c>
      <c r="N108" s="189"/>
      <c r="O108" s="17" t="s">
        <v>385</v>
      </c>
      <c r="P108" s="7" t="s">
        <v>384</v>
      </c>
      <c r="Q108" s="7" t="s">
        <v>345</v>
      </c>
    </row>
    <row r="109" spans="1:29" ht="30.6" customHeight="1" x14ac:dyDescent="0.3">
      <c r="A109" s="196"/>
      <c r="B109" s="196" t="s">
        <v>60</v>
      </c>
      <c r="C109" s="215" t="s">
        <v>64</v>
      </c>
      <c r="D109" s="44">
        <v>0</v>
      </c>
      <c r="E109" s="211" t="s">
        <v>14</v>
      </c>
      <c r="F109" s="50">
        <f t="shared" si="20"/>
        <v>0</v>
      </c>
      <c r="G109" s="58">
        <f t="shared" si="21"/>
        <v>0</v>
      </c>
      <c r="H109" s="68">
        <f>IF(D109=0,0,단가산출근거목록표!F8)</f>
        <v>0</v>
      </c>
      <c r="I109" s="62">
        <f t="shared" si="22"/>
        <v>0</v>
      </c>
      <c r="J109" s="74">
        <f>IF(D109=0,0,단가산출근거목록표!G8)</f>
        <v>0</v>
      </c>
      <c r="K109" s="62">
        <f t="shared" si="23"/>
        <v>0</v>
      </c>
      <c r="L109" s="80">
        <f>IF(D109=0,0,단가산출근거목록표!H8)</f>
        <v>0</v>
      </c>
      <c r="M109" s="72">
        <f t="shared" si="24"/>
        <v>0</v>
      </c>
      <c r="N109" s="213" t="s">
        <v>440</v>
      </c>
      <c r="O109" s="17" t="s">
        <v>437</v>
      </c>
      <c r="P109" s="7" t="s">
        <v>436</v>
      </c>
      <c r="Q109" s="7" t="s">
        <v>342</v>
      </c>
      <c r="AC109" s="3" t="str">
        <f ca="1">HYPERLINK("#"&amp;단가산출근거목록표!J2&amp;"!A"&amp;ROW(단가산출근거목록표!A8),"D01438 →")</f>
        <v>D01438 →</v>
      </c>
    </row>
    <row r="110" spans="1:29" ht="30.6" customHeight="1" x14ac:dyDescent="0.3">
      <c r="A110" s="197"/>
      <c r="B110" s="197"/>
      <c r="C110" s="189"/>
      <c r="D110" s="45">
        <v>41.96</v>
      </c>
      <c r="E110" s="212"/>
      <c r="F110" s="51">
        <f t="shared" si="20"/>
        <v>19259</v>
      </c>
      <c r="G110" s="59">
        <f t="shared" si="21"/>
        <v>808106</v>
      </c>
      <c r="H110" s="69">
        <f>IF(D110=0,0,단가산출근거목록표!F8)</f>
        <v>12318</v>
      </c>
      <c r="I110" s="63">
        <f t="shared" si="22"/>
        <v>516863</v>
      </c>
      <c r="J110" s="75">
        <f>IF(D110=0,0,단가산출근거목록표!G8)</f>
        <v>2729</v>
      </c>
      <c r="K110" s="63">
        <f t="shared" si="23"/>
        <v>114508</v>
      </c>
      <c r="L110" s="81">
        <f>IF(D110=0,0,단가산출근거목록표!H8)</f>
        <v>4212</v>
      </c>
      <c r="M110" s="73">
        <f t="shared" si="24"/>
        <v>176735</v>
      </c>
      <c r="N110" s="189"/>
      <c r="O110" s="17" t="s">
        <v>439</v>
      </c>
      <c r="P110" s="7" t="s">
        <v>438</v>
      </c>
      <c r="Q110" s="7" t="s">
        <v>345</v>
      </c>
    </row>
    <row r="111" spans="1:29" ht="30.6" customHeight="1" x14ac:dyDescent="0.3">
      <c r="A111" s="196"/>
      <c r="B111" s="196" t="s">
        <v>60</v>
      </c>
      <c r="C111" s="215" t="s">
        <v>61</v>
      </c>
      <c r="D111" s="44">
        <v>0</v>
      </c>
      <c r="E111" s="211" t="s">
        <v>14</v>
      </c>
      <c r="F111" s="50">
        <f t="shared" si="20"/>
        <v>0</v>
      </c>
      <c r="G111" s="58">
        <f t="shared" si="21"/>
        <v>0</v>
      </c>
      <c r="H111" s="68">
        <f>IF(D111=0,0,단가산출근거목록표!F7)</f>
        <v>0</v>
      </c>
      <c r="I111" s="62">
        <f t="shared" si="22"/>
        <v>0</v>
      </c>
      <c r="J111" s="74">
        <f>IF(D111=0,0,단가산출근거목록표!G7)</f>
        <v>0</v>
      </c>
      <c r="K111" s="62">
        <f t="shared" si="23"/>
        <v>0</v>
      </c>
      <c r="L111" s="80">
        <f>IF(D111=0,0,단가산출근거목록표!H7)</f>
        <v>0</v>
      </c>
      <c r="M111" s="72">
        <f t="shared" si="24"/>
        <v>0</v>
      </c>
      <c r="N111" s="213" t="s">
        <v>375</v>
      </c>
      <c r="O111" s="17" t="s">
        <v>372</v>
      </c>
      <c r="P111" s="7" t="s">
        <v>371</v>
      </c>
      <c r="Q111" s="7" t="s">
        <v>342</v>
      </c>
      <c r="AC111" s="3" t="str">
        <f ca="1">HYPERLINK("#"&amp;단가산출근거목록표!J2&amp;"!A"&amp;ROW(단가산출근거목록표!A7),"D01427 →")</f>
        <v>D01427 →</v>
      </c>
    </row>
    <row r="112" spans="1:29" ht="30.6" customHeight="1" x14ac:dyDescent="0.3">
      <c r="A112" s="197"/>
      <c r="B112" s="197"/>
      <c r="C112" s="189"/>
      <c r="D112" s="45">
        <v>59.34</v>
      </c>
      <c r="E112" s="212"/>
      <c r="F112" s="51">
        <f t="shared" si="20"/>
        <v>17902</v>
      </c>
      <c r="G112" s="59">
        <f t="shared" si="21"/>
        <v>1062304</v>
      </c>
      <c r="H112" s="69">
        <f>IF(D112=0,0,단가산출근거목록표!F7)</f>
        <v>10589</v>
      </c>
      <c r="I112" s="63">
        <f t="shared" si="22"/>
        <v>628351</v>
      </c>
      <c r="J112" s="75">
        <f>IF(D112=0,0,단가산출근거목록표!G7)</f>
        <v>2430</v>
      </c>
      <c r="K112" s="63">
        <f t="shared" si="23"/>
        <v>144196</v>
      </c>
      <c r="L112" s="81">
        <f>IF(D112=0,0,단가산출근거목록표!H7)</f>
        <v>4883</v>
      </c>
      <c r="M112" s="73">
        <f t="shared" si="24"/>
        <v>289757</v>
      </c>
      <c r="N112" s="189"/>
      <c r="O112" s="17" t="s">
        <v>374</v>
      </c>
      <c r="P112" s="7" t="s">
        <v>373</v>
      </c>
      <c r="Q112" s="7" t="s">
        <v>345</v>
      </c>
    </row>
    <row r="113" spans="1:29" ht="30.6" customHeight="1" x14ac:dyDescent="0.3">
      <c r="A113" s="196"/>
      <c r="B113" s="196" t="s">
        <v>50</v>
      </c>
      <c r="C113" s="215" t="s">
        <v>51</v>
      </c>
      <c r="D113" s="44">
        <v>0</v>
      </c>
      <c r="E113" s="211" t="s">
        <v>52</v>
      </c>
      <c r="F113" s="50">
        <f t="shared" si="20"/>
        <v>0</v>
      </c>
      <c r="G113" s="58">
        <f t="shared" si="21"/>
        <v>0</v>
      </c>
      <c r="H113" s="68">
        <f>IF(D113=0,0,단가산출근거목록표!F5)</f>
        <v>0</v>
      </c>
      <c r="I113" s="62">
        <f t="shared" si="22"/>
        <v>0</v>
      </c>
      <c r="J113" s="74">
        <f>IF(D113=0,0,단가산출근거목록표!G5)</f>
        <v>0</v>
      </c>
      <c r="K113" s="62">
        <f t="shared" si="23"/>
        <v>0</v>
      </c>
      <c r="L113" s="80">
        <f>IF(D113=0,0,단가산출근거목록표!H5)</f>
        <v>0</v>
      </c>
      <c r="M113" s="72">
        <f t="shared" si="24"/>
        <v>0</v>
      </c>
      <c r="N113" s="213" t="s">
        <v>391</v>
      </c>
      <c r="O113" s="17" t="s">
        <v>388</v>
      </c>
      <c r="P113" s="7" t="s">
        <v>387</v>
      </c>
      <c r="Q113" s="7" t="s">
        <v>342</v>
      </c>
      <c r="AC113" s="3" t="str">
        <f ca="1">HYPERLINK("#"&amp;단가산출근거목록표!J2&amp;"!A"&amp;ROW(단가산출근거목록표!A5),"D01425 →")</f>
        <v>D01425 →</v>
      </c>
    </row>
    <row r="114" spans="1:29" ht="30.6" customHeight="1" x14ac:dyDescent="0.3">
      <c r="A114" s="197"/>
      <c r="B114" s="197"/>
      <c r="C114" s="189"/>
      <c r="D114" s="45">
        <v>52.17</v>
      </c>
      <c r="E114" s="212"/>
      <c r="F114" s="51">
        <f t="shared" si="20"/>
        <v>18302</v>
      </c>
      <c r="G114" s="59">
        <f t="shared" si="21"/>
        <v>954813</v>
      </c>
      <c r="H114" s="69">
        <f>IF(D114=0,0,단가산출근거목록표!F5)</f>
        <v>13033</v>
      </c>
      <c r="I114" s="63">
        <f t="shared" si="22"/>
        <v>679931</v>
      </c>
      <c r="J114" s="75">
        <f>IF(D114=0,0,단가산출근거목록표!G5)</f>
        <v>1741</v>
      </c>
      <c r="K114" s="63">
        <f t="shared" si="23"/>
        <v>90827</v>
      </c>
      <c r="L114" s="81">
        <f>IF(D114=0,0,단가산출근거목록표!H5)</f>
        <v>3528</v>
      </c>
      <c r="M114" s="73">
        <f t="shared" si="24"/>
        <v>184055</v>
      </c>
      <c r="N114" s="189"/>
      <c r="O114" s="17" t="s">
        <v>390</v>
      </c>
      <c r="P114" s="7" t="s">
        <v>389</v>
      </c>
      <c r="Q114" s="7" t="s">
        <v>345</v>
      </c>
    </row>
    <row r="115" spans="1:29" ht="30.6" customHeight="1" x14ac:dyDescent="0.3">
      <c r="A115" s="196"/>
      <c r="B115" s="196" t="s">
        <v>56</v>
      </c>
      <c r="C115" s="215" t="s">
        <v>57</v>
      </c>
      <c r="D115" s="44">
        <v>0</v>
      </c>
      <c r="E115" s="211" t="s">
        <v>52</v>
      </c>
      <c r="F115" s="50">
        <f t="shared" si="20"/>
        <v>0</v>
      </c>
      <c r="G115" s="58">
        <f t="shared" si="21"/>
        <v>0</v>
      </c>
      <c r="H115" s="68">
        <f>IF(D115=0,0,단가산출근거목록표!F6)</f>
        <v>0</v>
      </c>
      <c r="I115" s="62">
        <f t="shared" si="22"/>
        <v>0</v>
      </c>
      <c r="J115" s="74">
        <f>IF(D115=0,0,단가산출근거목록표!G6)</f>
        <v>0</v>
      </c>
      <c r="K115" s="62">
        <f t="shared" si="23"/>
        <v>0</v>
      </c>
      <c r="L115" s="80">
        <f>IF(D115=0,0,단가산출근거목록표!H6)</f>
        <v>0</v>
      </c>
      <c r="M115" s="72">
        <f t="shared" si="24"/>
        <v>0</v>
      </c>
      <c r="N115" s="213" t="s">
        <v>402</v>
      </c>
      <c r="O115" s="17" t="s">
        <v>399</v>
      </c>
      <c r="P115" s="7" t="s">
        <v>398</v>
      </c>
      <c r="Q115" s="7" t="s">
        <v>342</v>
      </c>
      <c r="AC115" s="3" t="str">
        <f ca="1">HYPERLINK("#"&amp;단가산출근거목록표!J2&amp;"!A"&amp;ROW(단가산출근거목록표!A6),"D01426 →")</f>
        <v>D01426 →</v>
      </c>
    </row>
    <row r="116" spans="1:29" ht="30.6" customHeight="1" x14ac:dyDescent="0.3">
      <c r="A116" s="197"/>
      <c r="B116" s="197"/>
      <c r="C116" s="189"/>
      <c r="D116" s="45">
        <v>22.2</v>
      </c>
      <c r="E116" s="212"/>
      <c r="F116" s="51">
        <f t="shared" si="20"/>
        <v>8127</v>
      </c>
      <c r="G116" s="59">
        <f t="shared" si="21"/>
        <v>180418</v>
      </c>
      <c r="H116" s="69">
        <f>IF(D116=0,0,단가산출근거목록표!F6)</f>
        <v>6783</v>
      </c>
      <c r="I116" s="63">
        <f t="shared" si="22"/>
        <v>150582</v>
      </c>
      <c r="J116" s="75">
        <f>IF(D116=0,0,단가산출근거목록표!G6)</f>
        <v>487</v>
      </c>
      <c r="K116" s="63">
        <f t="shared" si="23"/>
        <v>10811</v>
      </c>
      <c r="L116" s="81">
        <f>IF(D116=0,0,단가산출근거목록표!H6)</f>
        <v>857</v>
      </c>
      <c r="M116" s="73">
        <f t="shared" si="24"/>
        <v>19025</v>
      </c>
      <c r="N116" s="189"/>
      <c r="O116" s="17" t="s">
        <v>401</v>
      </c>
      <c r="P116" s="7" t="s">
        <v>400</v>
      </c>
      <c r="Q116" s="7" t="s">
        <v>345</v>
      </c>
    </row>
    <row r="117" spans="1:29" ht="30.6" customHeight="1" x14ac:dyDescent="0.3">
      <c r="A117" s="214"/>
      <c r="B117" s="214"/>
      <c r="C117" s="188"/>
      <c r="D117" s="42"/>
      <c r="E117" s="211"/>
      <c r="F117" s="48">
        <v>0</v>
      </c>
      <c r="G117" s="56"/>
      <c r="H117" s="64"/>
      <c r="I117" s="64"/>
      <c r="J117" s="64"/>
      <c r="K117" s="64"/>
      <c r="L117" s="64"/>
      <c r="M117" s="82"/>
      <c r="N117" s="213"/>
      <c r="O117" s="17" t="s">
        <v>265</v>
      </c>
      <c r="P117" s="7" t="s">
        <v>263</v>
      </c>
      <c r="Q117" s="7" t="s">
        <v>264</v>
      </c>
    </row>
    <row r="118" spans="1:29" ht="30.6" customHeight="1" x14ac:dyDescent="0.3">
      <c r="A118" s="197"/>
      <c r="B118" s="197"/>
      <c r="C118" s="189"/>
      <c r="D118" s="43"/>
      <c r="E118" s="212"/>
      <c r="F118" s="49">
        <v>0</v>
      </c>
      <c r="G118" s="57"/>
      <c r="H118" s="65"/>
      <c r="I118" s="65"/>
      <c r="J118" s="65"/>
      <c r="K118" s="65"/>
      <c r="L118" s="65"/>
      <c r="M118" s="83"/>
      <c r="N118" s="189"/>
      <c r="O118" s="17" t="s">
        <v>268</v>
      </c>
      <c r="P118" s="7" t="s">
        <v>266</v>
      </c>
      <c r="Q118" s="7" t="s">
        <v>267</v>
      </c>
    </row>
    <row r="119" spans="1:29" ht="30.6" customHeight="1" x14ac:dyDescent="0.3">
      <c r="A119" s="207" t="s">
        <v>337</v>
      </c>
      <c r="B119" s="207" t="s">
        <v>411</v>
      </c>
      <c r="C119" s="209" t="s">
        <v>412</v>
      </c>
      <c r="D119" s="42"/>
      <c r="E119" s="211"/>
      <c r="F119" s="48">
        <v>0</v>
      </c>
      <c r="G119" s="54">
        <f>SUMIF(Q121:Q140,P119,G121:G140)</f>
        <v>431643</v>
      </c>
      <c r="H119" s="62">
        <v>0</v>
      </c>
      <c r="I119" s="58">
        <f>SUMIF(Q121:Q140,P119,I121:I140)</f>
        <v>322719</v>
      </c>
      <c r="J119" s="62">
        <v>0</v>
      </c>
      <c r="K119" s="76">
        <f>SUMIF(Q121:Q140,P119,K121:K140)</f>
        <v>42640</v>
      </c>
      <c r="L119" s="72">
        <v>0</v>
      </c>
      <c r="M119" s="76">
        <f>SUMIF(Q121:Q140,P119,M121:M140)</f>
        <v>66284</v>
      </c>
      <c r="N119" s="213"/>
      <c r="O119" s="17" t="str">
        <f>"_x0007_`COD|E3_x0005_`QTY1|1_x0005_`EXI|0_x0005_`ITT|0_x0005_`END|"&amp;ROW(M141)&amp;"_x0005_`"</f>
        <v>_x0007_`COD|E3_x0005_`QTY1|1_x0005_`EXI|0_x0005_`ITT|0_x0005_`END|141_x0005_`</v>
      </c>
      <c r="P119" s="7" t="s">
        <v>276</v>
      </c>
      <c r="Q119" s="7" t="s">
        <v>264</v>
      </c>
    </row>
    <row r="120" spans="1:29" ht="30.6" customHeight="1" x14ac:dyDescent="0.3">
      <c r="A120" s="208"/>
      <c r="B120" s="208"/>
      <c r="C120" s="210"/>
      <c r="D120" s="43"/>
      <c r="E120" s="212"/>
      <c r="F120" s="49">
        <v>0</v>
      </c>
      <c r="G120" s="55">
        <f>SUMIF(Q121:Q140,P120,G121:G140)</f>
        <v>1951709</v>
      </c>
      <c r="H120" s="63">
        <v>0</v>
      </c>
      <c r="I120" s="59">
        <f>SUMIF(Q121:Q140,P120,I121:I140)</f>
        <v>1446198</v>
      </c>
      <c r="J120" s="63">
        <v>0</v>
      </c>
      <c r="K120" s="77">
        <f>SUMIF(Q121:Q140,P120,K121:K140)</f>
        <v>181700</v>
      </c>
      <c r="L120" s="73">
        <v>0</v>
      </c>
      <c r="M120" s="77">
        <f>SUMIF(Q121:Q140,P120,M121:M140)</f>
        <v>323811</v>
      </c>
      <c r="N120" s="189"/>
      <c r="O120" s="17" t="str">
        <f>"_x0007_`COD|E3_x0005_`QTY2|2_x0005_`END|"&amp;ROW(M141)&amp;"_x0005_`"</f>
        <v>_x0007_`COD|E3_x0005_`QTY2|2_x0005_`END|141_x0005_`</v>
      </c>
      <c r="P120" s="7" t="s">
        <v>279</v>
      </c>
      <c r="Q120" s="7" t="s">
        <v>267</v>
      </c>
    </row>
    <row r="121" spans="1:29" ht="30.6" customHeight="1" x14ac:dyDescent="0.3">
      <c r="A121" s="207" t="s">
        <v>444</v>
      </c>
      <c r="B121" s="207" t="s">
        <v>445</v>
      </c>
      <c r="C121" s="209" t="s">
        <v>446</v>
      </c>
      <c r="D121" s="42"/>
      <c r="E121" s="211"/>
      <c r="F121" s="48">
        <v>0</v>
      </c>
      <c r="G121" s="54">
        <f>SUMIF(Q123:Q140,P121,G123:G140)</f>
        <v>431643</v>
      </c>
      <c r="H121" s="62">
        <v>0</v>
      </c>
      <c r="I121" s="58">
        <f>SUMIF(Q123:Q140,P121,I123:I140)</f>
        <v>322719</v>
      </c>
      <c r="J121" s="62">
        <v>0</v>
      </c>
      <c r="K121" s="76">
        <f>SUMIF(Q123:Q140,P121,K123:K140)</f>
        <v>42640</v>
      </c>
      <c r="L121" s="72">
        <v>0</v>
      </c>
      <c r="M121" s="76">
        <f>SUMIF(Q123:Q140,P121,M123:M140)</f>
        <v>66284</v>
      </c>
      <c r="N121" s="213"/>
      <c r="O121" s="17" t="str">
        <f>"_x0007_`COD|E2_x0005_`QTY1|1_x0005_`EXI|0_x0005_`ITT|0_x0005_`END|"&amp;ROW(M141)&amp;"_x0005_`"</f>
        <v>_x0007_`COD|E2_x0005_`QTY1|1_x0005_`EXI|0_x0005_`ITT|0_x0005_`END|141_x0005_`</v>
      </c>
      <c r="P121" s="7" t="s">
        <v>342</v>
      </c>
      <c r="Q121" s="7" t="s">
        <v>276</v>
      </c>
    </row>
    <row r="122" spans="1:29" ht="30.6" customHeight="1" x14ac:dyDescent="0.3">
      <c r="A122" s="208"/>
      <c r="B122" s="208"/>
      <c r="C122" s="210"/>
      <c r="D122" s="43"/>
      <c r="E122" s="212"/>
      <c r="F122" s="49">
        <v>0</v>
      </c>
      <c r="G122" s="55">
        <f>SUMIF(Q123:Q140,P122,G123:G140)</f>
        <v>1951709</v>
      </c>
      <c r="H122" s="63">
        <v>0</v>
      </c>
      <c r="I122" s="59">
        <f>SUMIF(Q123:Q140,P122,I123:I140)</f>
        <v>1446198</v>
      </c>
      <c r="J122" s="63">
        <v>0</v>
      </c>
      <c r="K122" s="77">
        <f>SUMIF(Q123:Q140,P122,K123:K140)</f>
        <v>181700</v>
      </c>
      <c r="L122" s="73">
        <v>0</v>
      </c>
      <c r="M122" s="77">
        <f>SUMIF(Q123:Q140,P122,M123:M140)</f>
        <v>323811</v>
      </c>
      <c r="N122" s="189"/>
      <c r="O122" s="17" t="str">
        <f>"_x0007_`COD|E2_x0005_`QTY2|2_x0005_`END|"&amp;ROW(M141)&amp;"_x0005_`"</f>
        <v>_x0007_`COD|E2_x0005_`QTY2|2_x0005_`END|141_x0005_`</v>
      </c>
      <c r="P122" s="7" t="s">
        <v>345</v>
      </c>
      <c r="Q122" s="7" t="s">
        <v>279</v>
      </c>
    </row>
    <row r="123" spans="1:29" ht="30.6" customHeight="1" x14ac:dyDescent="0.3">
      <c r="A123" s="196"/>
      <c r="B123" s="196" t="s">
        <v>347</v>
      </c>
      <c r="C123" s="215" t="s">
        <v>348</v>
      </c>
      <c r="D123" s="44">
        <v>1.65</v>
      </c>
      <c r="E123" s="211" t="s">
        <v>52</v>
      </c>
      <c r="F123" s="50">
        <f t="shared" ref="F123:F140" si="25">J123+H123+L123</f>
        <v>7000</v>
      </c>
      <c r="G123" s="58">
        <f t="shared" ref="G123:G140" si="26">K123+I123+M123</f>
        <v>11549</v>
      </c>
      <c r="H123" s="66">
        <v>5802</v>
      </c>
      <c r="I123" s="70">
        <f t="shared" ref="I123:I140" si="27">ROUNDDOWN(H123*D123,0)</f>
        <v>9573</v>
      </c>
      <c r="J123" s="66">
        <v>920</v>
      </c>
      <c r="K123" s="72">
        <f t="shared" ref="K123:K140" si="28">ROUNDDOWN(J123*D123,0)</f>
        <v>1518</v>
      </c>
      <c r="L123" s="78">
        <v>278</v>
      </c>
      <c r="M123" s="72">
        <f t="shared" ref="M123:M140" si="29">ROUNDDOWN(L123*D123,0)</f>
        <v>458</v>
      </c>
      <c r="N123" s="213" t="s">
        <v>349</v>
      </c>
      <c r="O123" s="17" t="s">
        <v>343</v>
      </c>
      <c r="P123" s="7" t="s">
        <v>341</v>
      </c>
      <c r="Q123" s="7" t="s">
        <v>342</v>
      </c>
    </row>
    <row r="124" spans="1:29" ht="30.6" customHeight="1" x14ac:dyDescent="0.3">
      <c r="A124" s="197"/>
      <c r="B124" s="197"/>
      <c r="C124" s="189"/>
      <c r="D124" s="45">
        <v>0</v>
      </c>
      <c r="E124" s="212"/>
      <c r="F124" s="51">
        <f t="shared" si="25"/>
        <v>0</v>
      </c>
      <c r="G124" s="59">
        <f t="shared" si="26"/>
        <v>0</v>
      </c>
      <c r="H124" s="67">
        <v>0</v>
      </c>
      <c r="I124" s="71">
        <f t="shared" si="27"/>
        <v>0</v>
      </c>
      <c r="J124" s="67">
        <v>0</v>
      </c>
      <c r="K124" s="73">
        <f t="shared" si="28"/>
        <v>0</v>
      </c>
      <c r="L124" s="79">
        <v>0</v>
      </c>
      <c r="M124" s="73">
        <f t="shared" si="29"/>
        <v>0</v>
      </c>
      <c r="N124" s="189"/>
      <c r="O124" s="17" t="s">
        <v>346</v>
      </c>
      <c r="P124" s="7" t="s">
        <v>344</v>
      </c>
      <c r="Q124" s="7" t="s">
        <v>345</v>
      </c>
    </row>
    <row r="125" spans="1:29" ht="30.6" customHeight="1" x14ac:dyDescent="0.3">
      <c r="A125" s="196"/>
      <c r="B125" s="196" t="s">
        <v>354</v>
      </c>
      <c r="C125" s="215" t="s">
        <v>355</v>
      </c>
      <c r="D125" s="44">
        <v>2.5299999999999998</v>
      </c>
      <c r="E125" s="211" t="s">
        <v>167</v>
      </c>
      <c r="F125" s="50">
        <f t="shared" si="25"/>
        <v>1682</v>
      </c>
      <c r="G125" s="58">
        <f t="shared" si="26"/>
        <v>4255</v>
      </c>
      <c r="H125" s="66">
        <v>0</v>
      </c>
      <c r="I125" s="70">
        <f t="shared" si="27"/>
        <v>0</v>
      </c>
      <c r="J125" s="66">
        <v>1682</v>
      </c>
      <c r="K125" s="72">
        <f t="shared" si="28"/>
        <v>4255</v>
      </c>
      <c r="L125" s="78">
        <v>0</v>
      </c>
      <c r="M125" s="72">
        <f t="shared" si="29"/>
        <v>0</v>
      </c>
      <c r="N125" s="213" t="s">
        <v>356</v>
      </c>
      <c r="O125" s="17" t="s">
        <v>351</v>
      </c>
      <c r="P125" s="7" t="s">
        <v>350</v>
      </c>
      <c r="Q125" s="7" t="s">
        <v>342</v>
      </c>
    </row>
    <row r="126" spans="1:29" ht="30.6" customHeight="1" x14ac:dyDescent="0.3">
      <c r="A126" s="197"/>
      <c r="B126" s="197"/>
      <c r="C126" s="189"/>
      <c r="D126" s="45">
        <v>0</v>
      </c>
      <c r="E126" s="212"/>
      <c r="F126" s="51">
        <f t="shared" si="25"/>
        <v>0</v>
      </c>
      <c r="G126" s="59">
        <f t="shared" si="26"/>
        <v>0</v>
      </c>
      <c r="H126" s="67">
        <v>0</v>
      </c>
      <c r="I126" s="71">
        <f t="shared" si="27"/>
        <v>0</v>
      </c>
      <c r="J126" s="67">
        <v>0</v>
      </c>
      <c r="K126" s="73">
        <f t="shared" si="28"/>
        <v>0</v>
      </c>
      <c r="L126" s="79">
        <v>0</v>
      </c>
      <c r="M126" s="73">
        <f t="shared" si="29"/>
        <v>0</v>
      </c>
      <c r="N126" s="189"/>
      <c r="O126" s="17" t="s">
        <v>353</v>
      </c>
      <c r="P126" s="7" t="s">
        <v>352</v>
      </c>
      <c r="Q126" s="7" t="s">
        <v>345</v>
      </c>
    </row>
    <row r="127" spans="1:29" ht="30.6" customHeight="1" x14ac:dyDescent="0.3">
      <c r="A127" s="196"/>
      <c r="B127" s="196" t="s">
        <v>361</v>
      </c>
      <c r="C127" s="215" t="s">
        <v>362</v>
      </c>
      <c r="D127" s="44">
        <v>7.6999999999999999E-2</v>
      </c>
      <c r="E127" s="211" t="s">
        <v>52</v>
      </c>
      <c r="F127" s="50">
        <f t="shared" si="25"/>
        <v>98621</v>
      </c>
      <c r="G127" s="58">
        <f t="shared" si="26"/>
        <v>7593</v>
      </c>
      <c r="H127" s="66">
        <v>98621</v>
      </c>
      <c r="I127" s="70">
        <f t="shared" si="27"/>
        <v>7593</v>
      </c>
      <c r="J127" s="66">
        <v>0</v>
      </c>
      <c r="K127" s="72">
        <f t="shared" si="28"/>
        <v>0</v>
      </c>
      <c r="L127" s="78">
        <v>0</v>
      </c>
      <c r="M127" s="72">
        <f t="shared" si="29"/>
        <v>0</v>
      </c>
      <c r="N127" s="213" t="s">
        <v>363</v>
      </c>
      <c r="O127" s="17" t="s">
        <v>358</v>
      </c>
      <c r="P127" s="7" t="s">
        <v>357</v>
      </c>
      <c r="Q127" s="7" t="s">
        <v>342</v>
      </c>
    </row>
    <row r="128" spans="1:29" ht="30.6" customHeight="1" x14ac:dyDescent="0.3">
      <c r="A128" s="197"/>
      <c r="B128" s="197"/>
      <c r="C128" s="189"/>
      <c r="D128" s="45">
        <v>0</v>
      </c>
      <c r="E128" s="212"/>
      <c r="F128" s="51">
        <f t="shared" si="25"/>
        <v>0</v>
      </c>
      <c r="G128" s="59">
        <f t="shared" si="26"/>
        <v>0</v>
      </c>
      <c r="H128" s="67">
        <v>0</v>
      </c>
      <c r="I128" s="71">
        <f t="shared" si="27"/>
        <v>0</v>
      </c>
      <c r="J128" s="67">
        <v>0</v>
      </c>
      <c r="K128" s="73">
        <f t="shared" si="28"/>
        <v>0</v>
      </c>
      <c r="L128" s="79">
        <v>0</v>
      </c>
      <c r="M128" s="73">
        <f t="shared" si="29"/>
        <v>0</v>
      </c>
      <c r="N128" s="189"/>
      <c r="O128" s="17" t="s">
        <v>360</v>
      </c>
      <c r="P128" s="7" t="s">
        <v>359</v>
      </c>
      <c r="Q128" s="7" t="s">
        <v>345</v>
      </c>
    </row>
    <row r="129" spans="1:29" ht="30.6" customHeight="1" x14ac:dyDescent="0.3">
      <c r="A129" s="196"/>
      <c r="B129" s="196" t="s">
        <v>368</v>
      </c>
      <c r="C129" s="215" t="s">
        <v>369</v>
      </c>
      <c r="D129" s="44">
        <v>8.0299999999999994</v>
      </c>
      <c r="E129" s="211" t="s">
        <v>14</v>
      </c>
      <c r="F129" s="50">
        <f t="shared" si="25"/>
        <v>0</v>
      </c>
      <c r="G129" s="58">
        <f t="shared" si="26"/>
        <v>0</v>
      </c>
      <c r="H129" s="66">
        <v>0</v>
      </c>
      <c r="I129" s="70">
        <f t="shared" si="27"/>
        <v>0</v>
      </c>
      <c r="J129" s="66">
        <v>0</v>
      </c>
      <c r="K129" s="72">
        <f t="shared" si="28"/>
        <v>0</v>
      </c>
      <c r="L129" s="78">
        <v>0</v>
      </c>
      <c r="M129" s="72">
        <f t="shared" si="29"/>
        <v>0</v>
      </c>
      <c r="N129" s="213" t="s">
        <v>410</v>
      </c>
      <c r="O129" s="17" t="s">
        <v>407</v>
      </c>
      <c r="P129" s="7" t="s">
        <v>406</v>
      </c>
      <c r="Q129" s="7" t="s">
        <v>342</v>
      </c>
    </row>
    <row r="130" spans="1:29" ht="30.6" customHeight="1" x14ac:dyDescent="0.3">
      <c r="A130" s="197"/>
      <c r="B130" s="197"/>
      <c r="C130" s="189"/>
      <c r="D130" s="45">
        <v>0</v>
      </c>
      <c r="E130" s="212"/>
      <c r="F130" s="51">
        <f t="shared" si="25"/>
        <v>0</v>
      </c>
      <c r="G130" s="59">
        <f t="shared" si="26"/>
        <v>0</v>
      </c>
      <c r="H130" s="67">
        <v>0</v>
      </c>
      <c r="I130" s="71">
        <f t="shared" si="27"/>
        <v>0</v>
      </c>
      <c r="J130" s="67">
        <v>0</v>
      </c>
      <c r="K130" s="73">
        <f t="shared" si="28"/>
        <v>0</v>
      </c>
      <c r="L130" s="79">
        <v>0</v>
      </c>
      <c r="M130" s="73">
        <f t="shared" si="29"/>
        <v>0</v>
      </c>
      <c r="N130" s="189"/>
      <c r="O130" s="17" t="s">
        <v>409</v>
      </c>
      <c r="P130" s="7" t="s">
        <v>408</v>
      </c>
      <c r="Q130" s="7" t="s">
        <v>345</v>
      </c>
    </row>
    <row r="131" spans="1:29" ht="30.6" customHeight="1" x14ac:dyDescent="0.3">
      <c r="A131" s="196"/>
      <c r="B131" s="196" t="s">
        <v>17</v>
      </c>
      <c r="C131" s="215" t="s">
        <v>380</v>
      </c>
      <c r="D131" s="44">
        <v>8.0299999999999994</v>
      </c>
      <c r="E131" s="211" t="s">
        <v>14</v>
      </c>
      <c r="F131" s="50">
        <f t="shared" si="25"/>
        <v>47749</v>
      </c>
      <c r="G131" s="58">
        <f t="shared" si="26"/>
        <v>383423</v>
      </c>
      <c r="H131" s="66">
        <v>35809</v>
      </c>
      <c r="I131" s="70">
        <f t="shared" si="27"/>
        <v>287546</v>
      </c>
      <c r="J131" s="66">
        <v>4309</v>
      </c>
      <c r="K131" s="72">
        <f t="shared" si="28"/>
        <v>34601</v>
      </c>
      <c r="L131" s="78">
        <v>7631</v>
      </c>
      <c r="M131" s="72">
        <f t="shared" si="29"/>
        <v>61276</v>
      </c>
      <c r="N131" s="213" t="s">
        <v>381</v>
      </c>
      <c r="O131" s="17" t="s">
        <v>377</v>
      </c>
      <c r="P131" s="7" t="s">
        <v>376</v>
      </c>
      <c r="Q131" s="7" t="s">
        <v>342</v>
      </c>
    </row>
    <row r="132" spans="1:29" ht="30.6" customHeight="1" x14ac:dyDescent="0.3">
      <c r="A132" s="197"/>
      <c r="B132" s="197"/>
      <c r="C132" s="189"/>
      <c r="D132" s="45">
        <v>0</v>
      </c>
      <c r="E132" s="212"/>
      <c r="F132" s="51">
        <f t="shared" si="25"/>
        <v>0</v>
      </c>
      <c r="G132" s="59">
        <f t="shared" si="26"/>
        <v>0</v>
      </c>
      <c r="H132" s="67">
        <v>0</v>
      </c>
      <c r="I132" s="71">
        <f t="shared" si="27"/>
        <v>0</v>
      </c>
      <c r="J132" s="67">
        <v>0</v>
      </c>
      <c r="K132" s="73">
        <f t="shared" si="28"/>
        <v>0</v>
      </c>
      <c r="L132" s="79">
        <v>0</v>
      </c>
      <c r="M132" s="73">
        <f t="shared" si="29"/>
        <v>0</v>
      </c>
      <c r="N132" s="189"/>
      <c r="O132" s="17" t="s">
        <v>379</v>
      </c>
      <c r="P132" s="7" t="s">
        <v>378</v>
      </c>
      <c r="Q132" s="7" t="s">
        <v>345</v>
      </c>
    </row>
    <row r="133" spans="1:29" ht="30.6" customHeight="1" x14ac:dyDescent="0.3">
      <c r="A133" s="196"/>
      <c r="B133" s="196" t="s">
        <v>17</v>
      </c>
      <c r="C133" s="215" t="s">
        <v>18</v>
      </c>
      <c r="D133" s="44">
        <v>0</v>
      </c>
      <c r="E133" s="211" t="s">
        <v>14</v>
      </c>
      <c r="F133" s="50">
        <f t="shared" si="25"/>
        <v>0</v>
      </c>
      <c r="G133" s="58">
        <f t="shared" si="26"/>
        <v>0</v>
      </c>
      <c r="H133" s="68">
        <f>IF(D133=0,0,일위대가목록표!F5)</f>
        <v>0</v>
      </c>
      <c r="I133" s="62">
        <f t="shared" si="27"/>
        <v>0</v>
      </c>
      <c r="J133" s="74">
        <f>IF(D133=0,0,일위대가목록표!G5)</f>
        <v>0</v>
      </c>
      <c r="K133" s="62">
        <f t="shared" si="28"/>
        <v>0</v>
      </c>
      <c r="L133" s="80">
        <f>IF(D133=0,0,일위대가목록표!H5)</f>
        <v>0</v>
      </c>
      <c r="M133" s="72">
        <f t="shared" si="29"/>
        <v>0</v>
      </c>
      <c r="N133" s="213" t="s">
        <v>386</v>
      </c>
      <c r="O133" s="17" t="s">
        <v>383</v>
      </c>
      <c r="P133" s="7" t="s">
        <v>382</v>
      </c>
      <c r="Q133" s="7" t="s">
        <v>342</v>
      </c>
      <c r="AC133" s="3" t="str">
        <f ca="1">HYPERLINK("#"&amp;일위대가목록표!J2&amp;"!A"&amp;ROW(일위대가목록표!A5),"B01093 →")</f>
        <v>B01093 →</v>
      </c>
    </row>
    <row r="134" spans="1:29" ht="30.6" customHeight="1" x14ac:dyDescent="0.3">
      <c r="A134" s="197"/>
      <c r="B134" s="197"/>
      <c r="C134" s="189"/>
      <c r="D134" s="45">
        <v>31.35</v>
      </c>
      <c r="E134" s="212"/>
      <c r="F134" s="51">
        <f t="shared" si="25"/>
        <v>55808</v>
      </c>
      <c r="G134" s="59">
        <f t="shared" si="26"/>
        <v>1749579</v>
      </c>
      <c r="H134" s="69">
        <f>IF(D134=0,0,일위대가목록표!F5)</f>
        <v>41082</v>
      </c>
      <c r="I134" s="63">
        <f t="shared" si="27"/>
        <v>1287920</v>
      </c>
      <c r="J134" s="75">
        <f>IF(D134=0,0,일위대가목록표!G5)</f>
        <v>5314</v>
      </c>
      <c r="K134" s="63">
        <f t="shared" si="28"/>
        <v>166593</v>
      </c>
      <c r="L134" s="81">
        <f>IF(D134=0,0,일위대가목록표!H5)</f>
        <v>9412</v>
      </c>
      <c r="M134" s="73">
        <f t="shared" si="29"/>
        <v>295066</v>
      </c>
      <c r="N134" s="189"/>
      <c r="O134" s="17" t="s">
        <v>385</v>
      </c>
      <c r="P134" s="7" t="s">
        <v>384</v>
      </c>
      <c r="Q134" s="7" t="s">
        <v>345</v>
      </c>
    </row>
    <row r="135" spans="1:29" ht="30.6" customHeight="1" x14ac:dyDescent="0.3">
      <c r="A135" s="196"/>
      <c r="B135" s="196" t="s">
        <v>50</v>
      </c>
      <c r="C135" s="215" t="s">
        <v>51</v>
      </c>
      <c r="D135" s="44">
        <v>1.21</v>
      </c>
      <c r="E135" s="211" t="s">
        <v>52</v>
      </c>
      <c r="F135" s="50">
        <f t="shared" si="25"/>
        <v>18302</v>
      </c>
      <c r="G135" s="58">
        <f t="shared" si="26"/>
        <v>22143</v>
      </c>
      <c r="H135" s="68">
        <f>IF(D135=0,0,단가산출근거목록표!F5)</f>
        <v>13033</v>
      </c>
      <c r="I135" s="62">
        <f t="shared" si="27"/>
        <v>15769</v>
      </c>
      <c r="J135" s="74">
        <f>IF(D135=0,0,단가산출근거목록표!G5)</f>
        <v>1741</v>
      </c>
      <c r="K135" s="62">
        <f t="shared" si="28"/>
        <v>2106</v>
      </c>
      <c r="L135" s="80">
        <f>IF(D135=0,0,단가산출근거목록표!H5)</f>
        <v>3528</v>
      </c>
      <c r="M135" s="72">
        <f t="shared" si="29"/>
        <v>4268</v>
      </c>
      <c r="N135" s="213" t="s">
        <v>391</v>
      </c>
      <c r="O135" s="17" t="s">
        <v>388</v>
      </c>
      <c r="P135" s="7" t="s">
        <v>387</v>
      </c>
      <c r="Q135" s="7" t="s">
        <v>342</v>
      </c>
      <c r="AC135" s="3" t="str">
        <f ca="1">HYPERLINK("#"&amp;단가산출근거목록표!J2&amp;"!A"&amp;ROW(단가산출근거목록표!A5),"D01425 →")</f>
        <v>D01425 →</v>
      </c>
    </row>
    <row r="136" spans="1:29" ht="30.6" customHeight="1" x14ac:dyDescent="0.3">
      <c r="A136" s="197"/>
      <c r="B136" s="197"/>
      <c r="C136" s="189"/>
      <c r="D136" s="45">
        <v>4.6500000000000004</v>
      </c>
      <c r="E136" s="212"/>
      <c r="F136" s="51">
        <f t="shared" si="25"/>
        <v>18302</v>
      </c>
      <c r="G136" s="59">
        <f t="shared" si="26"/>
        <v>85103</v>
      </c>
      <c r="H136" s="69">
        <f>IF(D136=0,0,단가산출근거목록표!F5)</f>
        <v>13033</v>
      </c>
      <c r="I136" s="63">
        <f t="shared" si="27"/>
        <v>60603</v>
      </c>
      <c r="J136" s="75">
        <f>IF(D136=0,0,단가산출근거목록표!G5)</f>
        <v>1741</v>
      </c>
      <c r="K136" s="63">
        <f t="shared" si="28"/>
        <v>8095</v>
      </c>
      <c r="L136" s="81">
        <f>IF(D136=0,0,단가산출근거목록표!H5)</f>
        <v>3528</v>
      </c>
      <c r="M136" s="73">
        <f t="shared" si="29"/>
        <v>16405</v>
      </c>
      <c r="N136" s="189"/>
      <c r="O136" s="17" t="s">
        <v>390</v>
      </c>
      <c r="P136" s="7" t="s">
        <v>389</v>
      </c>
      <c r="Q136" s="7" t="s">
        <v>345</v>
      </c>
    </row>
    <row r="137" spans="1:29" ht="30.6" customHeight="1" x14ac:dyDescent="0.3">
      <c r="A137" s="196"/>
      <c r="B137" s="196" t="s">
        <v>396</v>
      </c>
      <c r="C137" s="215" t="s">
        <v>369</v>
      </c>
      <c r="D137" s="44">
        <v>0.33</v>
      </c>
      <c r="E137" s="211" t="s">
        <v>181</v>
      </c>
      <c r="F137" s="50">
        <f t="shared" si="25"/>
        <v>0</v>
      </c>
      <c r="G137" s="58">
        <f t="shared" si="26"/>
        <v>0</v>
      </c>
      <c r="H137" s="66">
        <v>0</v>
      </c>
      <c r="I137" s="70">
        <f t="shared" si="27"/>
        <v>0</v>
      </c>
      <c r="J137" s="66">
        <v>0</v>
      </c>
      <c r="K137" s="72">
        <f t="shared" si="28"/>
        <v>0</v>
      </c>
      <c r="L137" s="78">
        <v>0</v>
      </c>
      <c r="M137" s="72">
        <f t="shared" si="29"/>
        <v>0</v>
      </c>
      <c r="N137" s="213" t="s">
        <v>397</v>
      </c>
      <c r="O137" s="17" t="s">
        <v>393</v>
      </c>
      <c r="P137" s="7" t="s">
        <v>392</v>
      </c>
      <c r="Q137" s="7" t="s">
        <v>342</v>
      </c>
    </row>
    <row r="138" spans="1:29" ht="30.6" customHeight="1" x14ac:dyDescent="0.3">
      <c r="A138" s="197"/>
      <c r="B138" s="197"/>
      <c r="C138" s="189"/>
      <c r="D138" s="45">
        <v>14.4</v>
      </c>
      <c r="E138" s="212"/>
      <c r="F138" s="51">
        <f t="shared" si="25"/>
        <v>0</v>
      </c>
      <c r="G138" s="59">
        <f t="shared" si="26"/>
        <v>0</v>
      </c>
      <c r="H138" s="67">
        <v>0</v>
      </c>
      <c r="I138" s="71">
        <f t="shared" si="27"/>
        <v>0</v>
      </c>
      <c r="J138" s="67">
        <v>0</v>
      </c>
      <c r="K138" s="73">
        <f t="shared" si="28"/>
        <v>0</v>
      </c>
      <c r="L138" s="79">
        <v>0</v>
      </c>
      <c r="M138" s="73">
        <f t="shared" si="29"/>
        <v>0</v>
      </c>
      <c r="N138" s="189"/>
      <c r="O138" s="17" t="s">
        <v>395</v>
      </c>
      <c r="P138" s="7" t="s">
        <v>394</v>
      </c>
      <c r="Q138" s="7" t="s">
        <v>345</v>
      </c>
    </row>
    <row r="139" spans="1:29" ht="30.6" customHeight="1" x14ac:dyDescent="0.3">
      <c r="A139" s="196"/>
      <c r="B139" s="196" t="s">
        <v>56</v>
      </c>
      <c r="C139" s="215" t="s">
        <v>57</v>
      </c>
      <c r="D139" s="44">
        <v>0.33</v>
      </c>
      <c r="E139" s="211" t="s">
        <v>52</v>
      </c>
      <c r="F139" s="50">
        <f t="shared" si="25"/>
        <v>8127</v>
      </c>
      <c r="G139" s="58">
        <f t="shared" si="26"/>
        <v>2680</v>
      </c>
      <c r="H139" s="68">
        <f>IF(D139=0,0,단가산출근거목록표!F6)</f>
        <v>6783</v>
      </c>
      <c r="I139" s="62">
        <f t="shared" si="27"/>
        <v>2238</v>
      </c>
      <c r="J139" s="74">
        <f>IF(D139=0,0,단가산출근거목록표!G6)</f>
        <v>487</v>
      </c>
      <c r="K139" s="62">
        <f t="shared" si="28"/>
        <v>160</v>
      </c>
      <c r="L139" s="80">
        <f>IF(D139=0,0,단가산출근거목록표!H6)</f>
        <v>857</v>
      </c>
      <c r="M139" s="72">
        <f t="shared" si="29"/>
        <v>282</v>
      </c>
      <c r="N139" s="213" t="s">
        <v>402</v>
      </c>
      <c r="O139" s="17" t="s">
        <v>399</v>
      </c>
      <c r="P139" s="7" t="s">
        <v>398</v>
      </c>
      <c r="Q139" s="7" t="s">
        <v>342</v>
      </c>
      <c r="AC139" s="3" t="str">
        <f ca="1">HYPERLINK("#"&amp;단가산출근거목록표!J2&amp;"!A"&amp;ROW(단가산출근거목록표!A6),"D01426 →")</f>
        <v>D01426 →</v>
      </c>
    </row>
    <row r="140" spans="1:29" ht="30.6" customHeight="1" x14ac:dyDescent="0.3">
      <c r="A140" s="197"/>
      <c r="B140" s="197"/>
      <c r="C140" s="189"/>
      <c r="D140" s="45">
        <v>14.4</v>
      </c>
      <c r="E140" s="212"/>
      <c r="F140" s="51">
        <f t="shared" si="25"/>
        <v>8127</v>
      </c>
      <c r="G140" s="59">
        <f t="shared" si="26"/>
        <v>117027</v>
      </c>
      <c r="H140" s="69">
        <f>IF(D140=0,0,단가산출근거목록표!F6)</f>
        <v>6783</v>
      </c>
      <c r="I140" s="63">
        <f t="shared" si="27"/>
        <v>97675</v>
      </c>
      <c r="J140" s="75">
        <f>IF(D140=0,0,단가산출근거목록표!G6)</f>
        <v>487</v>
      </c>
      <c r="K140" s="63">
        <f t="shared" si="28"/>
        <v>7012</v>
      </c>
      <c r="L140" s="81">
        <f>IF(D140=0,0,단가산출근거목록표!H6)</f>
        <v>857</v>
      </c>
      <c r="M140" s="73">
        <f t="shared" si="29"/>
        <v>12340</v>
      </c>
      <c r="N140" s="189"/>
      <c r="O140" s="17" t="s">
        <v>401</v>
      </c>
      <c r="P140" s="7" t="s">
        <v>400</v>
      </c>
      <c r="Q140" s="7" t="s">
        <v>345</v>
      </c>
    </row>
    <row r="141" spans="1:29" ht="30.6" customHeight="1" x14ac:dyDescent="0.3">
      <c r="A141" s="214"/>
      <c r="B141" s="214"/>
      <c r="C141" s="188"/>
      <c r="D141" s="42"/>
      <c r="E141" s="211"/>
      <c r="F141" s="48">
        <v>0</v>
      </c>
      <c r="G141" s="56"/>
      <c r="H141" s="64"/>
      <c r="I141" s="64"/>
      <c r="J141" s="64"/>
      <c r="K141" s="64"/>
      <c r="L141" s="64"/>
      <c r="M141" s="82"/>
      <c r="N141" s="213"/>
      <c r="O141" s="17" t="s">
        <v>265</v>
      </c>
      <c r="P141" s="7" t="s">
        <v>263</v>
      </c>
      <c r="Q141" s="7" t="s">
        <v>264</v>
      </c>
    </row>
    <row r="142" spans="1:29" ht="30.6" customHeight="1" x14ac:dyDescent="0.3">
      <c r="A142" s="197"/>
      <c r="B142" s="197"/>
      <c r="C142" s="189"/>
      <c r="D142" s="43"/>
      <c r="E142" s="212"/>
      <c r="F142" s="49">
        <v>0</v>
      </c>
      <c r="G142" s="57"/>
      <c r="H142" s="65"/>
      <c r="I142" s="65"/>
      <c r="J142" s="65"/>
      <c r="K142" s="65"/>
      <c r="L142" s="65"/>
      <c r="M142" s="83"/>
      <c r="N142" s="189"/>
      <c r="O142" s="17" t="s">
        <v>268</v>
      </c>
      <c r="P142" s="7" t="s">
        <v>266</v>
      </c>
      <c r="Q142" s="7" t="s">
        <v>267</v>
      </c>
    </row>
    <row r="143" spans="1:29" ht="30.6" customHeight="1" x14ac:dyDescent="0.3">
      <c r="A143" s="207" t="s">
        <v>443</v>
      </c>
      <c r="B143" s="207" t="s">
        <v>442</v>
      </c>
      <c r="C143" s="209" t="s">
        <v>441</v>
      </c>
      <c r="D143" s="42"/>
      <c r="E143" s="211"/>
      <c r="F143" s="48">
        <v>0</v>
      </c>
      <c r="G143" s="54">
        <f>SUMIF(Q145:Q160,P143,G145:G160)</f>
        <v>2256728</v>
      </c>
      <c r="H143" s="62">
        <v>0</v>
      </c>
      <c r="I143" s="58">
        <f>SUMIF(Q145:Q160,P143,I145:I160)</f>
        <v>1702512</v>
      </c>
      <c r="J143" s="62">
        <v>0</v>
      </c>
      <c r="K143" s="76">
        <f>SUMIF(Q145:Q160,P143,K145:K160)</f>
        <v>203155</v>
      </c>
      <c r="L143" s="72">
        <v>0</v>
      </c>
      <c r="M143" s="76">
        <f>SUMIF(Q145:Q160,P143,M145:M160)</f>
        <v>351061</v>
      </c>
      <c r="N143" s="213"/>
      <c r="O143" s="17" t="str">
        <f>"_x0007_`COD|E3_x0005_`QTY1|1_x0005_`EXI|0_x0005_`ITT|0_x0005_`END|"&amp;ROW(M161)&amp;"_x0005_`"</f>
        <v>_x0007_`COD|E3_x0005_`QTY1|1_x0005_`EXI|0_x0005_`ITT|0_x0005_`END|161_x0005_`</v>
      </c>
      <c r="P143" s="7" t="s">
        <v>276</v>
      </c>
      <c r="Q143" s="7" t="s">
        <v>264</v>
      </c>
    </row>
    <row r="144" spans="1:29" ht="30.6" customHeight="1" x14ac:dyDescent="0.3">
      <c r="A144" s="208"/>
      <c r="B144" s="208"/>
      <c r="C144" s="210"/>
      <c r="D144" s="43"/>
      <c r="E144" s="212"/>
      <c r="F144" s="49">
        <v>0</v>
      </c>
      <c r="G144" s="55">
        <f>SUMIF(Q145:Q160,P144,G145:G160)</f>
        <v>0</v>
      </c>
      <c r="H144" s="63">
        <v>0</v>
      </c>
      <c r="I144" s="59">
        <f>SUMIF(Q145:Q160,P144,I145:I160)</f>
        <v>0</v>
      </c>
      <c r="J144" s="63">
        <v>0</v>
      </c>
      <c r="K144" s="77">
        <f>SUMIF(Q145:Q160,P144,K145:K160)</f>
        <v>0</v>
      </c>
      <c r="L144" s="73">
        <v>0</v>
      </c>
      <c r="M144" s="77">
        <f>SUMIF(Q145:Q160,P144,M145:M160)</f>
        <v>0</v>
      </c>
      <c r="N144" s="189"/>
      <c r="O144" s="17" t="str">
        <f>"_x0007_`COD|E3_x0005_`QTY2|2_x0005_`END|"&amp;ROW(M161)&amp;"_x0005_`"</f>
        <v>_x0007_`COD|E3_x0005_`QTY2|2_x0005_`END|161_x0005_`</v>
      </c>
      <c r="P144" s="7" t="s">
        <v>279</v>
      </c>
      <c r="Q144" s="7" t="s">
        <v>267</v>
      </c>
    </row>
    <row r="145" spans="1:29" ht="30.6" customHeight="1" x14ac:dyDescent="0.3">
      <c r="A145" s="207" t="s">
        <v>450</v>
      </c>
      <c r="B145" s="207" t="s">
        <v>451</v>
      </c>
      <c r="C145" s="209" t="s">
        <v>452</v>
      </c>
      <c r="D145" s="42"/>
      <c r="E145" s="211"/>
      <c r="F145" s="48">
        <v>0</v>
      </c>
      <c r="G145" s="54">
        <f>SUMIF(Q147:Q160,P145,G147:G160)</f>
        <v>2256728</v>
      </c>
      <c r="H145" s="62">
        <v>0</v>
      </c>
      <c r="I145" s="58">
        <f>SUMIF(Q147:Q160,P145,I147:I160)</f>
        <v>1702512</v>
      </c>
      <c r="J145" s="62">
        <v>0</v>
      </c>
      <c r="K145" s="76">
        <f>SUMIF(Q147:Q160,P145,K147:K160)</f>
        <v>203155</v>
      </c>
      <c r="L145" s="72">
        <v>0</v>
      </c>
      <c r="M145" s="76">
        <f>SUMIF(Q147:Q160,P145,M147:M160)</f>
        <v>351061</v>
      </c>
      <c r="N145" s="213"/>
      <c r="O145" s="17" t="str">
        <f>"_x0007_`COD|E2_x0005_`QTY1|1_x0005_`EXI|0_x0005_`ITT|0_x0005_`END|"&amp;ROW(M161)&amp;"_x0005_`"</f>
        <v>_x0007_`COD|E2_x0005_`QTY1|1_x0005_`EXI|0_x0005_`ITT|0_x0005_`END|161_x0005_`</v>
      </c>
      <c r="P145" s="7" t="s">
        <v>342</v>
      </c>
      <c r="Q145" s="7" t="s">
        <v>276</v>
      </c>
    </row>
    <row r="146" spans="1:29" ht="30.6" customHeight="1" x14ac:dyDescent="0.3">
      <c r="A146" s="208"/>
      <c r="B146" s="208"/>
      <c r="C146" s="210"/>
      <c r="D146" s="43"/>
      <c r="E146" s="212"/>
      <c r="F146" s="49">
        <v>0</v>
      </c>
      <c r="G146" s="55">
        <f>SUMIF(Q147:Q160,P146,G147:G160)</f>
        <v>0</v>
      </c>
      <c r="H146" s="63">
        <v>0</v>
      </c>
      <c r="I146" s="59">
        <f>SUMIF(Q147:Q160,P146,I147:I160)</f>
        <v>0</v>
      </c>
      <c r="J146" s="63">
        <v>0</v>
      </c>
      <c r="K146" s="77">
        <f>SUMIF(Q147:Q160,P146,K147:K160)</f>
        <v>0</v>
      </c>
      <c r="L146" s="73">
        <v>0</v>
      </c>
      <c r="M146" s="77">
        <f>SUMIF(Q147:Q160,P146,M147:M160)</f>
        <v>0</v>
      </c>
      <c r="N146" s="189"/>
      <c r="O146" s="17" t="str">
        <f>"_x0007_`COD|E2_x0005_`QTY2|2_x0005_`END|"&amp;ROW(M161)&amp;"_x0005_`"</f>
        <v>_x0007_`COD|E2_x0005_`QTY2|2_x0005_`END|161_x0005_`</v>
      </c>
      <c r="P146" s="7" t="s">
        <v>345</v>
      </c>
      <c r="Q146" s="7" t="s">
        <v>279</v>
      </c>
    </row>
    <row r="147" spans="1:29" ht="30.6" customHeight="1" x14ac:dyDescent="0.3">
      <c r="A147" s="196"/>
      <c r="B147" s="196" t="s">
        <v>347</v>
      </c>
      <c r="C147" s="215" t="s">
        <v>348</v>
      </c>
      <c r="D147" s="44">
        <v>8.5399999999999991</v>
      </c>
      <c r="E147" s="211" t="s">
        <v>52</v>
      </c>
      <c r="F147" s="50">
        <f t="shared" ref="F147:F160" si="30">J147+H147+L147</f>
        <v>7000</v>
      </c>
      <c r="G147" s="58">
        <f t="shared" ref="G147:G160" si="31">K147+I147+M147</f>
        <v>59779</v>
      </c>
      <c r="H147" s="66">
        <v>5802</v>
      </c>
      <c r="I147" s="70">
        <f t="shared" ref="I147:I160" si="32">ROUNDDOWN(H147*D147,0)</f>
        <v>49549</v>
      </c>
      <c r="J147" s="66">
        <v>920</v>
      </c>
      <c r="K147" s="72">
        <f t="shared" ref="K147:K160" si="33">ROUNDDOWN(J147*D147,0)</f>
        <v>7856</v>
      </c>
      <c r="L147" s="78">
        <v>278</v>
      </c>
      <c r="M147" s="72">
        <f t="shared" ref="M147:M160" si="34">ROUNDDOWN(L147*D147,0)</f>
        <v>2374</v>
      </c>
      <c r="N147" s="213" t="s">
        <v>349</v>
      </c>
      <c r="O147" s="17" t="s">
        <v>343</v>
      </c>
      <c r="P147" s="7" t="s">
        <v>341</v>
      </c>
      <c r="Q147" s="7" t="s">
        <v>342</v>
      </c>
    </row>
    <row r="148" spans="1:29" ht="30.6" customHeight="1" x14ac:dyDescent="0.3">
      <c r="A148" s="197"/>
      <c r="B148" s="197"/>
      <c r="C148" s="189"/>
      <c r="D148" s="45">
        <v>0</v>
      </c>
      <c r="E148" s="212"/>
      <c r="F148" s="51">
        <f t="shared" si="30"/>
        <v>0</v>
      </c>
      <c r="G148" s="59">
        <f t="shared" si="31"/>
        <v>0</v>
      </c>
      <c r="H148" s="67">
        <v>0</v>
      </c>
      <c r="I148" s="71">
        <f t="shared" si="32"/>
        <v>0</v>
      </c>
      <c r="J148" s="67">
        <v>0</v>
      </c>
      <c r="K148" s="73">
        <f t="shared" si="33"/>
        <v>0</v>
      </c>
      <c r="L148" s="79">
        <v>0</v>
      </c>
      <c r="M148" s="73">
        <f t="shared" si="34"/>
        <v>0</v>
      </c>
      <c r="N148" s="189"/>
      <c r="O148" s="17" t="s">
        <v>346</v>
      </c>
      <c r="P148" s="7" t="s">
        <v>344</v>
      </c>
      <c r="Q148" s="7" t="s">
        <v>345</v>
      </c>
    </row>
    <row r="149" spans="1:29" ht="30.6" customHeight="1" x14ac:dyDescent="0.3">
      <c r="A149" s="196"/>
      <c r="B149" s="196" t="s">
        <v>361</v>
      </c>
      <c r="C149" s="215" t="s">
        <v>362</v>
      </c>
      <c r="D149" s="44">
        <v>0.35</v>
      </c>
      <c r="E149" s="211" t="s">
        <v>52</v>
      </c>
      <c r="F149" s="50">
        <f t="shared" si="30"/>
        <v>98621</v>
      </c>
      <c r="G149" s="58">
        <f t="shared" si="31"/>
        <v>34517</v>
      </c>
      <c r="H149" s="66">
        <v>98621</v>
      </c>
      <c r="I149" s="70">
        <f t="shared" si="32"/>
        <v>34517</v>
      </c>
      <c r="J149" s="66">
        <v>0</v>
      </c>
      <c r="K149" s="72">
        <f t="shared" si="33"/>
        <v>0</v>
      </c>
      <c r="L149" s="78">
        <v>0</v>
      </c>
      <c r="M149" s="72">
        <f t="shared" si="34"/>
        <v>0</v>
      </c>
      <c r="N149" s="213" t="s">
        <v>363</v>
      </c>
      <c r="O149" s="17" t="s">
        <v>358</v>
      </c>
      <c r="P149" s="7" t="s">
        <v>357</v>
      </c>
      <c r="Q149" s="7" t="s">
        <v>342</v>
      </c>
    </row>
    <row r="150" spans="1:29" ht="30.6" customHeight="1" x14ac:dyDescent="0.3">
      <c r="A150" s="197"/>
      <c r="B150" s="197"/>
      <c r="C150" s="189"/>
      <c r="D150" s="45">
        <v>0</v>
      </c>
      <c r="E150" s="212"/>
      <c r="F150" s="51">
        <f t="shared" si="30"/>
        <v>0</v>
      </c>
      <c r="G150" s="59">
        <f t="shared" si="31"/>
        <v>0</v>
      </c>
      <c r="H150" s="67">
        <v>0</v>
      </c>
      <c r="I150" s="71">
        <f t="shared" si="32"/>
        <v>0</v>
      </c>
      <c r="J150" s="67">
        <v>0</v>
      </c>
      <c r="K150" s="73">
        <f t="shared" si="33"/>
        <v>0</v>
      </c>
      <c r="L150" s="79">
        <v>0</v>
      </c>
      <c r="M150" s="73">
        <f t="shared" si="34"/>
        <v>0</v>
      </c>
      <c r="N150" s="189"/>
      <c r="O150" s="17" t="s">
        <v>360</v>
      </c>
      <c r="P150" s="7" t="s">
        <v>359</v>
      </c>
      <c r="Q150" s="7" t="s">
        <v>345</v>
      </c>
    </row>
    <row r="151" spans="1:29" ht="30.6" customHeight="1" x14ac:dyDescent="0.3">
      <c r="A151" s="196"/>
      <c r="B151" s="196" t="s">
        <v>368</v>
      </c>
      <c r="C151" s="215" t="s">
        <v>369</v>
      </c>
      <c r="D151" s="44">
        <v>42.56</v>
      </c>
      <c r="E151" s="211" t="s">
        <v>14</v>
      </c>
      <c r="F151" s="50">
        <f t="shared" si="30"/>
        <v>0</v>
      </c>
      <c r="G151" s="58">
        <f t="shared" si="31"/>
        <v>0</v>
      </c>
      <c r="H151" s="66">
        <v>0</v>
      </c>
      <c r="I151" s="70">
        <f t="shared" si="32"/>
        <v>0</v>
      </c>
      <c r="J151" s="66">
        <v>0</v>
      </c>
      <c r="K151" s="72">
        <f t="shared" si="33"/>
        <v>0</v>
      </c>
      <c r="L151" s="78">
        <v>0</v>
      </c>
      <c r="M151" s="72">
        <f t="shared" si="34"/>
        <v>0</v>
      </c>
      <c r="N151" s="213" t="s">
        <v>410</v>
      </c>
      <c r="O151" s="17" t="s">
        <v>407</v>
      </c>
      <c r="P151" s="7" t="s">
        <v>406</v>
      </c>
      <c r="Q151" s="7" t="s">
        <v>342</v>
      </c>
    </row>
    <row r="152" spans="1:29" ht="30.6" customHeight="1" x14ac:dyDescent="0.3">
      <c r="A152" s="197"/>
      <c r="B152" s="197"/>
      <c r="C152" s="189"/>
      <c r="D152" s="45">
        <v>0</v>
      </c>
      <c r="E152" s="212"/>
      <c r="F152" s="51">
        <f t="shared" si="30"/>
        <v>0</v>
      </c>
      <c r="G152" s="59">
        <f t="shared" si="31"/>
        <v>0</v>
      </c>
      <c r="H152" s="67">
        <v>0</v>
      </c>
      <c r="I152" s="71">
        <f t="shared" si="32"/>
        <v>0</v>
      </c>
      <c r="J152" s="67">
        <v>0</v>
      </c>
      <c r="K152" s="73">
        <f t="shared" si="33"/>
        <v>0</v>
      </c>
      <c r="L152" s="79">
        <v>0</v>
      </c>
      <c r="M152" s="73">
        <f t="shared" si="34"/>
        <v>0</v>
      </c>
      <c r="N152" s="189"/>
      <c r="O152" s="17" t="s">
        <v>409</v>
      </c>
      <c r="P152" s="7" t="s">
        <v>408</v>
      </c>
      <c r="Q152" s="7" t="s">
        <v>345</v>
      </c>
    </row>
    <row r="153" spans="1:29" ht="30.6" customHeight="1" x14ac:dyDescent="0.3">
      <c r="A153" s="196"/>
      <c r="B153" s="196" t="s">
        <v>17</v>
      </c>
      <c r="C153" s="215" t="s">
        <v>380</v>
      </c>
      <c r="D153" s="44">
        <v>42.56</v>
      </c>
      <c r="E153" s="211" t="s">
        <v>14</v>
      </c>
      <c r="F153" s="50">
        <f t="shared" si="30"/>
        <v>47749</v>
      </c>
      <c r="G153" s="58">
        <f t="shared" si="31"/>
        <v>2032197</v>
      </c>
      <c r="H153" s="66">
        <v>35809</v>
      </c>
      <c r="I153" s="70">
        <f t="shared" si="32"/>
        <v>1524031</v>
      </c>
      <c r="J153" s="66">
        <v>4309</v>
      </c>
      <c r="K153" s="72">
        <f t="shared" si="33"/>
        <v>183391</v>
      </c>
      <c r="L153" s="78">
        <v>7631</v>
      </c>
      <c r="M153" s="72">
        <f t="shared" si="34"/>
        <v>324775</v>
      </c>
      <c r="N153" s="213" t="s">
        <v>381</v>
      </c>
      <c r="O153" s="17" t="s">
        <v>377</v>
      </c>
      <c r="P153" s="7" t="s">
        <v>376</v>
      </c>
      <c r="Q153" s="7" t="s">
        <v>342</v>
      </c>
    </row>
    <row r="154" spans="1:29" ht="30.6" customHeight="1" x14ac:dyDescent="0.3">
      <c r="A154" s="197"/>
      <c r="B154" s="197"/>
      <c r="C154" s="189"/>
      <c r="D154" s="45">
        <v>0</v>
      </c>
      <c r="E154" s="212"/>
      <c r="F154" s="51">
        <f t="shared" si="30"/>
        <v>0</v>
      </c>
      <c r="G154" s="59">
        <f t="shared" si="31"/>
        <v>0</v>
      </c>
      <c r="H154" s="67">
        <v>0</v>
      </c>
      <c r="I154" s="71">
        <f t="shared" si="32"/>
        <v>0</v>
      </c>
      <c r="J154" s="67">
        <v>0</v>
      </c>
      <c r="K154" s="73">
        <f t="shared" si="33"/>
        <v>0</v>
      </c>
      <c r="L154" s="79">
        <v>0</v>
      </c>
      <c r="M154" s="73">
        <f t="shared" si="34"/>
        <v>0</v>
      </c>
      <c r="N154" s="189"/>
      <c r="O154" s="17" t="s">
        <v>379</v>
      </c>
      <c r="P154" s="7" t="s">
        <v>378</v>
      </c>
      <c r="Q154" s="7" t="s">
        <v>345</v>
      </c>
    </row>
    <row r="155" spans="1:29" ht="30.6" customHeight="1" x14ac:dyDescent="0.3">
      <c r="A155" s="196"/>
      <c r="B155" s="196" t="s">
        <v>50</v>
      </c>
      <c r="C155" s="215" t="s">
        <v>51</v>
      </c>
      <c r="D155" s="44">
        <v>6.37</v>
      </c>
      <c r="E155" s="211" t="s">
        <v>52</v>
      </c>
      <c r="F155" s="50">
        <f t="shared" si="30"/>
        <v>18302</v>
      </c>
      <c r="G155" s="58">
        <f t="shared" si="31"/>
        <v>116583</v>
      </c>
      <c r="H155" s="68">
        <f>IF(D155=0,0,단가산출근거목록표!F5)</f>
        <v>13033</v>
      </c>
      <c r="I155" s="62">
        <f t="shared" si="32"/>
        <v>83020</v>
      </c>
      <c r="J155" s="74">
        <f>IF(D155=0,0,단가산출근거목록표!G5)</f>
        <v>1741</v>
      </c>
      <c r="K155" s="62">
        <f t="shared" si="33"/>
        <v>11090</v>
      </c>
      <c r="L155" s="80">
        <f>IF(D155=0,0,단가산출근거목록표!H5)</f>
        <v>3528</v>
      </c>
      <c r="M155" s="72">
        <f t="shared" si="34"/>
        <v>22473</v>
      </c>
      <c r="N155" s="213" t="s">
        <v>391</v>
      </c>
      <c r="O155" s="17" t="s">
        <v>388</v>
      </c>
      <c r="P155" s="7" t="s">
        <v>387</v>
      </c>
      <c r="Q155" s="7" t="s">
        <v>342</v>
      </c>
      <c r="AC155" s="3" t="str">
        <f ca="1">HYPERLINK("#"&amp;단가산출근거목록표!J2&amp;"!A"&amp;ROW(단가산출근거목록표!A5),"D01425 →")</f>
        <v>D01425 →</v>
      </c>
    </row>
    <row r="156" spans="1:29" ht="30.6" customHeight="1" x14ac:dyDescent="0.3">
      <c r="A156" s="197"/>
      <c r="B156" s="197"/>
      <c r="C156" s="189"/>
      <c r="D156" s="45">
        <v>0</v>
      </c>
      <c r="E156" s="212"/>
      <c r="F156" s="51">
        <f t="shared" si="30"/>
        <v>0</v>
      </c>
      <c r="G156" s="59">
        <f t="shared" si="31"/>
        <v>0</v>
      </c>
      <c r="H156" s="69">
        <f>IF(D156=0,0,단가산출근거목록표!F5)</f>
        <v>0</v>
      </c>
      <c r="I156" s="63">
        <f t="shared" si="32"/>
        <v>0</v>
      </c>
      <c r="J156" s="75">
        <f>IF(D156=0,0,단가산출근거목록표!G5)</f>
        <v>0</v>
      </c>
      <c r="K156" s="63">
        <f t="shared" si="33"/>
        <v>0</v>
      </c>
      <c r="L156" s="81">
        <f>IF(D156=0,0,단가산출근거목록표!H5)</f>
        <v>0</v>
      </c>
      <c r="M156" s="73">
        <f t="shared" si="34"/>
        <v>0</v>
      </c>
      <c r="N156" s="189"/>
      <c r="O156" s="17" t="s">
        <v>390</v>
      </c>
      <c r="P156" s="7" t="s">
        <v>389</v>
      </c>
      <c r="Q156" s="7" t="s">
        <v>345</v>
      </c>
    </row>
    <row r="157" spans="1:29" ht="30.6" customHeight="1" x14ac:dyDescent="0.3">
      <c r="A157" s="196"/>
      <c r="B157" s="196" t="s">
        <v>396</v>
      </c>
      <c r="C157" s="215" t="s">
        <v>369</v>
      </c>
      <c r="D157" s="44">
        <v>1.68</v>
      </c>
      <c r="E157" s="211" t="s">
        <v>181</v>
      </c>
      <c r="F157" s="50">
        <f t="shared" si="30"/>
        <v>0</v>
      </c>
      <c r="G157" s="58">
        <f t="shared" si="31"/>
        <v>0</v>
      </c>
      <c r="H157" s="66">
        <v>0</v>
      </c>
      <c r="I157" s="70">
        <f t="shared" si="32"/>
        <v>0</v>
      </c>
      <c r="J157" s="66">
        <v>0</v>
      </c>
      <c r="K157" s="72">
        <f t="shared" si="33"/>
        <v>0</v>
      </c>
      <c r="L157" s="78">
        <v>0</v>
      </c>
      <c r="M157" s="72">
        <f t="shared" si="34"/>
        <v>0</v>
      </c>
      <c r="N157" s="213" t="s">
        <v>397</v>
      </c>
      <c r="O157" s="17" t="s">
        <v>393</v>
      </c>
      <c r="P157" s="7" t="s">
        <v>392</v>
      </c>
      <c r="Q157" s="7" t="s">
        <v>342</v>
      </c>
    </row>
    <row r="158" spans="1:29" ht="30.6" customHeight="1" x14ac:dyDescent="0.3">
      <c r="A158" s="197"/>
      <c r="B158" s="197"/>
      <c r="C158" s="189"/>
      <c r="D158" s="45">
        <v>0</v>
      </c>
      <c r="E158" s="212"/>
      <c r="F158" s="51">
        <f t="shared" si="30"/>
        <v>0</v>
      </c>
      <c r="G158" s="59">
        <f t="shared" si="31"/>
        <v>0</v>
      </c>
      <c r="H158" s="67">
        <v>0</v>
      </c>
      <c r="I158" s="71">
        <f t="shared" si="32"/>
        <v>0</v>
      </c>
      <c r="J158" s="67">
        <v>0</v>
      </c>
      <c r="K158" s="73">
        <f t="shared" si="33"/>
        <v>0</v>
      </c>
      <c r="L158" s="79">
        <v>0</v>
      </c>
      <c r="M158" s="73">
        <f t="shared" si="34"/>
        <v>0</v>
      </c>
      <c r="N158" s="189"/>
      <c r="O158" s="17" t="s">
        <v>395</v>
      </c>
      <c r="P158" s="7" t="s">
        <v>394</v>
      </c>
      <c r="Q158" s="7" t="s">
        <v>345</v>
      </c>
    </row>
    <row r="159" spans="1:29" ht="30.6" customHeight="1" x14ac:dyDescent="0.3">
      <c r="A159" s="196"/>
      <c r="B159" s="196" t="s">
        <v>56</v>
      </c>
      <c r="C159" s="215" t="s">
        <v>57</v>
      </c>
      <c r="D159" s="44">
        <v>1.68</v>
      </c>
      <c r="E159" s="211" t="s">
        <v>52</v>
      </c>
      <c r="F159" s="50">
        <f t="shared" si="30"/>
        <v>8127</v>
      </c>
      <c r="G159" s="58">
        <f t="shared" si="31"/>
        <v>13652</v>
      </c>
      <c r="H159" s="68">
        <f>IF(D159=0,0,단가산출근거목록표!F6)</f>
        <v>6783</v>
      </c>
      <c r="I159" s="62">
        <f t="shared" si="32"/>
        <v>11395</v>
      </c>
      <c r="J159" s="74">
        <f>IF(D159=0,0,단가산출근거목록표!G6)</f>
        <v>487</v>
      </c>
      <c r="K159" s="62">
        <f t="shared" si="33"/>
        <v>818</v>
      </c>
      <c r="L159" s="80">
        <f>IF(D159=0,0,단가산출근거목록표!H6)</f>
        <v>857</v>
      </c>
      <c r="M159" s="72">
        <f t="shared" si="34"/>
        <v>1439</v>
      </c>
      <c r="N159" s="213" t="s">
        <v>402</v>
      </c>
      <c r="O159" s="17" t="s">
        <v>399</v>
      </c>
      <c r="P159" s="7" t="s">
        <v>398</v>
      </c>
      <c r="Q159" s="7" t="s">
        <v>342</v>
      </c>
      <c r="AC159" s="3" t="str">
        <f ca="1">HYPERLINK("#"&amp;단가산출근거목록표!J2&amp;"!A"&amp;ROW(단가산출근거목록표!A6),"D01426 →")</f>
        <v>D01426 →</v>
      </c>
    </row>
    <row r="160" spans="1:29" ht="30.6" customHeight="1" x14ac:dyDescent="0.3">
      <c r="A160" s="197"/>
      <c r="B160" s="197"/>
      <c r="C160" s="189"/>
      <c r="D160" s="45">
        <v>0</v>
      </c>
      <c r="E160" s="212"/>
      <c r="F160" s="51">
        <f t="shared" si="30"/>
        <v>0</v>
      </c>
      <c r="G160" s="59">
        <f t="shared" si="31"/>
        <v>0</v>
      </c>
      <c r="H160" s="69">
        <f>IF(D160=0,0,단가산출근거목록표!F6)</f>
        <v>0</v>
      </c>
      <c r="I160" s="63">
        <f t="shared" si="32"/>
        <v>0</v>
      </c>
      <c r="J160" s="75">
        <f>IF(D160=0,0,단가산출근거목록표!G6)</f>
        <v>0</v>
      </c>
      <c r="K160" s="63">
        <f t="shared" si="33"/>
        <v>0</v>
      </c>
      <c r="L160" s="81">
        <f>IF(D160=0,0,단가산출근거목록표!H6)</f>
        <v>0</v>
      </c>
      <c r="M160" s="73">
        <f t="shared" si="34"/>
        <v>0</v>
      </c>
      <c r="N160" s="189"/>
      <c r="O160" s="17" t="s">
        <v>401</v>
      </c>
      <c r="P160" s="7" t="s">
        <v>400</v>
      </c>
      <c r="Q160" s="7" t="s">
        <v>345</v>
      </c>
    </row>
    <row r="161" spans="1:29" ht="30.6" customHeight="1" x14ac:dyDescent="0.3">
      <c r="A161" s="214"/>
      <c r="B161" s="214"/>
      <c r="C161" s="188"/>
      <c r="D161" s="42"/>
      <c r="E161" s="211"/>
      <c r="F161" s="48">
        <v>0</v>
      </c>
      <c r="G161" s="56"/>
      <c r="H161" s="64"/>
      <c r="I161" s="64"/>
      <c r="J161" s="64"/>
      <c r="K161" s="64"/>
      <c r="L161" s="64"/>
      <c r="M161" s="82"/>
      <c r="N161" s="213"/>
      <c r="O161" s="17" t="s">
        <v>265</v>
      </c>
      <c r="P161" s="7" t="s">
        <v>263</v>
      </c>
      <c r="Q161" s="7" t="s">
        <v>264</v>
      </c>
    </row>
    <row r="162" spans="1:29" ht="30.6" customHeight="1" x14ac:dyDescent="0.3">
      <c r="A162" s="197"/>
      <c r="B162" s="197"/>
      <c r="C162" s="189"/>
      <c r="D162" s="43"/>
      <c r="E162" s="212"/>
      <c r="F162" s="49">
        <v>0</v>
      </c>
      <c r="G162" s="57"/>
      <c r="H162" s="65"/>
      <c r="I162" s="65"/>
      <c r="J162" s="65"/>
      <c r="K162" s="65"/>
      <c r="L162" s="65"/>
      <c r="M162" s="83"/>
      <c r="N162" s="189"/>
      <c r="O162" s="17" t="s">
        <v>268</v>
      </c>
      <c r="P162" s="7" t="s">
        <v>266</v>
      </c>
      <c r="Q162" s="7" t="s">
        <v>267</v>
      </c>
    </row>
    <row r="163" spans="1:29" ht="30.6" customHeight="1" x14ac:dyDescent="0.3">
      <c r="A163" s="207" t="s">
        <v>449</v>
      </c>
      <c r="B163" s="207" t="s">
        <v>448</v>
      </c>
      <c r="C163" s="209"/>
      <c r="D163" s="42"/>
      <c r="E163" s="211"/>
      <c r="F163" s="48">
        <v>0</v>
      </c>
      <c r="G163" s="54">
        <f>SUMIF(Q165:Q200,P163,G165:G200)</f>
        <v>1249551</v>
      </c>
      <c r="H163" s="62">
        <v>0</v>
      </c>
      <c r="I163" s="58">
        <f>SUMIF(Q165:Q200,P163,I165:I200)</f>
        <v>941683</v>
      </c>
      <c r="J163" s="62">
        <v>0</v>
      </c>
      <c r="K163" s="76">
        <f>SUMIF(Q165:Q200,P163,K165:K200)</f>
        <v>110075</v>
      </c>
      <c r="L163" s="72">
        <v>0</v>
      </c>
      <c r="M163" s="76">
        <f>SUMIF(Q165:Q200,P163,M165:M200)</f>
        <v>197793</v>
      </c>
      <c r="N163" s="213"/>
      <c r="O163" s="17" t="str">
        <f>"_x0007_`COD|E3_x0005_`QTY1|1_x0005_`EXI|0_x0005_`ITT|0_x0005_`END|"&amp;ROW(M201)&amp;"_x0005_`"</f>
        <v>_x0007_`COD|E3_x0005_`QTY1|1_x0005_`EXI|0_x0005_`ITT|0_x0005_`END|201_x0005_`</v>
      </c>
      <c r="P163" s="7" t="s">
        <v>276</v>
      </c>
      <c r="Q163" s="7" t="s">
        <v>264</v>
      </c>
    </row>
    <row r="164" spans="1:29" ht="30.6" customHeight="1" x14ac:dyDescent="0.3">
      <c r="A164" s="208"/>
      <c r="B164" s="208"/>
      <c r="C164" s="210"/>
      <c r="D164" s="43"/>
      <c r="E164" s="212"/>
      <c r="F164" s="49">
        <v>0</v>
      </c>
      <c r="G164" s="55">
        <f>SUMIF(Q165:Q200,P164,G165:G200)</f>
        <v>10851415</v>
      </c>
      <c r="H164" s="63">
        <v>0</v>
      </c>
      <c r="I164" s="59">
        <f>SUMIF(Q165:Q200,P164,I165:I200)</f>
        <v>9605833</v>
      </c>
      <c r="J164" s="63">
        <v>0</v>
      </c>
      <c r="K164" s="77">
        <f>SUMIF(Q165:Q200,P164,K165:K200)</f>
        <v>510466</v>
      </c>
      <c r="L164" s="73">
        <v>0</v>
      </c>
      <c r="M164" s="77">
        <f>SUMIF(Q165:Q200,P164,M165:M200)</f>
        <v>735116</v>
      </c>
      <c r="N164" s="189"/>
      <c r="O164" s="17" t="str">
        <f>"_x0007_`COD|E3_x0005_`QTY2|2_x0005_`END|"&amp;ROW(M201)&amp;"_x0005_`"</f>
        <v>_x0007_`COD|E3_x0005_`QTY2|2_x0005_`END|201_x0005_`</v>
      </c>
      <c r="P164" s="7" t="s">
        <v>279</v>
      </c>
      <c r="Q164" s="7" t="s">
        <v>267</v>
      </c>
    </row>
    <row r="165" spans="1:29" ht="30.6" customHeight="1" x14ac:dyDescent="0.3">
      <c r="A165" s="207" t="s">
        <v>455</v>
      </c>
      <c r="B165" s="207" t="s">
        <v>456</v>
      </c>
      <c r="C165" s="209" t="s">
        <v>457</v>
      </c>
      <c r="D165" s="42"/>
      <c r="E165" s="211"/>
      <c r="F165" s="48">
        <v>0</v>
      </c>
      <c r="G165" s="54">
        <f>SUMIF(Q167:Q170,P165,G167:G170)</f>
        <v>0</v>
      </c>
      <c r="H165" s="62">
        <v>0</v>
      </c>
      <c r="I165" s="58">
        <f>SUMIF(Q167:Q170,P165,I167:I170)</f>
        <v>0</v>
      </c>
      <c r="J165" s="62">
        <v>0</v>
      </c>
      <c r="K165" s="76">
        <f>SUMIF(Q167:Q170,P165,K167:K170)</f>
        <v>0</v>
      </c>
      <c r="L165" s="72">
        <v>0</v>
      </c>
      <c r="M165" s="76">
        <f>SUMIF(Q167:Q170,P165,M167:M170)</f>
        <v>0</v>
      </c>
      <c r="N165" s="213"/>
      <c r="O165" s="17" t="str">
        <f>"_x0007_`COD|E2_x0005_`QTY1|1_x0005_`EXI|0_x0005_`ITT|0_x0005_`END|"&amp;ROW(M171)&amp;"_x0005_`"</f>
        <v>_x0007_`COD|E2_x0005_`QTY1|1_x0005_`EXI|0_x0005_`ITT|0_x0005_`END|171_x0005_`</v>
      </c>
      <c r="P165" s="7" t="s">
        <v>342</v>
      </c>
      <c r="Q165" s="7" t="s">
        <v>276</v>
      </c>
    </row>
    <row r="166" spans="1:29" ht="30.6" customHeight="1" x14ac:dyDescent="0.3">
      <c r="A166" s="208"/>
      <c r="B166" s="208"/>
      <c r="C166" s="210"/>
      <c r="D166" s="43"/>
      <c r="E166" s="212"/>
      <c r="F166" s="49">
        <v>0</v>
      </c>
      <c r="G166" s="55">
        <f>SUMIF(Q167:Q170,P166,G167:G170)</f>
        <v>2520850</v>
      </c>
      <c r="H166" s="63">
        <v>0</v>
      </c>
      <c r="I166" s="59">
        <f>SUMIF(Q167:Q170,P166,I167:I170)</f>
        <v>2047516</v>
      </c>
      <c r="J166" s="63">
        <v>0</v>
      </c>
      <c r="K166" s="77">
        <f>SUMIF(Q167:Q170,P166,K167:K170)</f>
        <v>170015</v>
      </c>
      <c r="L166" s="73">
        <v>0</v>
      </c>
      <c r="M166" s="77">
        <f>SUMIF(Q167:Q170,P166,M167:M170)</f>
        <v>303319</v>
      </c>
      <c r="N166" s="189"/>
      <c r="O166" s="17" t="str">
        <f>"_x0007_`COD|E2_x0005_`QTY2|2_x0005_`END|"&amp;ROW(M171)&amp;"_x0005_`"</f>
        <v>_x0007_`COD|E2_x0005_`QTY2|2_x0005_`END|171_x0005_`</v>
      </c>
      <c r="P166" s="7" t="s">
        <v>345</v>
      </c>
      <c r="Q166" s="7" t="s">
        <v>279</v>
      </c>
    </row>
    <row r="167" spans="1:29" ht="30.6" customHeight="1" x14ac:dyDescent="0.3">
      <c r="A167" s="196"/>
      <c r="B167" s="196" t="s">
        <v>12</v>
      </c>
      <c r="C167" s="215" t="s">
        <v>21</v>
      </c>
      <c r="D167" s="44">
        <v>0</v>
      </c>
      <c r="E167" s="211" t="s">
        <v>14</v>
      </c>
      <c r="F167" s="50">
        <f t="shared" ref="F167:G170" si="35">J167+H167+L167</f>
        <v>0</v>
      </c>
      <c r="G167" s="58">
        <f t="shared" si="35"/>
        <v>0</v>
      </c>
      <c r="H167" s="68">
        <f>IF(D167=0,0,일위대가목록표!F6)</f>
        <v>0</v>
      </c>
      <c r="I167" s="62">
        <f>ROUNDDOWN(H167*D167,0)</f>
        <v>0</v>
      </c>
      <c r="J167" s="74">
        <f>IF(D167=0,0,일위대가목록표!G6)</f>
        <v>0</v>
      </c>
      <c r="K167" s="62">
        <f>ROUNDDOWN(J167*D167,0)</f>
        <v>0</v>
      </c>
      <c r="L167" s="80">
        <f>IF(D167=0,0,일위대가목록표!H6)</f>
        <v>0</v>
      </c>
      <c r="M167" s="72">
        <f>ROUNDDOWN(L167*D167,0)</f>
        <v>0</v>
      </c>
      <c r="N167" s="213" t="s">
        <v>435</v>
      </c>
      <c r="O167" s="17" t="s">
        <v>432</v>
      </c>
      <c r="P167" s="7" t="s">
        <v>431</v>
      </c>
      <c r="Q167" s="7" t="s">
        <v>342</v>
      </c>
      <c r="AC167" s="3" t="str">
        <f ca="1">HYPERLINK("#"&amp;일위대가목록표!J2&amp;"!A"&amp;ROW(일위대가목록표!A6),"B01094 →")</f>
        <v>B01094 →</v>
      </c>
    </row>
    <row r="168" spans="1:29" ht="30.6" customHeight="1" x14ac:dyDescent="0.3">
      <c r="A168" s="197"/>
      <c r="B168" s="197"/>
      <c r="C168" s="189"/>
      <c r="D168" s="45">
        <v>40.5</v>
      </c>
      <c r="E168" s="212"/>
      <c r="F168" s="51">
        <f t="shared" si="35"/>
        <v>60047</v>
      </c>
      <c r="G168" s="59">
        <f t="shared" si="35"/>
        <v>2431903</v>
      </c>
      <c r="H168" s="69">
        <f>IF(D168=0,0,일위대가목록표!F6)</f>
        <v>48992</v>
      </c>
      <c r="I168" s="63">
        <f>ROUNDDOWN(H168*D168,0)</f>
        <v>1984176</v>
      </c>
      <c r="J168" s="75">
        <f>IF(D168=0,0,일위대가목록표!G6)</f>
        <v>3989</v>
      </c>
      <c r="K168" s="63">
        <f>ROUNDDOWN(J168*D168,0)</f>
        <v>161554</v>
      </c>
      <c r="L168" s="81">
        <f>IF(D168=0,0,일위대가목록표!H6)</f>
        <v>7066</v>
      </c>
      <c r="M168" s="73">
        <f>ROUNDDOWN(L168*D168,0)</f>
        <v>286173</v>
      </c>
      <c r="N168" s="189"/>
      <c r="O168" s="17" t="s">
        <v>434</v>
      </c>
      <c r="P168" s="7" t="s">
        <v>433</v>
      </c>
      <c r="Q168" s="7" t="s">
        <v>345</v>
      </c>
    </row>
    <row r="169" spans="1:29" ht="30.6" customHeight="1" x14ac:dyDescent="0.3">
      <c r="A169" s="196"/>
      <c r="B169" s="196" t="s">
        <v>50</v>
      </c>
      <c r="C169" s="215" t="s">
        <v>51</v>
      </c>
      <c r="D169" s="44">
        <v>0</v>
      </c>
      <c r="E169" s="211" t="s">
        <v>52</v>
      </c>
      <c r="F169" s="50">
        <f t="shared" si="35"/>
        <v>0</v>
      </c>
      <c r="G169" s="58">
        <f t="shared" si="35"/>
        <v>0</v>
      </c>
      <c r="H169" s="68">
        <f>IF(D169=0,0,단가산출근거목록표!F5)</f>
        <v>0</v>
      </c>
      <c r="I169" s="62">
        <f>ROUNDDOWN(H169*D169,0)</f>
        <v>0</v>
      </c>
      <c r="J169" s="74">
        <f>IF(D169=0,0,단가산출근거목록표!G5)</f>
        <v>0</v>
      </c>
      <c r="K169" s="62">
        <f>ROUNDDOWN(J169*D169,0)</f>
        <v>0</v>
      </c>
      <c r="L169" s="80">
        <f>IF(D169=0,0,단가산출근거목록표!H5)</f>
        <v>0</v>
      </c>
      <c r="M169" s="72">
        <f>ROUNDDOWN(L169*D169,0)</f>
        <v>0</v>
      </c>
      <c r="N169" s="213" t="s">
        <v>391</v>
      </c>
      <c r="O169" s="17" t="s">
        <v>388</v>
      </c>
      <c r="P169" s="7" t="s">
        <v>387</v>
      </c>
      <c r="Q169" s="7" t="s">
        <v>342</v>
      </c>
      <c r="AC169" s="3" t="str">
        <f ca="1">HYPERLINK("#"&amp;단가산출근거목록표!J2&amp;"!A"&amp;ROW(단가산출근거목록표!A5),"D01425 →")</f>
        <v>D01425 →</v>
      </c>
    </row>
    <row r="170" spans="1:29" ht="30.6" customHeight="1" x14ac:dyDescent="0.3">
      <c r="A170" s="197"/>
      <c r="B170" s="197"/>
      <c r="C170" s="189"/>
      <c r="D170" s="45">
        <v>4.8600000000000003</v>
      </c>
      <c r="E170" s="212"/>
      <c r="F170" s="51">
        <f t="shared" si="35"/>
        <v>18302</v>
      </c>
      <c r="G170" s="59">
        <f t="shared" si="35"/>
        <v>88947</v>
      </c>
      <c r="H170" s="69">
        <f>IF(D170=0,0,단가산출근거목록표!F5)</f>
        <v>13033</v>
      </c>
      <c r="I170" s="63">
        <f>ROUNDDOWN(H170*D170,0)</f>
        <v>63340</v>
      </c>
      <c r="J170" s="75">
        <f>IF(D170=0,0,단가산출근거목록표!G5)</f>
        <v>1741</v>
      </c>
      <c r="K170" s="63">
        <f>ROUNDDOWN(J170*D170,0)</f>
        <v>8461</v>
      </c>
      <c r="L170" s="81">
        <f>IF(D170=0,0,단가산출근거목록표!H5)</f>
        <v>3528</v>
      </c>
      <c r="M170" s="73">
        <f>ROUNDDOWN(L170*D170,0)</f>
        <v>17146</v>
      </c>
      <c r="N170" s="189"/>
      <c r="O170" s="17" t="s">
        <v>390</v>
      </c>
      <c r="P170" s="7" t="s">
        <v>389</v>
      </c>
      <c r="Q170" s="7" t="s">
        <v>345</v>
      </c>
    </row>
    <row r="171" spans="1:29" ht="30.6" customHeight="1" x14ac:dyDescent="0.3">
      <c r="A171" s="207" t="s">
        <v>458</v>
      </c>
      <c r="B171" s="207" t="s">
        <v>459</v>
      </c>
      <c r="C171" s="209" t="s">
        <v>460</v>
      </c>
      <c r="D171" s="42"/>
      <c r="E171" s="211"/>
      <c r="F171" s="48">
        <v>0</v>
      </c>
      <c r="G171" s="54">
        <f>SUMIF(Q173:Q188,P171,G173:G188)</f>
        <v>1249551</v>
      </c>
      <c r="H171" s="62">
        <v>0</v>
      </c>
      <c r="I171" s="58">
        <f>SUMIF(Q173:Q188,P171,I173:I188)</f>
        <v>941683</v>
      </c>
      <c r="J171" s="62">
        <v>0</v>
      </c>
      <c r="K171" s="76">
        <f>SUMIF(Q173:Q188,P171,K173:K188)</f>
        <v>110075</v>
      </c>
      <c r="L171" s="72">
        <v>0</v>
      </c>
      <c r="M171" s="76">
        <f>SUMIF(Q173:Q188,P171,M173:M188)</f>
        <v>197793</v>
      </c>
      <c r="N171" s="213"/>
      <c r="O171" s="17" t="str">
        <f>"_x0007_`COD|E2_x0005_`QTY1|1_x0005_`EXI|0_x0005_`ITT|0_x0005_`END|"&amp;ROW(M189)&amp;"_x0005_`"</f>
        <v>_x0007_`COD|E2_x0005_`QTY1|1_x0005_`EXI|0_x0005_`ITT|0_x0005_`END|189_x0005_`</v>
      </c>
      <c r="P171" s="7" t="s">
        <v>342</v>
      </c>
      <c r="Q171" s="7" t="s">
        <v>276</v>
      </c>
    </row>
    <row r="172" spans="1:29" ht="30.6" customHeight="1" x14ac:dyDescent="0.3">
      <c r="A172" s="208"/>
      <c r="B172" s="208"/>
      <c r="C172" s="210"/>
      <c r="D172" s="43"/>
      <c r="E172" s="212"/>
      <c r="F172" s="49">
        <v>0</v>
      </c>
      <c r="G172" s="55">
        <f>SUMIF(Q173:Q188,P172,G173:G188)</f>
        <v>1682297</v>
      </c>
      <c r="H172" s="63">
        <v>0</v>
      </c>
      <c r="I172" s="59">
        <f>SUMIF(Q173:Q188,P172,I173:I188)</f>
        <v>1351601</v>
      </c>
      <c r="J172" s="63">
        <v>0</v>
      </c>
      <c r="K172" s="77">
        <f>SUMIF(Q173:Q188,P172,K173:K188)</f>
        <v>118643</v>
      </c>
      <c r="L172" s="73">
        <v>0</v>
      </c>
      <c r="M172" s="77">
        <f>SUMIF(Q173:Q188,P172,M173:M188)</f>
        <v>212053</v>
      </c>
      <c r="N172" s="189"/>
      <c r="O172" s="17" t="str">
        <f>"_x0007_`COD|E2_x0005_`QTY2|2_x0005_`END|"&amp;ROW(M189)&amp;"_x0005_`"</f>
        <v>_x0007_`COD|E2_x0005_`QTY2|2_x0005_`END|189_x0005_`</v>
      </c>
      <c r="P172" s="7" t="s">
        <v>345</v>
      </c>
      <c r="Q172" s="7" t="s">
        <v>279</v>
      </c>
    </row>
    <row r="173" spans="1:29" ht="30.6" customHeight="1" x14ac:dyDescent="0.3">
      <c r="A173" s="196"/>
      <c r="B173" s="196" t="s">
        <v>347</v>
      </c>
      <c r="C173" s="215" t="s">
        <v>348</v>
      </c>
      <c r="D173" s="44">
        <v>6.6</v>
      </c>
      <c r="E173" s="211" t="s">
        <v>52</v>
      </c>
      <c r="F173" s="50">
        <f t="shared" ref="F173:F188" si="36">J173+H173+L173</f>
        <v>7000</v>
      </c>
      <c r="G173" s="58">
        <f t="shared" ref="G173:G188" si="37">K173+I173+M173</f>
        <v>46199</v>
      </c>
      <c r="H173" s="66">
        <v>5802</v>
      </c>
      <c r="I173" s="70">
        <f t="shared" ref="I173:I188" si="38">ROUNDDOWN(H173*D173,0)</f>
        <v>38293</v>
      </c>
      <c r="J173" s="66">
        <v>920</v>
      </c>
      <c r="K173" s="72">
        <f t="shared" ref="K173:K188" si="39">ROUNDDOWN(J173*D173,0)</f>
        <v>6072</v>
      </c>
      <c r="L173" s="78">
        <v>278</v>
      </c>
      <c r="M173" s="72">
        <f t="shared" ref="M173:M188" si="40">ROUNDDOWN(L173*D173,0)</f>
        <v>1834</v>
      </c>
      <c r="N173" s="213" t="s">
        <v>349</v>
      </c>
      <c r="O173" s="17" t="s">
        <v>343</v>
      </c>
      <c r="P173" s="7" t="s">
        <v>341</v>
      </c>
      <c r="Q173" s="7" t="s">
        <v>342</v>
      </c>
    </row>
    <row r="174" spans="1:29" ht="30.6" customHeight="1" x14ac:dyDescent="0.3">
      <c r="A174" s="197"/>
      <c r="B174" s="197"/>
      <c r="C174" s="189"/>
      <c r="D174" s="45">
        <v>0</v>
      </c>
      <c r="E174" s="212"/>
      <c r="F174" s="51">
        <f t="shared" si="36"/>
        <v>0</v>
      </c>
      <c r="G174" s="59">
        <f t="shared" si="37"/>
        <v>0</v>
      </c>
      <c r="H174" s="67">
        <v>0</v>
      </c>
      <c r="I174" s="71">
        <f t="shared" si="38"/>
        <v>0</v>
      </c>
      <c r="J174" s="67">
        <v>0</v>
      </c>
      <c r="K174" s="73">
        <f t="shared" si="39"/>
        <v>0</v>
      </c>
      <c r="L174" s="79">
        <v>0</v>
      </c>
      <c r="M174" s="73">
        <f t="shared" si="40"/>
        <v>0</v>
      </c>
      <c r="N174" s="189"/>
      <c r="O174" s="17" t="s">
        <v>346</v>
      </c>
      <c r="P174" s="7" t="s">
        <v>344</v>
      </c>
      <c r="Q174" s="7" t="s">
        <v>345</v>
      </c>
    </row>
    <row r="175" spans="1:29" ht="30.6" customHeight="1" x14ac:dyDescent="0.3">
      <c r="A175" s="196"/>
      <c r="B175" s="196" t="s">
        <v>361</v>
      </c>
      <c r="C175" s="215" t="s">
        <v>362</v>
      </c>
      <c r="D175" s="44">
        <v>0.3</v>
      </c>
      <c r="E175" s="211" t="s">
        <v>52</v>
      </c>
      <c r="F175" s="50">
        <f t="shared" si="36"/>
        <v>98621</v>
      </c>
      <c r="G175" s="58">
        <f t="shared" si="37"/>
        <v>29586</v>
      </c>
      <c r="H175" s="66">
        <v>98621</v>
      </c>
      <c r="I175" s="70">
        <f t="shared" si="38"/>
        <v>29586</v>
      </c>
      <c r="J175" s="66">
        <v>0</v>
      </c>
      <c r="K175" s="72">
        <f t="shared" si="39"/>
        <v>0</v>
      </c>
      <c r="L175" s="78">
        <v>0</v>
      </c>
      <c r="M175" s="72">
        <f t="shared" si="40"/>
        <v>0</v>
      </c>
      <c r="N175" s="213" t="s">
        <v>363</v>
      </c>
      <c r="O175" s="17" t="s">
        <v>358</v>
      </c>
      <c r="P175" s="7" t="s">
        <v>357</v>
      </c>
      <c r="Q175" s="7" t="s">
        <v>342</v>
      </c>
    </row>
    <row r="176" spans="1:29" ht="30.6" customHeight="1" x14ac:dyDescent="0.3">
      <c r="A176" s="197"/>
      <c r="B176" s="197"/>
      <c r="C176" s="189"/>
      <c r="D176" s="45">
        <v>0</v>
      </c>
      <c r="E176" s="212"/>
      <c r="F176" s="51">
        <f t="shared" si="36"/>
        <v>0</v>
      </c>
      <c r="G176" s="59">
        <f t="shared" si="37"/>
        <v>0</v>
      </c>
      <c r="H176" s="67">
        <v>0</v>
      </c>
      <c r="I176" s="71">
        <f t="shared" si="38"/>
        <v>0</v>
      </c>
      <c r="J176" s="67">
        <v>0</v>
      </c>
      <c r="K176" s="73">
        <f t="shared" si="39"/>
        <v>0</v>
      </c>
      <c r="L176" s="79">
        <v>0</v>
      </c>
      <c r="M176" s="73">
        <f t="shared" si="40"/>
        <v>0</v>
      </c>
      <c r="N176" s="189"/>
      <c r="O176" s="17" t="s">
        <v>360</v>
      </c>
      <c r="P176" s="7" t="s">
        <v>359</v>
      </c>
      <c r="Q176" s="7" t="s">
        <v>345</v>
      </c>
    </row>
    <row r="177" spans="1:29" ht="30.6" customHeight="1" x14ac:dyDescent="0.3">
      <c r="A177" s="196"/>
      <c r="B177" s="196" t="s">
        <v>368</v>
      </c>
      <c r="C177" s="215" t="s">
        <v>369</v>
      </c>
      <c r="D177" s="44">
        <v>16.5</v>
      </c>
      <c r="E177" s="211" t="s">
        <v>14</v>
      </c>
      <c r="F177" s="50">
        <f t="shared" si="36"/>
        <v>0</v>
      </c>
      <c r="G177" s="58">
        <f t="shared" si="37"/>
        <v>0</v>
      </c>
      <c r="H177" s="66">
        <v>0</v>
      </c>
      <c r="I177" s="70">
        <f t="shared" si="38"/>
        <v>0</v>
      </c>
      <c r="J177" s="66">
        <v>0</v>
      </c>
      <c r="K177" s="72">
        <f t="shared" si="39"/>
        <v>0</v>
      </c>
      <c r="L177" s="78">
        <v>0</v>
      </c>
      <c r="M177" s="72">
        <f t="shared" si="40"/>
        <v>0</v>
      </c>
      <c r="N177" s="213" t="s">
        <v>410</v>
      </c>
      <c r="O177" s="17" t="s">
        <v>407</v>
      </c>
      <c r="P177" s="7" t="s">
        <v>406</v>
      </c>
      <c r="Q177" s="7" t="s">
        <v>342</v>
      </c>
    </row>
    <row r="178" spans="1:29" ht="30.6" customHeight="1" x14ac:dyDescent="0.3">
      <c r="A178" s="197"/>
      <c r="B178" s="197"/>
      <c r="C178" s="189"/>
      <c r="D178" s="45">
        <v>0</v>
      </c>
      <c r="E178" s="212"/>
      <c r="F178" s="51">
        <f t="shared" si="36"/>
        <v>0</v>
      </c>
      <c r="G178" s="59">
        <f t="shared" si="37"/>
        <v>0</v>
      </c>
      <c r="H178" s="67">
        <v>0</v>
      </c>
      <c r="I178" s="71">
        <f t="shared" si="38"/>
        <v>0</v>
      </c>
      <c r="J178" s="67">
        <v>0</v>
      </c>
      <c r="K178" s="73">
        <f t="shared" si="39"/>
        <v>0</v>
      </c>
      <c r="L178" s="79">
        <v>0</v>
      </c>
      <c r="M178" s="73">
        <f t="shared" si="40"/>
        <v>0</v>
      </c>
      <c r="N178" s="189"/>
      <c r="O178" s="17" t="s">
        <v>409</v>
      </c>
      <c r="P178" s="7" t="s">
        <v>408</v>
      </c>
      <c r="Q178" s="7" t="s">
        <v>345</v>
      </c>
    </row>
    <row r="179" spans="1:29" ht="30.6" customHeight="1" x14ac:dyDescent="0.3">
      <c r="A179" s="196"/>
      <c r="B179" s="196" t="s">
        <v>60</v>
      </c>
      <c r="C179" s="215" t="s">
        <v>61</v>
      </c>
      <c r="D179" s="44">
        <v>16.5</v>
      </c>
      <c r="E179" s="211" t="s">
        <v>14</v>
      </c>
      <c r="F179" s="50">
        <f t="shared" si="36"/>
        <v>17902</v>
      </c>
      <c r="G179" s="58">
        <f t="shared" si="37"/>
        <v>295382</v>
      </c>
      <c r="H179" s="68">
        <f>IF(D179=0,0,단가산출근거목록표!F7)</f>
        <v>10589</v>
      </c>
      <c r="I179" s="62">
        <f t="shared" si="38"/>
        <v>174718</v>
      </c>
      <c r="J179" s="74">
        <f>IF(D179=0,0,단가산출근거목록표!G7)</f>
        <v>2430</v>
      </c>
      <c r="K179" s="62">
        <f t="shared" si="39"/>
        <v>40095</v>
      </c>
      <c r="L179" s="80">
        <f>IF(D179=0,0,단가산출근거목록표!H7)</f>
        <v>4883</v>
      </c>
      <c r="M179" s="72">
        <f t="shared" si="40"/>
        <v>80569</v>
      </c>
      <c r="N179" s="213" t="s">
        <v>375</v>
      </c>
      <c r="O179" s="17" t="s">
        <v>372</v>
      </c>
      <c r="P179" s="7" t="s">
        <v>371</v>
      </c>
      <c r="Q179" s="7" t="s">
        <v>342</v>
      </c>
      <c r="AC179" s="3" t="str">
        <f ca="1">HYPERLINK("#"&amp;단가산출근거목록표!J2&amp;"!A"&amp;ROW(단가산출근거목록표!A7),"D01427 →")</f>
        <v>D01427 →</v>
      </c>
    </row>
    <row r="180" spans="1:29" ht="30.6" customHeight="1" x14ac:dyDescent="0.3">
      <c r="A180" s="197"/>
      <c r="B180" s="197"/>
      <c r="C180" s="189"/>
      <c r="D180" s="45">
        <v>0</v>
      </c>
      <c r="E180" s="212"/>
      <c r="F180" s="51">
        <f t="shared" si="36"/>
        <v>0</v>
      </c>
      <c r="G180" s="59">
        <f t="shared" si="37"/>
        <v>0</v>
      </c>
      <c r="H180" s="69">
        <f>IF(D180=0,0,단가산출근거목록표!F7)</f>
        <v>0</v>
      </c>
      <c r="I180" s="63">
        <f t="shared" si="38"/>
        <v>0</v>
      </c>
      <c r="J180" s="75">
        <f>IF(D180=0,0,단가산출근거목록표!G7)</f>
        <v>0</v>
      </c>
      <c r="K180" s="63">
        <f t="shared" si="39"/>
        <v>0</v>
      </c>
      <c r="L180" s="81">
        <f>IF(D180=0,0,단가산출근거목록표!H7)</f>
        <v>0</v>
      </c>
      <c r="M180" s="73">
        <f t="shared" si="40"/>
        <v>0</v>
      </c>
      <c r="N180" s="189"/>
      <c r="O180" s="17" t="s">
        <v>374</v>
      </c>
      <c r="P180" s="7" t="s">
        <v>373</v>
      </c>
      <c r="Q180" s="7" t="s">
        <v>345</v>
      </c>
    </row>
    <row r="181" spans="1:29" ht="30.6" customHeight="1" x14ac:dyDescent="0.3">
      <c r="A181" s="196"/>
      <c r="B181" s="196" t="s">
        <v>12</v>
      </c>
      <c r="C181" s="215" t="s">
        <v>421</v>
      </c>
      <c r="D181" s="44">
        <v>16.5</v>
      </c>
      <c r="E181" s="211" t="s">
        <v>14</v>
      </c>
      <c r="F181" s="50">
        <f t="shared" si="36"/>
        <v>47745</v>
      </c>
      <c r="G181" s="58">
        <f t="shared" si="37"/>
        <v>787791</v>
      </c>
      <c r="H181" s="66">
        <v>38459</v>
      </c>
      <c r="I181" s="70">
        <f t="shared" si="38"/>
        <v>634573</v>
      </c>
      <c r="J181" s="66">
        <v>3351</v>
      </c>
      <c r="K181" s="72">
        <f t="shared" si="39"/>
        <v>55291</v>
      </c>
      <c r="L181" s="78">
        <v>5935</v>
      </c>
      <c r="M181" s="72">
        <f t="shared" si="40"/>
        <v>97927</v>
      </c>
      <c r="N181" s="213" t="s">
        <v>422</v>
      </c>
      <c r="O181" s="17" t="s">
        <v>418</v>
      </c>
      <c r="P181" s="7" t="s">
        <v>417</v>
      </c>
      <c r="Q181" s="7" t="s">
        <v>342</v>
      </c>
    </row>
    <row r="182" spans="1:29" ht="30.6" customHeight="1" x14ac:dyDescent="0.3">
      <c r="A182" s="197"/>
      <c r="B182" s="197"/>
      <c r="C182" s="189"/>
      <c r="D182" s="45">
        <v>0</v>
      </c>
      <c r="E182" s="212"/>
      <c r="F182" s="51">
        <f t="shared" si="36"/>
        <v>0</v>
      </c>
      <c r="G182" s="59">
        <f t="shared" si="37"/>
        <v>0</v>
      </c>
      <c r="H182" s="67">
        <v>0</v>
      </c>
      <c r="I182" s="71">
        <f t="shared" si="38"/>
        <v>0</v>
      </c>
      <c r="J182" s="67">
        <v>0</v>
      </c>
      <c r="K182" s="73">
        <f t="shared" si="39"/>
        <v>0</v>
      </c>
      <c r="L182" s="79">
        <v>0</v>
      </c>
      <c r="M182" s="73">
        <f t="shared" si="40"/>
        <v>0</v>
      </c>
      <c r="N182" s="189"/>
      <c r="O182" s="17" t="s">
        <v>420</v>
      </c>
      <c r="P182" s="7" t="s">
        <v>419</v>
      </c>
      <c r="Q182" s="7" t="s">
        <v>345</v>
      </c>
    </row>
    <row r="183" spans="1:29" ht="30.6" customHeight="1" x14ac:dyDescent="0.3">
      <c r="A183" s="196"/>
      <c r="B183" s="196" t="s">
        <v>12</v>
      </c>
      <c r="C183" s="215" t="s">
        <v>13</v>
      </c>
      <c r="D183" s="44">
        <v>0</v>
      </c>
      <c r="E183" s="211" t="s">
        <v>14</v>
      </c>
      <c r="F183" s="50">
        <f t="shared" si="36"/>
        <v>0</v>
      </c>
      <c r="G183" s="58">
        <f t="shared" si="37"/>
        <v>0</v>
      </c>
      <c r="H183" s="68">
        <f>IF(D183=0,0,일위대가목록표!F4)</f>
        <v>0</v>
      </c>
      <c r="I183" s="62">
        <f t="shared" si="38"/>
        <v>0</v>
      </c>
      <c r="J183" s="74">
        <f>IF(D183=0,0,일위대가목록표!G4)</f>
        <v>0</v>
      </c>
      <c r="K183" s="62">
        <f t="shared" si="39"/>
        <v>0</v>
      </c>
      <c r="L183" s="80">
        <f>IF(D183=0,0,일위대가목록표!H4)</f>
        <v>0</v>
      </c>
      <c r="M183" s="72">
        <f t="shared" si="40"/>
        <v>0</v>
      </c>
      <c r="N183" s="213" t="s">
        <v>465</v>
      </c>
      <c r="O183" s="17" t="s">
        <v>462</v>
      </c>
      <c r="P183" s="7" t="s">
        <v>461</v>
      </c>
      <c r="Q183" s="7" t="s">
        <v>342</v>
      </c>
      <c r="AC183" s="3" t="str">
        <f ca="1">HYPERLINK("#"&amp;일위대가목록표!J2&amp;"!A"&amp;ROW(일위대가목록표!A4),"B01092 →")</f>
        <v>B01092 →</v>
      </c>
    </row>
    <row r="184" spans="1:29" ht="30.6" customHeight="1" x14ac:dyDescent="0.3">
      <c r="A184" s="197"/>
      <c r="B184" s="197"/>
      <c r="C184" s="189"/>
      <c r="D184" s="45">
        <v>29</v>
      </c>
      <c r="E184" s="212"/>
      <c r="F184" s="51">
        <f t="shared" si="36"/>
        <v>55265</v>
      </c>
      <c r="G184" s="59">
        <f t="shared" si="37"/>
        <v>1602685</v>
      </c>
      <c r="H184" s="69">
        <f>IF(D184=0,0,일위대가목록표!F4)</f>
        <v>44652</v>
      </c>
      <c r="I184" s="63">
        <f t="shared" si="38"/>
        <v>1294908</v>
      </c>
      <c r="J184" s="75">
        <f>IF(D184=0,0,일위대가목록표!G4)</f>
        <v>3830</v>
      </c>
      <c r="K184" s="63">
        <f t="shared" si="39"/>
        <v>111070</v>
      </c>
      <c r="L184" s="81">
        <f>IF(D184=0,0,일위대가목록표!H4)</f>
        <v>6783</v>
      </c>
      <c r="M184" s="73">
        <f t="shared" si="40"/>
        <v>196707</v>
      </c>
      <c r="N184" s="189"/>
      <c r="O184" s="17" t="s">
        <v>464</v>
      </c>
      <c r="P184" s="7" t="s">
        <v>463</v>
      </c>
      <c r="Q184" s="7" t="s">
        <v>345</v>
      </c>
    </row>
    <row r="185" spans="1:29" ht="30.6" customHeight="1" x14ac:dyDescent="0.3">
      <c r="A185" s="196"/>
      <c r="B185" s="196" t="s">
        <v>50</v>
      </c>
      <c r="C185" s="215" t="s">
        <v>51</v>
      </c>
      <c r="D185" s="44">
        <v>4.95</v>
      </c>
      <c r="E185" s="211" t="s">
        <v>52</v>
      </c>
      <c r="F185" s="50">
        <f t="shared" si="36"/>
        <v>18302</v>
      </c>
      <c r="G185" s="58">
        <f t="shared" si="37"/>
        <v>90593</v>
      </c>
      <c r="H185" s="68">
        <f>IF(D185=0,0,단가산출근거목록표!F5)</f>
        <v>13033</v>
      </c>
      <c r="I185" s="62">
        <f t="shared" si="38"/>
        <v>64513</v>
      </c>
      <c r="J185" s="74">
        <f>IF(D185=0,0,단가산출근거목록표!G5)</f>
        <v>1741</v>
      </c>
      <c r="K185" s="62">
        <f t="shared" si="39"/>
        <v>8617</v>
      </c>
      <c r="L185" s="80">
        <f>IF(D185=0,0,단가산출근거목록표!H5)</f>
        <v>3528</v>
      </c>
      <c r="M185" s="72">
        <f t="shared" si="40"/>
        <v>17463</v>
      </c>
      <c r="N185" s="213" t="s">
        <v>391</v>
      </c>
      <c r="O185" s="17" t="s">
        <v>388</v>
      </c>
      <c r="P185" s="7" t="s">
        <v>387</v>
      </c>
      <c r="Q185" s="7" t="s">
        <v>342</v>
      </c>
      <c r="AC185" s="3" t="str">
        <f ca="1">HYPERLINK("#"&amp;단가산출근거목록표!J2&amp;"!A"&amp;ROW(단가산출근거목록표!A5),"D01425 →")</f>
        <v>D01425 →</v>
      </c>
    </row>
    <row r="186" spans="1:29" ht="30.6" customHeight="1" x14ac:dyDescent="0.3">
      <c r="A186" s="197"/>
      <c r="B186" s="197"/>
      <c r="C186" s="189"/>
      <c r="D186" s="45">
        <v>4.3499999999999996</v>
      </c>
      <c r="E186" s="212"/>
      <c r="F186" s="51">
        <f t="shared" si="36"/>
        <v>18302</v>
      </c>
      <c r="G186" s="59">
        <f t="shared" si="37"/>
        <v>79612</v>
      </c>
      <c r="H186" s="69">
        <f>IF(D186=0,0,단가산출근거목록표!F5)</f>
        <v>13033</v>
      </c>
      <c r="I186" s="63">
        <f t="shared" si="38"/>
        <v>56693</v>
      </c>
      <c r="J186" s="75">
        <f>IF(D186=0,0,단가산출근거목록표!G5)</f>
        <v>1741</v>
      </c>
      <c r="K186" s="63">
        <f t="shared" si="39"/>
        <v>7573</v>
      </c>
      <c r="L186" s="81">
        <f>IF(D186=0,0,단가산출근거목록표!H5)</f>
        <v>3528</v>
      </c>
      <c r="M186" s="73">
        <f t="shared" si="40"/>
        <v>15346</v>
      </c>
      <c r="N186" s="189"/>
      <c r="O186" s="17" t="s">
        <v>390</v>
      </c>
      <c r="P186" s="7" t="s">
        <v>389</v>
      </c>
      <c r="Q186" s="7" t="s">
        <v>345</v>
      </c>
    </row>
    <row r="187" spans="1:29" ht="30.6" customHeight="1" x14ac:dyDescent="0.3">
      <c r="A187" s="196"/>
      <c r="B187" s="196" t="s">
        <v>60</v>
      </c>
      <c r="C187" s="215" t="s">
        <v>64</v>
      </c>
      <c r="D187" s="44">
        <v>0</v>
      </c>
      <c r="E187" s="211" t="s">
        <v>14</v>
      </c>
      <c r="F187" s="50">
        <f t="shared" si="36"/>
        <v>0</v>
      </c>
      <c r="G187" s="58">
        <f t="shared" si="37"/>
        <v>0</v>
      </c>
      <c r="H187" s="68">
        <f>IF(D187=0,0,단가산출근거목록표!F8)</f>
        <v>0</v>
      </c>
      <c r="I187" s="62">
        <f t="shared" si="38"/>
        <v>0</v>
      </c>
      <c r="J187" s="74">
        <f>IF(D187=0,0,단가산출근거목록표!G8)</f>
        <v>0</v>
      </c>
      <c r="K187" s="62">
        <f t="shared" si="39"/>
        <v>0</v>
      </c>
      <c r="L187" s="80">
        <f>IF(D187=0,0,단가산출근거목록표!H8)</f>
        <v>0</v>
      </c>
      <c r="M187" s="72">
        <f t="shared" si="40"/>
        <v>0</v>
      </c>
      <c r="N187" s="213" t="s">
        <v>440</v>
      </c>
      <c r="O187" s="17" t="s">
        <v>437</v>
      </c>
      <c r="P187" s="7" t="s">
        <v>436</v>
      </c>
      <c r="Q187" s="7" t="s">
        <v>342</v>
      </c>
      <c r="AC187" s="3" t="str">
        <f ca="1">HYPERLINK("#"&amp;단가산출근거목록표!J2&amp;"!A"&amp;ROW(단가산출근거목록표!A8),"D01438 →")</f>
        <v>D01438 →</v>
      </c>
    </row>
    <row r="188" spans="1:29" ht="30.6" customHeight="1" x14ac:dyDescent="0.3">
      <c r="A188" s="197"/>
      <c r="B188" s="197"/>
      <c r="C188" s="189"/>
      <c r="D188" s="45">
        <v>0</v>
      </c>
      <c r="E188" s="212"/>
      <c r="F188" s="51">
        <f t="shared" si="36"/>
        <v>0</v>
      </c>
      <c r="G188" s="59">
        <f t="shared" si="37"/>
        <v>0</v>
      </c>
      <c r="H188" s="69">
        <f>IF(D188=0,0,단가산출근거목록표!F8)</f>
        <v>0</v>
      </c>
      <c r="I188" s="63">
        <f t="shared" si="38"/>
        <v>0</v>
      </c>
      <c r="J188" s="75">
        <f>IF(D188=0,0,단가산출근거목록표!G8)</f>
        <v>0</v>
      </c>
      <c r="K188" s="63">
        <f t="shared" si="39"/>
        <v>0</v>
      </c>
      <c r="L188" s="81">
        <f>IF(D188=0,0,단가산출근거목록표!H8)</f>
        <v>0</v>
      </c>
      <c r="M188" s="73">
        <f t="shared" si="40"/>
        <v>0</v>
      </c>
      <c r="N188" s="189"/>
      <c r="O188" s="17" t="s">
        <v>439</v>
      </c>
      <c r="P188" s="7" t="s">
        <v>438</v>
      </c>
      <c r="Q188" s="7" t="s">
        <v>345</v>
      </c>
    </row>
    <row r="189" spans="1:29" ht="30.6" customHeight="1" x14ac:dyDescent="0.3">
      <c r="A189" s="207" t="s">
        <v>466</v>
      </c>
      <c r="B189" s="207" t="s">
        <v>467</v>
      </c>
      <c r="C189" s="209"/>
      <c r="D189" s="42"/>
      <c r="E189" s="211"/>
      <c r="F189" s="48">
        <v>0</v>
      </c>
      <c r="G189" s="54">
        <f>SUMIF(Q191:Q200,P189,G191:G200)</f>
        <v>0</v>
      </c>
      <c r="H189" s="62">
        <v>0</v>
      </c>
      <c r="I189" s="58">
        <f>SUMIF(Q191:Q200,P189,I191:I200)</f>
        <v>0</v>
      </c>
      <c r="J189" s="62">
        <v>0</v>
      </c>
      <c r="K189" s="76">
        <f>SUMIF(Q191:Q200,P189,K191:K200)</f>
        <v>0</v>
      </c>
      <c r="L189" s="72">
        <v>0</v>
      </c>
      <c r="M189" s="76">
        <f>SUMIF(Q191:Q200,P189,M191:M200)</f>
        <v>0</v>
      </c>
      <c r="N189" s="213"/>
      <c r="O189" s="17" t="str">
        <f>"_x0007_`COD|E2_x0005_`QTY1|1_x0005_`EXI|0_x0005_`ITT|0_x0005_`END|"&amp;ROW(M201)&amp;"_x0005_`"</f>
        <v>_x0007_`COD|E2_x0005_`QTY1|1_x0005_`EXI|0_x0005_`ITT|0_x0005_`END|201_x0005_`</v>
      </c>
      <c r="P189" s="7" t="s">
        <v>342</v>
      </c>
      <c r="Q189" s="7" t="s">
        <v>276</v>
      </c>
    </row>
    <row r="190" spans="1:29" ht="30.6" customHeight="1" x14ac:dyDescent="0.3">
      <c r="A190" s="208"/>
      <c r="B190" s="208"/>
      <c r="C190" s="210"/>
      <c r="D190" s="43"/>
      <c r="E190" s="212"/>
      <c r="F190" s="49">
        <v>0</v>
      </c>
      <c r="G190" s="55">
        <f>SUMIF(Q191:Q200,P190,G191:G200)</f>
        <v>6648268</v>
      </c>
      <c r="H190" s="63">
        <v>0</v>
      </c>
      <c r="I190" s="59">
        <f>SUMIF(Q191:Q200,P190,I191:I200)</f>
        <v>6206716</v>
      </c>
      <c r="J190" s="63">
        <v>0</v>
      </c>
      <c r="K190" s="77">
        <f>SUMIF(Q191:Q200,P190,K191:K200)</f>
        <v>221808</v>
      </c>
      <c r="L190" s="73">
        <v>0</v>
      </c>
      <c r="M190" s="77">
        <f>SUMIF(Q191:Q200,P190,M191:M200)</f>
        <v>219744</v>
      </c>
      <c r="N190" s="189"/>
      <c r="O190" s="17" t="str">
        <f>"_x0007_`COD|E2_x0005_`QTY2|2_x0005_`END|"&amp;ROW(M201)&amp;"_x0005_`"</f>
        <v>_x0007_`COD|E2_x0005_`QTY2|2_x0005_`END|201_x0005_`</v>
      </c>
      <c r="P190" s="7" t="s">
        <v>345</v>
      </c>
      <c r="Q190" s="7" t="s">
        <v>279</v>
      </c>
    </row>
    <row r="191" spans="1:29" ht="30.6" customHeight="1" x14ac:dyDescent="0.3">
      <c r="A191" s="196"/>
      <c r="B191" s="196" t="s">
        <v>71</v>
      </c>
      <c r="C191" s="215"/>
      <c r="D191" s="44">
        <v>0</v>
      </c>
      <c r="E191" s="211" t="s">
        <v>14</v>
      </c>
      <c r="F191" s="50">
        <f t="shared" ref="F191:F200" si="41">J191+H191+L191</f>
        <v>0</v>
      </c>
      <c r="G191" s="58">
        <f t="shared" ref="G191:G200" si="42">K191+I191+M191</f>
        <v>0</v>
      </c>
      <c r="H191" s="68">
        <f>IF(D191=0,0,단가산출근거목록표!F10)</f>
        <v>0</v>
      </c>
      <c r="I191" s="62">
        <f t="shared" ref="I191:I200" si="43">ROUNDDOWN(H191*D191,0)</f>
        <v>0</v>
      </c>
      <c r="J191" s="74">
        <f>IF(D191=0,0,단가산출근거목록표!G10)</f>
        <v>0</v>
      </c>
      <c r="K191" s="62">
        <f t="shared" ref="K191:K200" si="44">ROUNDDOWN(J191*D191,0)</f>
        <v>0</v>
      </c>
      <c r="L191" s="80">
        <f>IF(D191=0,0,단가산출근거목록표!H10)</f>
        <v>0</v>
      </c>
      <c r="M191" s="72">
        <f t="shared" ref="M191:M200" si="45">ROUNDDOWN(L191*D191,0)</f>
        <v>0</v>
      </c>
      <c r="N191" s="213" t="s">
        <v>472</v>
      </c>
      <c r="O191" s="17" t="s">
        <v>469</v>
      </c>
      <c r="P191" s="7" t="s">
        <v>468</v>
      </c>
      <c r="Q191" s="7" t="s">
        <v>342</v>
      </c>
      <c r="AC191" s="3" t="str">
        <f ca="1">HYPERLINK("#"&amp;단가산출근거목록표!J2&amp;"!A"&amp;ROW(단가산출근거목록표!A10),"D01441 →")</f>
        <v>D01441 →</v>
      </c>
    </row>
    <row r="192" spans="1:29" ht="30.6" customHeight="1" x14ac:dyDescent="0.3">
      <c r="A192" s="197"/>
      <c r="B192" s="197"/>
      <c r="C192" s="189"/>
      <c r="D192" s="45">
        <v>350</v>
      </c>
      <c r="E192" s="212"/>
      <c r="F192" s="51">
        <f t="shared" si="41"/>
        <v>137</v>
      </c>
      <c r="G192" s="59">
        <f t="shared" si="42"/>
        <v>47950</v>
      </c>
      <c r="H192" s="69">
        <f>IF(D192=0,0,단가산출근거목록표!F10)</f>
        <v>80</v>
      </c>
      <c r="I192" s="63">
        <f t="shared" si="43"/>
        <v>28000</v>
      </c>
      <c r="J192" s="75">
        <f>IF(D192=0,0,단가산출근거목록표!G10)</f>
        <v>24</v>
      </c>
      <c r="K192" s="63">
        <f t="shared" si="44"/>
        <v>8400</v>
      </c>
      <c r="L192" s="81">
        <f>IF(D192=0,0,단가산출근거목록표!H10)</f>
        <v>33</v>
      </c>
      <c r="M192" s="73">
        <f t="shared" si="45"/>
        <v>11550</v>
      </c>
      <c r="N192" s="189"/>
      <c r="O192" s="17" t="s">
        <v>471</v>
      </c>
      <c r="P192" s="7" t="s">
        <v>470</v>
      </c>
      <c r="Q192" s="7" t="s">
        <v>345</v>
      </c>
    </row>
    <row r="193" spans="1:29" ht="30.6" customHeight="1" x14ac:dyDescent="0.3">
      <c r="A193" s="196"/>
      <c r="B193" s="196" t="s">
        <v>27</v>
      </c>
      <c r="C193" s="215" t="s">
        <v>28</v>
      </c>
      <c r="D193" s="44">
        <v>0</v>
      </c>
      <c r="E193" s="211" t="s">
        <v>29</v>
      </c>
      <c r="F193" s="50">
        <f t="shared" si="41"/>
        <v>0</v>
      </c>
      <c r="G193" s="58">
        <f t="shared" si="42"/>
        <v>0</v>
      </c>
      <c r="H193" s="68">
        <f>IF(D193=0,0,일위대가목록표!F8)</f>
        <v>0</v>
      </c>
      <c r="I193" s="62">
        <f t="shared" si="43"/>
        <v>0</v>
      </c>
      <c r="J193" s="74">
        <f>IF(D193=0,0,일위대가목록표!G8)</f>
        <v>0</v>
      </c>
      <c r="K193" s="62">
        <f t="shared" si="44"/>
        <v>0</v>
      </c>
      <c r="L193" s="80">
        <f>IF(D193=0,0,일위대가목록표!H8)</f>
        <v>0</v>
      </c>
      <c r="M193" s="72">
        <f t="shared" si="45"/>
        <v>0</v>
      </c>
      <c r="N193" s="213" t="s">
        <v>477</v>
      </c>
      <c r="O193" s="17" t="s">
        <v>474</v>
      </c>
      <c r="P193" s="7" t="s">
        <v>473</v>
      </c>
      <c r="Q193" s="7" t="s">
        <v>342</v>
      </c>
      <c r="AC193" s="3" t="str">
        <f ca="1">HYPERLINK("#"&amp;일위대가목록표!J2&amp;"!A"&amp;ROW(일위대가목록표!A8),"B01097 →")</f>
        <v>B01097 →</v>
      </c>
    </row>
    <row r="194" spans="1:29" ht="30.6" customHeight="1" x14ac:dyDescent="0.3">
      <c r="A194" s="197"/>
      <c r="B194" s="197"/>
      <c r="C194" s="189"/>
      <c r="D194" s="45">
        <v>46</v>
      </c>
      <c r="E194" s="212"/>
      <c r="F194" s="51">
        <f t="shared" si="41"/>
        <v>12556</v>
      </c>
      <c r="G194" s="59">
        <f t="shared" si="42"/>
        <v>577576</v>
      </c>
      <c r="H194" s="69">
        <f>IF(D194=0,0,일위대가목록표!F8)</f>
        <v>9348</v>
      </c>
      <c r="I194" s="63">
        <f t="shared" si="43"/>
        <v>430008</v>
      </c>
      <c r="J194" s="75">
        <f>IF(D194=0,0,일위대가목록표!G8)</f>
        <v>1154</v>
      </c>
      <c r="K194" s="63">
        <f t="shared" si="44"/>
        <v>53084</v>
      </c>
      <c r="L194" s="81">
        <f>IF(D194=0,0,일위대가목록표!H8)</f>
        <v>2054</v>
      </c>
      <c r="M194" s="73">
        <f t="shared" si="45"/>
        <v>94484</v>
      </c>
      <c r="N194" s="189"/>
      <c r="O194" s="17" t="s">
        <v>476</v>
      </c>
      <c r="P194" s="7" t="s">
        <v>475</v>
      </c>
      <c r="Q194" s="7" t="s">
        <v>345</v>
      </c>
    </row>
    <row r="195" spans="1:29" ht="30.6" customHeight="1" x14ac:dyDescent="0.3">
      <c r="A195" s="196"/>
      <c r="B195" s="196" t="s">
        <v>35</v>
      </c>
      <c r="C195" s="215" t="s">
        <v>36</v>
      </c>
      <c r="D195" s="44">
        <v>0</v>
      </c>
      <c r="E195" s="211" t="s">
        <v>37</v>
      </c>
      <c r="F195" s="50">
        <f t="shared" si="41"/>
        <v>0</v>
      </c>
      <c r="G195" s="58">
        <f t="shared" si="42"/>
        <v>0</v>
      </c>
      <c r="H195" s="68">
        <f>IF(D195=0,0,일위대가목록표!F10)</f>
        <v>0</v>
      </c>
      <c r="I195" s="62">
        <f t="shared" si="43"/>
        <v>0</v>
      </c>
      <c r="J195" s="74">
        <f>IF(D195=0,0,일위대가목록표!G10)</f>
        <v>0</v>
      </c>
      <c r="K195" s="62">
        <f t="shared" si="44"/>
        <v>0</v>
      </c>
      <c r="L195" s="80">
        <f>IF(D195=0,0,일위대가목록표!H10)</f>
        <v>0</v>
      </c>
      <c r="M195" s="72">
        <f t="shared" si="45"/>
        <v>0</v>
      </c>
      <c r="N195" s="213" t="s">
        <v>482</v>
      </c>
      <c r="O195" s="17" t="s">
        <v>479</v>
      </c>
      <c r="P195" s="7" t="s">
        <v>478</v>
      </c>
      <c r="Q195" s="7" t="s">
        <v>342</v>
      </c>
      <c r="AC195" s="3" t="str">
        <f ca="1">HYPERLINK("#"&amp;일위대가목록표!J2&amp;"!A"&amp;ROW(일위대가목록표!A10),"B01099 →")</f>
        <v>B01099 →</v>
      </c>
    </row>
    <row r="196" spans="1:29" ht="30.6" customHeight="1" x14ac:dyDescent="0.3">
      <c r="A196" s="197"/>
      <c r="B196" s="197"/>
      <c r="C196" s="189"/>
      <c r="D196" s="45">
        <v>150</v>
      </c>
      <c r="E196" s="212"/>
      <c r="F196" s="51">
        <f t="shared" si="41"/>
        <v>37029</v>
      </c>
      <c r="G196" s="59">
        <f t="shared" si="42"/>
        <v>5554350</v>
      </c>
      <c r="H196" s="69">
        <f>IF(D196=0,0,일위대가목록표!F10)</f>
        <v>36537</v>
      </c>
      <c r="I196" s="63">
        <f t="shared" si="43"/>
        <v>5480550</v>
      </c>
      <c r="J196" s="75">
        <f>IF(D196=0,0,일위대가목록표!G10)</f>
        <v>492</v>
      </c>
      <c r="K196" s="63">
        <f t="shared" si="44"/>
        <v>73800</v>
      </c>
      <c r="L196" s="81">
        <f>IF(D196=0,0,일위대가목록표!H10)</f>
        <v>0</v>
      </c>
      <c r="M196" s="73">
        <f t="shared" si="45"/>
        <v>0</v>
      </c>
      <c r="N196" s="189"/>
      <c r="O196" s="17" t="s">
        <v>481</v>
      </c>
      <c r="P196" s="7" t="s">
        <v>480</v>
      </c>
      <c r="Q196" s="7" t="s">
        <v>345</v>
      </c>
    </row>
    <row r="197" spans="1:29" ht="30.6" customHeight="1" x14ac:dyDescent="0.3">
      <c r="A197" s="196"/>
      <c r="B197" s="196" t="s">
        <v>78</v>
      </c>
      <c r="C197" s="215"/>
      <c r="D197" s="44">
        <v>0</v>
      </c>
      <c r="E197" s="211" t="s">
        <v>29</v>
      </c>
      <c r="F197" s="50">
        <f t="shared" si="41"/>
        <v>0</v>
      </c>
      <c r="G197" s="58">
        <f t="shared" si="42"/>
        <v>0</v>
      </c>
      <c r="H197" s="68">
        <f>IF(D197=0,0,단가산출근거목록표!F12)</f>
        <v>0</v>
      </c>
      <c r="I197" s="62">
        <f t="shared" si="43"/>
        <v>0</v>
      </c>
      <c r="J197" s="74">
        <f>IF(D197=0,0,단가산출근거목록표!G12)</f>
        <v>0</v>
      </c>
      <c r="K197" s="62">
        <f t="shared" si="44"/>
        <v>0</v>
      </c>
      <c r="L197" s="80">
        <f>IF(D197=0,0,단가산출근거목록표!H12)</f>
        <v>0</v>
      </c>
      <c r="M197" s="72">
        <f t="shared" si="45"/>
        <v>0</v>
      </c>
      <c r="N197" s="213" t="s">
        <v>487</v>
      </c>
      <c r="O197" s="17" t="s">
        <v>484</v>
      </c>
      <c r="P197" s="7" t="s">
        <v>483</v>
      </c>
      <c r="Q197" s="7" t="s">
        <v>342</v>
      </c>
      <c r="AC197" s="3" t="str">
        <f ca="1">HYPERLINK("#"&amp;단가산출근거목록표!J2&amp;"!A"&amp;ROW(단가산출근거목록표!A12),"D01443 →")</f>
        <v>D01443 →</v>
      </c>
    </row>
    <row r="198" spans="1:29" ht="30.6" customHeight="1" x14ac:dyDescent="0.3">
      <c r="A198" s="197"/>
      <c r="B198" s="197"/>
      <c r="C198" s="189"/>
      <c r="D198" s="45">
        <v>270</v>
      </c>
      <c r="E198" s="212"/>
      <c r="F198" s="51">
        <f t="shared" si="41"/>
        <v>1114</v>
      </c>
      <c r="G198" s="59">
        <f t="shared" si="42"/>
        <v>300780</v>
      </c>
      <c r="H198" s="69">
        <f>IF(D198=0,0,단가산출근거목록표!F12)</f>
        <v>644</v>
      </c>
      <c r="I198" s="63">
        <f t="shared" si="43"/>
        <v>173880</v>
      </c>
      <c r="J198" s="75">
        <f>IF(D198=0,0,단가산출근거목록표!G12)</f>
        <v>200</v>
      </c>
      <c r="K198" s="63">
        <f t="shared" si="44"/>
        <v>54000</v>
      </c>
      <c r="L198" s="81">
        <f>IF(D198=0,0,단가산출근거목록표!H12)</f>
        <v>270</v>
      </c>
      <c r="M198" s="73">
        <f t="shared" si="45"/>
        <v>72900</v>
      </c>
      <c r="N198" s="189"/>
      <c r="O198" s="17" t="s">
        <v>486</v>
      </c>
      <c r="P198" s="7" t="s">
        <v>485</v>
      </c>
      <c r="Q198" s="7" t="s">
        <v>345</v>
      </c>
    </row>
    <row r="199" spans="1:29" ht="30.6" customHeight="1" x14ac:dyDescent="0.3">
      <c r="A199" s="196"/>
      <c r="B199" s="196" t="s">
        <v>74</v>
      </c>
      <c r="C199" s="215" t="s">
        <v>75</v>
      </c>
      <c r="D199" s="44">
        <v>0</v>
      </c>
      <c r="E199" s="211" t="s">
        <v>52</v>
      </c>
      <c r="F199" s="50">
        <f t="shared" si="41"/>
        <v>0</v>
      </c>
      <c r="G199" s="58">
        <f t="shared" si="42"/>
        <v>0</v>
      </c>
      <c r="H199" s="68">
        <f>IF(D199=0,0,단가산출근거목록표!F11)</f>
        <v>0</v>
      </c>
      <c r="I199" s="62">
        <f t="shared" si="43"/>
        <v>0</v>
      </c>
      <c r="J199" s="74">
        <f>IF(D199=0,0,단가산출근거목록표!G11)</f>
        <v>0</v>
      </c>
      <c r="K199" s="62">
        <f t="shared" si="44"/>
        <v>0</v>
      </c>
      <c r="L199" s="80">
        <f>IF(D199=0,0,단가산출근거목록표!H11)</f>
        <v>0</v>
      </c>
      <c r="M199" s="72">
        <f t="shared" si="45"/>
        <v>0</v>
      </c>
      <c r="N199" s="213" t="s">
        <v>492</v>
      </c>
      <c r="O199" s="17" t="s">
        <v>489</v>
      </c>
      <c r="P199" s="7" t="s">
        <v>488</v>
      </c>
      <c r="Q199" s="7" t="s">
        <v>342</v>
      </c>
      <c r="AC199" s="3" t="str">
        <f ca="1">HYPERLINK("#"&amp;단가산출근거목록표!J2&amp;"!A"&amp;ROW(단가산출근거목록표!A11),"D01442 →")</f>
        <v>D01442 →</v>
      </c>
    </row>
    <row r="200" spans="1:29" ht="30.6" customHeight="1" x14ac:dyDescent="0.3">
      <c r="A200" s="197"/>
      <c r="B200" s="197"/>
      <c r="C200" s="189"/>
      <c r="D200" s="45">
        <v>30.8</v>
      </c>
      <c r="E200" s="212"/>
      <c r="F200" s="51">
        <f t="shared" si="41"/>
        <v>5442</v>
      </c>
      <c r="G200" s="59">
        <f t="shared" si="42"/>
        <v>167612</v>
      </c>
      <c r="H200" s="69">
        <f>IF(D200=0,0,단가산출근거목록표!F11)</f>
        <v>3061</v>
      </c>
      <c r="I200" s="63">
        <f t="shared" si="43"/>
        <v>94278</v>
      </c>
      <c r="J200" s="75">
        <f>IF(D200=0,0,단가산출근거목록표!G11)</f>
        <v>1056</v>
      </c>
      <c r="K200" s="63">
        <f t="shared" si="44"/>
        <v>32524</v>
      </c>
      <c r="L200" s="81">
        <f>IF(D200=0,0,단가산출근거목록표!H11)</f>
        <v>1325</v>
      </c>
      <c r="M200" s="73">
        <f t="shared" si="45"/>
        <v>40810</v>
      </c>
      <c r="N200" s="189"/>
      <c r="O200" s="17" t="s">
        <v>491</v>
      </c>
      <c r="P200" s="7" t="s">
        <v>490</v>
      </c>
      <c r="Q200" s="7" t="s">
        <v>345</v>
      </c>
    </row>
    <row r="201" spans="1:29" ht="30.6" customHeight="1" x14ac:dyDescent="0.3">
      <c r="A201" s="214"/>
      <c r="B201" s="214"/>
      <c r="C201" s="188"/>
      <c r="D201" s="42"/>
      <c r="E201" s="211"/>
      <c r="F201" s="48">
        <v>0</v>
      </c>
      <c r="G201" s="56"/>
      <c r="H201" s="64"/>
      <c r="I201" s="64"/>
      <c r="J201" s="64"/>
      <c r="K201" s="64"/>
      <c r="L201" s="64"/>
      <c r="M201" s="82"/>
      <c r="N201" s="213"/>
      <c r="O201" s="17" t="s">
        <v>265</v>
      </c>
      <c r="P201" s="7" t="s">
        <v>263</v>
      </c>
      <c r="Q201" s="7" t="s">
        <v>264</v>
      </c>
    </row>
    <row r="202" spans="1:29" ht="30.6" customHeight="1" x14ac:dyDescent="0.3">
      <c r="A202" s="197"/>
      <c r="B202" s="197"/>
      <c r="C202" s="189"/>
      <c r="D202" s="43"/>
      <c r="E202" s="212"/>
      <c r="F202" s="49">
        <v>0</v>
      </c>
      <c r="G202" s="57"/>
      <c r="H202" s="65"/>
      <c r="I202" s="65"/>
      <c r="J202" s="65"/>
      <c r="K202" s="65"/>
      <c r="L202" s="65"/>
      <c r="M202" s="83"/>
      <c r="N202" s="189"/>
      <c r="O202" s="17" t="s">
        <v>268</v>
      </c>
      <c r="P202" s="7" t="s">
        <v>266</v>
      </c>
      <c r="Q202" s="7" t="s">
        <v>267</v>
      </c>
    </row>
    <row r="203" spans="1:29" ht="30.6" customHeight="1" x14ac:dyDescent="0.3">
      <c r="A203" s="207" t="s">
        <v>466</v>
      </c>
      <c r="B203" s="207" t="s">
        <v>454</v>
      </c>
      <c r="C203" s="209"/>
      <c r="D203" s="42"/>
      <c r="E203" s="211"/>
      <c r="F203" s="48">
        <v>0</v>
      </c>
      <c r="G203" s="54">
        <f>SUMIF(Q205:Q210,P203,G205:G210)</f>
        <v>2426970</v>
      </c>
      <c r="H203" s="62">
        <v>0</v>
      </c>
      <c r="I203" s="58">
        <f>SUMIF(Q205:Q210,P203,I205:I210)</f>
        <v>2184870</v>
      </c>
      <c r="J203" s="62">
        <v>0</v>
      </c>
      <c r="K203" s="76">
        <f>SUMIF(Q205:Q210,P203,K205:K210)</f>
        <v>242100</v>
      </c>
      <c r="L203" s="72">
        <v>0</v>
      </c>
      <c r="M203" s="76">
        <f>SUMIF(Q205:Q210,P203,M205:M210)</f>
        <v>0</v>
      </c>
      <c r="N203" s="213"/>
      <c r="O203" s="17" t="str">
        <f>"_x0007_`COD|E3_x0005_`QTY1|1_x0005_`EXI|0_x0005_`ITT|0_x0005_`END|"&amp;ROW(M211)&amp;"_x0005_`"</f>
        <v>_x0007_`COD|E3_x0005_`QTY1|1_x0005_`EXI|0_x0005_`ITT|0_x0005_`END|211_x0005_`</v>
      </c>
      <c r="P203" s="7" t="s">
        <v>276</v>
      </c>
      <c r="Q203" s="7" t="s">
        <v>264</v>
      </c>
    </row>
    <row r="204" spans="1:29" ht="30.6" customHeight="1" x14ac:dyDescent="0.3">
      <c r="A204" s="208"/>
      <c r="B204" s="208"/>
      <c r="C204" s="210"/>
      <c r="D204" s="43"/>
      <c r="E204" s="212"/>
      <c r="F204" s="49">
        <v>0</v>
      </c>
      <c r="G204" s="55">
        <f>SUMIF(Q205:Q210,P204,G205:G210)</f>
        <v>1584800</v>
      </c>
      <c r="H204" s="63">
        <v>0</v>
      </c>
      <c r="I204" s="59">
        <f>SUMIF(Q205:Q210,P204,I205:I210)</f>
        <v>1369600</v>
      </c>
      <c r="J204" s="63">
        <v>0</v>
      </c>
      <c r="K204" s="77">
        <f>SUMIF(Q205:Q210,P204,K205:K210)</f>
        <v>215200</v>
      </c>
      <c r="L204" s="73">
        <v>0</v>
      </c>
      <c r="M204" s="77">
        <f>SUMIF(Q205:Q210,P204,M205:M210)</f>
        <v>0</v>
      </c>
      <c r="N204" s="189"/>
      <c r="O204" s="17" t="str">
        <f>"_x0007_`COD|E3_x0005_`QTY2|2_x0005_`END|"&amp;ROW(M211)&amp;"_x0005_`"</f>
        <v>_x0007_`COD|E3_x0005_`QTY2|2_x0005_`END|211_x0005_`</v>
      </c>
      <c r="P204" s="7" t="s">
        <v>279</v>
      </c>
      <c r="Q204" s="7" t="s">
        <v>267</v>
      </c>
    </row>
    <row r="205" spans="1:29" ht="30.6" customHeight="1" x14ac:dyDescent="0.3">
      <c r="A205" s="196"/>
      <c r="B205" s="196" t="s">
        <v>494</v>
      </c>
      <c r="C205" s="215" t="s">
        <v>495</v>
      </c>
      <c r="D205" s="44">
        <v>350</v>
      </c>
      <c r="E205" s="211" t="s">
        <v>29</v>
      </c>
      <c r="F205" s="50">
        <f t="shared" ref="F205:G210" si="46">J205+H205+L205</f>
        <v>2265</v>
      </c>
      <c r="G205" s="58">
        <f t="shared" si="46"/>
        <v>792750</v>
      </c>
      <c r="H205" s="66">
        <v>2265</v>
      </c>
      <c r="I205" s="70">
        <f t="shared" ref="I205:I210" si="47">ROUNDDOWN(H205*D205,0)</f>
        <v>792750</v>
      </c>
      <c r="J205" s="66">
        <v>0</v>
      </c>
      <c r="K205" s="72">
        <f t="shared" ref="K205:K210" si="48">ROUNDDOWN(J205*D205,0)</f>
        <v>0</v>
      </c>
      <c r="L205" s="78">
        <v>0</v>
      </c>
      <c r="M205" s="72">
        <f t="shared" ref="M205:M210" si="49">ROUNDDOWN(L205*D205,0)</f>
        <v>0</v>
      </c>
      <c r="N205" s="213" t="s">
        <v>496</v>
      </c>
      <c r="O205" s="17" t="s">
        <v>413</v>
      </c>
      <c r="P205" s="7" t="s">
        <v>453</v>
      </c>
      <c r="Q205" s="7" t="s">
        <v>276</v>
      </c>
    </row>
    <row r="206" spans="1:29" ht="30.6" customHeight="1" x14ac:dyDescent="0.3">
      <c r="A206" s="197"/>
      <c r="B206" s="197"/>
      <c r="C206" s="189"/>
      <c r="D206" s="45">
        <v>0</v>
      </c>
      <c r="E206" s="212"/>
      <c r="F206" s="51">
        <f t="shared" si="46"/>
        <v>0</v>
      </c>
      <c r="G206" s="59">
        <f t="shared" si="46"/>
        <v>0</v>
      </c>
      <c r="H206" s="67">
        <v>0</v>
      </c>
      <c r="I206" s="71">
        <f t="shared" si="47"/>
        <v>0</v>
      </c>
      <c r="J206" s="67">
        <v>0</v>
      </c>
      <c r="K206" s="73">
        <f t="shared" si="48"/>
        <v>0</v>
      </c>
      <c r="L206" s="79">
        <v>0</v>
      </c>
      <c r="M206" s="73">
        <f t="shared" si="49"/>
        <v>0</v>
      </c>
      <c r="N206" s="189"/>
      <c r="O206" s="17" t="s">
        <v>493</v>
      </c>
      <c r="P206" s="7" t="s">
        <v>447</v>
      </c>
      <c r="Q206" s="7" t="s">
        <v>279</v>
      </c>
    </row>
    <row r="207" spans="1:29" ht="30.6" customHeight="1" x14ac:dyDescent="0.3">
      <c r="A207" s="196"/>
      <c r="B207" s="196" t="s">
        <v>501</v>
      </c>
      <c r="C207" s="215" t="s">
        <v>502</v>
      </c>
      <c r="D207" s="44">
        <v>30</v>
      </c>
      <c r="E207" s="211" t="s">
        <v>14</v>
      </c>
      <c r="F207" s="50">
        <f t="shared" si="46"/>
        <v>5664</v>
      </c>
      <c r="G207" s="58">
        <f t="shared" si="46"/>
        <v>169920</v>
      </c>
      <c r="H207" s="66">
        <v>5664</v>
      </c>
      <c r="I207" s="70">
        <f t="shared" si="47"/>
        <v>169920</v>
      </c>
      <c r="J207" s="66">
        <v>0</v>
      </c>
      <c r="K207" s="72">
        <f t="shared" si="48"/>
        <v>0</v>
      </c>
      <c r="L207" s="78">
        <v>0</v>
      </c>
      <c r="M207" s="72">
        <f t="shared" si="49"/>
        <v>0</v>
      </c>
      <c r="N207" s="213" t="s">
        <v>503</v>
      </c>
      <c r="O207" s="17" t="s">
        <v>498</v>
      </c>
      <c r="P207" s="7" t="s">
        <v>497</v>
      </c>
      <c r="Q207" s="7" t="s">
        <v>276</v>
      </c>
    </row>
    <row r="208" spans="1:29" ht="30.6" customHeight="1" x14ac:dyDescent="0.3">
      <c r="A208" s="197"/>
      <c r="B208" s="197"/>
      <c r="C208" s="189"/>
      <c r="D208" s="45">
        <v>50</v>
      </c>
      <c r="E208" s="212"/>
      <c r="F208" s="51">
        <f t="shared" si="46"/>
        <v>5664</v>
      </c>
      <c r="G208" s="59">
        <f t="shared" si="46"/>
        <v>283200</v>
      </c>
      <c r="H208" s="67">
        <v>5664</v>
      </c>
      <c r="I208" s="71">
        <f t="shared" si="47"/>
        <v>283200</v>
      </c>
      <c r="J208" s="67">
        <v>0</v>
      </c>
      <c r="K208" s="73">
        <f t="shared" si="48"/>
        <v>0</v>
      </c>
      <c r="L208" s="79">
        <v>0</v>
      </c>
      <c r="M208" s="73">
        <f t="shared" si="49"/>
        <v>0</v>
      </c>
      <c r="N208" s="189"/>
      <c r="O208" s="17" t="s">
        <v>500</v>
      </c>
      <c r="P208" s="7" t="s">
        <v>499</v>
      </c>
      <c r="Q208" s="7" t="s">
        <v>279</v>
      </c>
    </row>
    <row r="209" spans="1:17" ht="30.6" customHeight="1" x14ac:dyDescent="0.3">
      <c r="A209" s="196"/>
      <c r="B209" s="196" t="s">
        <v>508</v>
      </c>
      <c r="C209" s="215" t="s">
        <v>509</v>
      </c>
      <c r="D209" s="44">
        <v>900</v>
      </c>
      <c r="E209" s="211" t="s">
        <v>29</v>
      </c>
      <c r="F209" s="50">
        <f t="shared" si="46"/>
        <v>1627</v>
      </c>
      <c r="G209" s="58">
        <f t="shared" si="46"/>
        <v>1464300</v>
      </c>
      <c r="H209" s="66">
        <v>1358</v>
      </c>
      <c r="I209" s="70">
        <f t="shared" si="47"/>
        <v>1222200</v>
      </c>
      <c r="J209" s="66">
        <v>269</v>
      </c>
      <c r="K209" s="72">
        <f t="shared" si="48"/>
        <v>242100</v>
      </c>
      <c r="L209" s="78">
        <v>0</v>
      </c>
      <c r="M209" s="72">
        <f t="shared" si="49"/>
        <v>0</v>
      </c>
      <c r="N209" s="213" t="s">
        <v>510</v>
      </c>
      <c r="O209" s="17" t="s">
        <v>505</v>
      </c>
      <c r="P209" s="7" t="s">
        <v>504</v>
      </c>
      <c r="Q209" s="7" t="s">
        <v>276</v>
      </c>
    </row>
    <row r="210" spans="1:17" ht="30.6" customHeight="1" x14ac:dyDescent="0.3">
      <c r="A210" s="197"/>
      <c r="B210" s="197"/>
      <c r="C210" s="189"/>
      <c r="D210" s="45">
        <v>800</v>
      </c>
      <c r="E210" s="212"/>
      <c r="F210" s="51">
        <f t="shared" si="46"/>
        <v>1627</v>
      </c>
      <c r="G210" s="59">
        <f t="shared" si="46"/>
        <v>1301600</v>
      </c>
      <c r="H210" s="67">
        <v>1358</v>
      </c>
      <c r="I210" s="71">
        <f t="shared" si="47"/>
        <v>1086400</v>
      </c>
      <c r="J210" s="67">
        <v>269</v>
      </c>
      <c r="K210" s="73">
        <f t="shared" si="48"/>
        <v>215200</v>
      </c>
      <c r="L210" s="79">
        <v>0</v>
      </c>
      <c r="M210" s="73">
        <f t="shared" si="49"/>
        <v>0</v>
      </c>
      <c r="N210" s="189"/>
      <c r="O210" s="17" t="s">
        <v>507</v>
      </c>
      <c r="P210" s="7" t="s">
        <v>506</v>
      </c>
      <c r="Q210" s="7" t="s">
        <v>279</v>
      </c>
    </row>
    <row r="211" spans="1:17" ht="30.6" customHeight="1" x14ac:dyDescent="0.3">
      <c r="A211" s="214"/>
      <c r="B211" s="214"/>
      <c r="C211" s="188"/>
      <c r="D211" s="42"/>
      <c r="E211" s="211"/>
      <c r="F211" s="48">
        <v>0</v>
      </c>
      <c r="G211" s="56"/>
      <c r="H211" s="64"/>
      <c r="I211" s="64"/>
      <c r="J211" s="64"/>
      <c r="K211" s="64"/>
      <c r="L211" s="64"/>
      <c r="M211" s="82"/>
      <c r="N211" s="213"/>
      <c r="O211" s="17" t="s">
        <v>265</v>
      </c>
      <c r="P211" s="7" t="s">
        <v>263</v>
      </c>
      <c r="Q211" s="7" t="s">
        <v>264</v>
      </c>
    </row>
    <row r="212" spans="1:17" ht="30.6" customHeight="1" x14ac:dyDescent="0.3">
      <c r="A212" s="197"/>
      <c r="B212" s="197"/>
      <c r="C212" s="189"/>
      <c r="D212" s="43"/>
      <c r="E212" s="212"/>
      <c r="F212" s="49">
        <v>0</v>
      </c>
      <c r="G212" s="57"/>
      <c r="H212" s="65"/>
      <c r="I212" s="65"/>
      <c r="J212" s="65"/>
      <c r="K212" s="65"/>
      <c r="L212" s="65"/>
      <c r="M212" s="83"/>
      <c r="N212" s="189"/>
      <c r="O212" s="17" t="s">
        <v>268</v>
      </c>
      <c r="P212" s="7" t="s">
        <v>266</v>
      </c>
      <c r="Q212" s="7" t="s">
        <v>267</v>
      </c>
    </row>
    <row r="213" spans="1:17" ht="30.6" customHeight="1" x14ac:dyDescent="0.3">
      <c r="A213" s="207" t="s">
        <v>511</v>
      </c>
      <c r="B213" s="207" t="s">
        <v>512</v>
      </c>
      <c r="C213" s="209"/>
      <c r="D213" s="42"/>
      <c r="E213" s="211"/>
      <c r="F213" s="48">
        <v>0</v>
      </c>
      <c r="G213" s="54">
        <f>SUMIF(Q215:Q240,P213,G215:G240)</f>
        <v>13508318</v>
      </c>
      <c r="H213" s="62">
        <v>0</v>
      </c>
      <c r="I213" s="58">
        <f>SUMIF(Q215:Q240,P213,I215:I240)</f>
        <v>0</v>
      </c>
      <c r="J213" s="62">
        <v>0</v>
      </c>
      <c r="K213" s="76">
        <f>SUMIF(Q215:Q240,P213,K215:K240)</f>
        <v>0</v>
      </c>
      <c r="L213" s="72">
        <v>0</v>
      </c>
      <c r="M213" s="76">
        <f>SUMIF(Q215:Q240,P213,M215:M240)</f>
        <v>13508318</v>
      </c>
      <c r="N213" s="213"/>
      <c r="O213" s="17" t="str">
        <f>"_x0007_`COD|E3_x0005_`QTY1|1_x0005_`EXI|0_x0005_`ITT|0_x0005_`END|"&amp;ROW(M241)&amp;"_x0005_`"</f>
        <v>_x0007_`COD|E3_x0005_`QTY1|1_x0005_`EXI|0_x0005_`ITT|0_x0005_`END|241_x0005_`</v>
      </c>
      <c r="P213" s="7" t="s">
        <v>276</v>
      </c>
      <c r="Q213" s="7" t="s">
        <v>264</v>
      </c>
    </row>
    <row r="214" spans="1:17" ht="30.6" customHeight="1" x14ac:dyDescent="0.3">
      <c r="A214" s="208"/>
      <c r="B214" s="208"/>
      <c r="C214" s="210"/>
      <c r="D214" s="43"/>
      <c r="E214" s="212"/>
      <c r="F214" s="49">
        <v>0</v>
      </c>
      <c r="G214" s="55">
        <f>SUMIF(Q215:Q240,P214,G215:G240)</f>
        <v>9644676</v>
      </c>
      <c r="H214" s="63">
        <v>0</v>
      </c>
      <c r="I214" s="59">
        <f>SUMIF(Q215:Q240,P214,I215:I240)</f>
        <v>0</v>
      </c>
      <c r="J214" s="63">
        <v>0</v>
      </c>
      <c r="K214" s="77">
        <f>SUMIF(Q215:Q240,P214,K215:K240)</f>
        <v>0</v>
      </c>
      <c r="L214" s="73">
        <v>0</v>
      </c>
      <c r="M214" s="77">
        <f>SUMIF(Q215:Q240,P214,M215:M240)</f>
        <v>9644676</v>
      </c>
      <c r="N214" s="189"/>
      <c r="O214" s="17" t="str">
        <f>"_x0007_`COD|E3_x0005_`QTY2|2_x0005_`END|"&amp;ROW(M241)&amp;"_x0005_`"</f>
        <v>_x0007_`COD|E3_x0005_`QTY2|2_x0005_`END|241_x0005_`</v>
      </c>
      <c r="P214" s="7" t="s">
        <v>279</v>
      </c>
      <c r="Q214" s="7" t="s">
        <v>267</v>
      </c>
    </row>
    <row r="215" spans="1:17" ht="30.6" customHeight="1" x14ac:dyDescent="0.3">
      <c r="A215" s="196"/>
      <c r="B215" s="196" t="s">
        <v>517</v>
      </c>
      <c r="C215" s="215" t="s">
        <v>518</v>
      </c>
      <c r="D215" s="44">
        <v>1</v>
      </c>
      <c r="E215" s="211" t="s">
        <v>519</v>
      </c>
      <c r="F215" s="50">
        <f t="shared" ref="F215:F240" si="50">J215+H215+L215</f>
        <v>510083</v>
      </c>
      <c r="G215" s="58">
        <f t="shared" ref="G215:G240" si="51">K215+I215+M215</f>
        <v>510083</v>
      </c>
      <c r="H215" s="66">
        <v>0</v>
      </c>
      <c r="I215" s="70">
        <f t="shared" ref="I215:I240" si="52">ROUNDDOWN(H215*D215,0)</f>
        <v>0</v>
      </c>
      <c r="J215" s="66">
        <v>0</v>
      </c>
      <c r="K215" s="72">
        <f t="shared" ref="K215:K240" si="53">ROUNDDOWN(J215*D215,0)</f>
        <v>0</v>
      </c>
      <c r="L215" s="78">
        <v>510083</v>
      </c>
      <c r="M215" s="72">
        <f t="shared" ref="M215:M240" si="54">ROUNDDOWN(L215*D215,0)</f>
        <v>510083</v>
      </c>
      <c r="N215" s="213" t="s">
        <v>520</v>
      </c>
      <c r="O215" s="17" t="s">
        <v>514</v>
      </c>
      <c r="P215" s="7" t="s">
        <v>513</v>
      </c>
      <c r="Q215" s="7" t="s">
        <v>276</v>
      </c>
    </row>
    <row r="216" spans="1:17" ht="30.6" customHeight="1" x14ac:dyDescent="0.3">
      <c r="A216" s="197"/>
      <c r="B216" s="197"/>
      <c r="C216" s="189"/>
      <c r="D216" s="45">
        <v>1</v>
      </c>
      <c r="E216" s="212"/>
      <c r="F216" s="51">
        <f t="shared" si="50"/>
        <v>510083</v>
      </c>
      <c r="G216" s="59">
        <f t="shared" si="51"/>
        <v>510083</v>
      </c>
      <c r="H216" s="67">
        <v>0</v>
      </c>
      <c r="I216" s="71">
        <f t="shared" si="52"/>
        <v>0</v>
      </c>
      <c r="J216" s="67">
        <v>0</v>
      </c>
      <c r="K216" s="73">
        <f t="shared" si="53"/>
        <v>0</v>
      </c>
      <c r="L216" s="79">
        <v>510083</v>
      </c>
      <c r="M216" s="73">
        <f t="shared" si="54"/>
        <v>510083</v>
      </c>
      <c r="N216" s="189"/>
      <c r="O216" s="17" t="s">
        <v>516</v>
      </c>
      <c r="P216" s="7" t="s">
        <v>515</v>
      </c>
      <c r="Q216" s="7" t="s">
        <v>279</v>
      </c>
    </row>
    <row r="217" spans="1:17" ht="30.6" customHeight="1" x14ac:dyDescent="0.3">
      <c r="A217" s="196"/>
      <c r="B217" s="196" t="s">
        <v>525</v>
      </c>
      <c r="C217" s="215" t="s">
        <v>518</v>
      </c>
      <c r="D217" s="44">
        <v>1</v>
      </c>
      <c r="E217" s="211" t="s">
        <v>519</v>
      </c>
      <c r="F217" s="50">
        <f t="shared" si="50"/>
        <v>71263</v>
      </c>
      <c r="G217" s="58">
        <f t="shared" si="51"/>
        <v>71263</v>
      </c>
      <c r="H217" s="66">
        <v>0</v>
      </c>
      <c r="I217" s="70">
        <f t="shared" si="52"/>
        <v>0</v>
      </c>
      <c r="J217" s="66">
        <v>0</v>
      </c>
      <c r="K217" s="72">
        <f t="shared" si="53"/>
        <v>0</v>
      </c>
      <c r="L217" s="78">
        <v>71263</v>
      </c>
      <c r="M217" s="72">
        <f t="shared" si="54"/>
        <v>71263</v>
      </c>
      <c r="N217" s="213" t="s">
        <v>526</v>
      </c>
      <c r="O217" s="17" t="s">
        <v>522</v>
      </c>
      <c r="P217" s="7" t="s">
        <v>521</v>
      </c>
      <c r="Q217" s="7" t="s">
        <v>276</v>
      </c>
    </row>
    <row r="218" spans="1:17" ht="30.6" customHeight="1" x14ac:dyDescent="0.3">
      <c r="A218" s="197"/>
      <c r="B218" s="197"/>
      <c r="C218" s="189"/>
      <c r="D218" s="45">
        <v>1</v>
      </c>
      <c r="E218" s="212"/>
      <c r="F218" s="51">
        <f t="shared" si="50"/>
        <v>71263</v>
      </c>
      <c r="G218" s="59">
        <f t="shared" si="51"/>
        <v>71263</v>
      </c>
      <c r="H218" s="67">
        <v>0</v>
      </c>
      <c r="I218" s="71">
        <f t="shared" si="52"/>
        <v>0</v>
      </c>
      <c r="J218" s="67">
        <v>0</v>
      </c>
      <c r="K218" s="73">
        <f t="shared" si="53"/>
        <v>0</v>
      </c>
      <c r="L218" s="79">
        <v>71263</v>
      </c>
      <c r="M218" s="73">
        <f t="shared" si="54"/>
        <v>71263</v>
      </c>
      <c r="N218" s="189"/>
      <c r="O218" s="17" t="s">
        <v>524</v>
      </c>
      <c r="P218" s="7" t="s">
        <v>523</v>
      </c>
      <c r="Q218" s="7" t="s">
        <v>279</v>
      </c>
    </row>
    <row r="219" spans="1:17" ht="30.6" customHeight="1" x14ac:dyDescent="0.3">
      <c r="A219" s="196"/>
      <c r="B219" s="196" t="s">
        <v>531</v>
      </c>
      <c r="C219" s="215" t="s">
        <v>68</v>
      </c>
      <c r="D219" s="44">
        <v>79</v>
      </c>
      <c r="E219" s="211" t="s">
        <v>52</v>
      </c>
      <c r="F219" s="50">
        <f t="shared" si="50"/>
        <v>15533</v>
      </c>
      <c r="G219" s="58">
        <f t="shared" si="51"/>
        <v>1227107</v>
      </c>
      <c r="H219" s="66">
        <v>0</v>
      </c>
      <c r="I219" s="70">
        <f t="shared" si="52"/>
        <v>0</v>
      </c>
      <c r="J219" s="66">
        <v>0</v>
      </c>
      <c r="K219" s="72">
        <f t="shared" si="53"/>
        <v>0</v>
      </c>
      <c r="L219" s="78">
        <v>15533</v>
      </c>
      <c r="M219" s="72">
        <f t="shared" si="54"/>
        <v>1227107</v>
      </c>
      <c r="N219" s="213" t="s">
        <v>532</v>
      </c>
      <c r="O219" s="17" t="s">
        <v>528</v>
      </c>
      <c r="P219" s="7" t="s">
        <v>527</v>
      </c>
      <c r="Q219" s="7" t="s">
        <v>276</v>
      </c>
    </row>
    <row r="220" spans="1:17" ht="30.6" customHeight="1" x14ac:dyDescent="0.3">
      <c r="A220" s="197"/>
      <c r="B220" s="197"/>
      <c r="C220" s="189"/>
      <c r="D220" s="45">
        <v>13</v>
      </c>
      <c r="E220" s="212"/>
      <c r="F220" s="51">
        <f t="shared" si="50"/>
        <v>15533</v>
      </c>
      <c r="G220" s="59">
        <f t="shared" si="51"/>
        <v>201929</v>
      </c>
      <c r="H220" s="67">
        <v>0</v>
      </c>
      <c r="I220" s="71">
        <f t="shared" si="52"/>
        <v>0</v>
      </c>
      <c r="J220" s="67">
        <v>0</v>
      </c>
      <c r="K220" s="73">
        <f t="shared" si="53"/>
        <v>0</v>
      </c>
      <c r="L220" s="79">
        <v>15533</v>
      </c>
      <c r="M220" s="73">
        <f t="shared" si="54"/>
        <v>201929</v>
      </c>
      <c r="N220" s="189"/>
      <c r="O220" s="17" t="s">
        <v>530</v>
      </c>
      <c r="P220" s="7" t="s">
        <v>529</v>
      </c>
      <c r="Q220" s="7" t="s">
        <v>279</v>
      </c>
    </row>
    <row r="221" spans="1:17" ht="30.6" customHeight="1" x14ac:dyDescent="0.3">
      <c r="A221" s="196"/>
      <c r="B221" s="196" t="s">
        <v>537</v>
      </c>
      <c r="C221" s="215" t="s">
        <v>68</v>
      </c>
      <c r="D221" s="44">
        <v>91</v>
      </c>
      <c r="E221" s="211" t="s">
        <v>52</v>
      </c>
      <c r="F221" s="50">
        <f t="shared" si="50"/>
        <v>17668</v>
      </c>
      <c r="G221" s="58">
        <f t="shared" si="51"/>
        <v>1607788</v>
      </c>
      <c r="H221" s="66">
        <v>0</v>
      </c>
      <c r="I221" s="70">
        <f t="shared" si="52"/>
        <v>0</v>
      </c>
      <c r="J221" s="66">
        <v>0</v>
      </c>
      <c r="K221" s="72">
        <f t="shared" si="53"/>
        <v>0</v>
      </c>
      <c r="L221" s="78">
        <v>17668</v>
      </c>
      <c r="M221" s="72">
        <f t="shared" si="54"/>
        <v>1607788</v>
      </c>
      <c r="N221" s="213" t="s">
        <v>538</v>
      </c>
      <c r="O221" s="17" t="s">
        <v>534</v>
      </c>
      <c r="P221" s="7" t="s">
        <v>533</v>
      </c>
      <c r="Q221" s="7" t="s">
        <v>276</v>
      </c>
    </row>
    <row r="222" spans="1:17" ht="30.6" customHeight="1" x14ac:dyDescent="0.3">
      <c r="A222" s="197"/>
      <c r="B222" s="197"/>
      <c r="C222" s="189"/>
      <c r="D222" s="45">
        <v>14</v>
      </c>
      <c r="E222" s="212"/>
      <c r="F222" s="51">
        <f t="shared" si="50"/>
        <v>17668</v>
      </c>
      <c r="G222" s="59">
        <f t="shared" si="51"/>
        <v>247352</v>
      </c>
      <c r="H222" s="67">
        <v>0</v>
      </c>
      <c r="I222" s="71">
        <f t="shared" si="52"/>
        <v>0</v>
      </c>
      <c r="J222" s="67">
        <v>0</v>
      </c>
      <c r="K222" s="73">
        <f t="shared" si="53"/>
        <v>0</v>
      </c>
      <c r="L222" s="79">
        <v>17668</v>
      </c>
      <c r="M222" s="73">
        <f t="shared" si="54"/>
        <v>247352</v>
      </c>
      <c r="N222" s="189"/>
      <c r="O222" s="17" t="s">
        <v>536</v>
      </c>
      <c r="P222" s="7" t="s">
        <v>535</v>
      </c>
      <c r="Q222" s="7" t="s">
        <v>279</v>
      </c>
    </row>
    <row r="223" spans="1:17" ht="30.6" customHeight="1" x14ac:dyDescent="0.3">
      <c r="A223" s="196"/>
      <c r="B223" s="196" t="s">
        <v>543</v>
      </c>
      <c r="C223" s="215" t="s">
        <v>68</v>
      </c>
      <c r="D223" s="44">
        <v>49</v>
      </c>
      <c r="E223" s="211" t="s">
        <v>52</v>
      </c>
      <c r="F223" s="50">
        <f t="shared" si="50"/>
        <v>16133</v>
      </c>
      <c r="G223" s="58">
        <f t="shared" si="51"/>
        <v>790517</v>
      </c>
      <c r="H223" s="66">
        <v>0</v>
      </c>
      <c r="I223" s="70">
        <f t="shared" si="52"/>
        <v>0</v>
      </c>
      <c r="J223" s="66">
        <v>0</v>
      </c>
      <c r="K223" s="72">
        <f t="shared" si="53"/>
        <v>0</v>
      </c>
      <c r="L223" s="78">
        <v>16133</v>
      </c>
      <c r="M223" s="72">
        <f t="shared" si="54"/>
        <v>790517</v>
      </c>
      <c r="N223" s="213" t="s">
        <v>544</v>
      </c>
      <c r="O223" s="17" t="s">
        <v>540</v>
      </c>
      <c r="P223" s="7" t="s">
        <v>539</v>
      </c>
      <c r="Q223" s="7" t="s">
        <v>276</v>
      </c>
    </row>
    <row r="224" spans="1:17" ht="30.6" customHeight="1" x14ac:dyDescent="0.3">
      <c r="A224" s="197"/>
      <c r="B224" s="197"/>
      <c r="C224" s="189"/>
      <c r="D224" s="45">
        <v>53</v>
      </c>
      <c r="E224" s="212"/>
      <c r="F224" s="51">
        <f t="shared" si="50"/>
        <v>16133</v>
      </c>
      <c r="G224" s="59">
        <f t="shared" si="51"/>
        <v>855049</v>
      </c>
      <c r="H224" s="67">
        <v>0</v>
      </c>
      <c r="I224" s="71">
        <f t="shared" si="52"/>
        <v>0</v>
      </c>
      <c r="J224" s="67">
        <v>0</v>
      </c>
      <c r="K224" s="73">
        <f t="shared" si="53"/>
        <v>0</v>
      </c>
      <c r="L224" s="79">
        <v>16133</v>
      </c>
      <c r="M224" s="73">
        <f t="shared" si="54"/>
        <v>855049</v>
      </c>
      <c r="N224" s="189"/>
      <c r="O224" s="17" t="s">
        <v>542</v>
      </c>
      <c r="P224" s="7" t="s">
        <v>541</v>
      </c>
      <c r="Q224" s="7" t="s">
        <v>279</v>
      </c>
    </row>
    <row r="225" spans="1:29" ht="30.6" customHeight="1" x14ac:dyDescent="0.3">
      <c r="A225" s="196"/>
      <c r="B225" s="196" t="s">
        <v>67</v>
      </c>
      <c r="C225" s="215" t="s">
        <v>68</v>
      </c>
      <c r="D225" s="44">
        <v>0</v>
      </c>
      <c r="E225" s="211" t="s">
        <v>52</v>
      </c>
      <c r="F225" s="50">
        <f t="shared" si="50"/>
        <v>0</v>
      </c>
      <c r="G225" s="58">
        <f t="shared" si="51"/>
        <v>0</v>
      </c>
      <c r="H225" s="68">
        <f>IF(D225=0,0,단가산출근거목록표!F9)</f>
        <v>0</v>
      </c>
      <c r="I225" s="62">
        <f t="shared" si="52"/>
        <v>0</v>
      </c>
      <c r="J225" s="74">
        <f>IF(D225=0,0,단가산출근거목록표!G9)</f>
        <v>0</v>
      </c>
      <c r="K225" s="62">
        <f t="shared" si="53"/>
        <v>0</v>
      </c>
      <c r="L225" s="80">
        <f>IF(D225=0,0,단가산출근거목록표!H9)</f>
        <v>0</v>
      </c>
      <c r="M225" s="72">
        <f t="shared" si="54"/>
        <v>0</v>
      </c>
      <c r="N225" s="213" t="s">
        <v>549</v>
      </c>
      <c r="O225" s="17" t="s">
        <v>546</v>
      </c>
      <c r="P225" s="7" t="s">
        <v>545</v>
      </c>
      <c r="Q225" s="7" t="s">
        <v>276</v>
      </c>
      <c r="AC225" s="3" t="str">
        <f ca="1">HYPERLINK("#"&amp;단가산출근거목록표!J2&amp;"!A"&amp;ROW(단가산출근거목록표!A9),"D01439 →")</f>
        <v>D01439 →</v>
      </c>
    </row>
    <row r="226" spans="1:29" ht="30.6" customHeight="1" x14ac:dyDescent="0.3">
      <c r="A226" s="197"/>
      <c r="B226" s="197"/>
      <c r="C226" s="189"/>
      <c r="D226" s="45">
        <v>32</v>
      </c>
      <c r="E226" s="212"/>
      <c r="F226" s="51">
        <f t="shared" si="50"/>
        <v>16568</v>
      </c>
      <c r="G226" s="59">
        <f t="shared" si="51"/>
        <v>530176</v>
      </c>
      <c r="H226" s="69">
        <f>IF(D226=0,0,단가산출근거목록표!F9)</f>
        <v>0</v>
      </c>
      <c r="I226" s="63">
        <f t="shared" si="52"/>
        <v>0</v>
      </c>
      <c r="J226" s="75">
        <f>IF(D226=0,0,단가산출근거목록표!G9)</f>
        <v>0</v>
      </c>
      <c r="K226" s="63">
        <f t="shared" si="53"/>
        <v>0</v>
      </c>
      <c r="L226" s="81">
        <f>IF(D226=0,0,단가산출근거목록표!H9)</f>
        <v>16568</v>
      </c>
      <c r="M226" s="73">
        <f t="shared" si="54"/>
        <v>530176</v>
      </c>
      <c r="N226" s="189"/>
      <c r="O226" s="17" t="s">
        <v>548</v>
      </c>
      <c r="P226" s="7" t="s">
        <v>547</v>
      </c>
      <c r="Q226" s="7" t="s">
        <v>279</v>
      </c>
    </row>
    <row r="227" spans="1:29" ht="30.6" customHeight="1" x14ac:dyDescent="0.3">
      <c r="A227" s="196"/>
      <c r="B227" s="196" t="s">
        <v>554</v>
      </c>
      <c r="C227" s="215" t="s">
        <v>518</v>
      </c>
      <c r="D227" s="44">
        <v>1190</v>
      </c>
      <c r="E227" s="211" t="s">
        <v>519</v>
      </c>
      <c r="F227" s="50">
        <f t="shared" si="50"/>
        <v>2421</v>
      </c>
      <c r="G227" s="58">
        <f t="shared" si="51"/>
        <v>2880990</v>
      </c>
      <c r="H227" s="66">
        <v>0</v>
      </c>
      <c r="I227" s="70">
        <f t="shared" si="52"/>
        <v>0</v>
      </c>
      <c r="J227" s="66">
        <v>0</v>
      </c>
      <c r="K227" s="72">
        <f t="shared" si="53"/>
        <v>0</v>
      </c>
      <c r="L227" s="78">
        <v>2421</v>
      </c>
      <c r="M227" s="72">
        <f t="shared" si="54"/>
        <v>2880990</v>
      </c>
      <c r="N227" s="213" t="s">
        <v>555</v>
      </c>
      <c r="O227" s="17" t="s">
        <v>551</v>
      </c>
      <c r="P227" s="7" t="s">
        <v>550</v>
      </c>
      <c r="Q227" s="7" t="s">
        <v>276</v>
      </c>
    </row>
    <row r="228" spans="1:29" ht="30.6" customHeight="1" x14ac:dyDescent="0.3">
      <c r="A228" s="197"/>
      <c r="B228" s="197"/>
      <c r="C228" s="189"/>
      <c r="D228" s="45">
        <v>181</v>
      </c>
      <c r="E228" s="212"/>
      <c r="F228" s="51">
        <f t="shared" si="50"/>
        <v>2421</v>
      </c>
      <c r="G228" s="59">
        <f t="shared" si="51"/>
        <v>438201</v>
      </c>
      <c r="H228" s="67">
        <v>0</v>
      </c>
      <c r="I228" s="71">
        <f t="shared" si="52"/>
        <v>0</v>
      </c>
      <c r="J228" s="67">
        <v>0</v>
      </c>
      <c r="K228" s="73">
        <f t="shared" si="53"/>
        <v>0</v>
      </c>
      <c r="L228" s="79">
        <v>2421</v>
      </c>
      <c r="M228" s="73">
        <f t="shared" si="54"/>
        <v>438201</v>
      </c>
      <c r="N228" s="189"/>
      <c r="O228" s="17" t="s">
        <v>553</v>
      </c>
      <c r="P228" s="7" t="s">
        <v>552</v>
      </c>
      <c r="Q228" s="7" t="s">
        <v>279</v>
      </c>
    </row>
    <row r="229" spans="1:29" ht="30.6" customHeight="1" x14ac:dyDescent="0.3">
      <c r="A229" s="196"/>
      <c r="B229" s="196" t="s">
        <v>560</v>
      </c>
      <c r="C229" s="215" t="s">
        <v>68</v>
      </c>
      <c r="D229" s="44">
        <v>606</v>
      </c>
      <c r="E229" s="211" t="s">
        <v>92</v>
      </c>
      <c r="F229" s="50">
        <f t="shared" si="50"/>
        <v>10595</v>
      </c>
      <c r="G229" s="58">
        <f t="shared" si="51"/>
        <v>6420570</v>
      </c>
      <c r="H229" s="66">
        <v>0</v>
      </c>
      <c r="I229" s="70">
        <f t="shared" si="52"/>
        <v>0</v>
      </c>
      <c r="J229" s="66">
        <v>0</v>
      </c>
      <c r="K229" s="72">
        <f t="shared" si="53"/>
        <v>0</v>
      </c>
      <c r="L229" s="78">
        <v>10595</v>
      </c>
      <c r="M229" s="72">
        <f t="shared" si="54"/>
        <v>6420570</v>
      </c>
      <c r="N229" s="213" t="s">
        <v>561</v>
      </c>
      <c r="O229" s="17" t="s">
        <v>557</v>
      </c>
      <c r="P229" s="7" t="s">
        <v>556</v>
      </c>
      <c r="Q229" s="7" t="s">
        <v>276</v>
      </c>
    </row>
    <row r="230" spans="1:29" ht="30.6" customHeight="1" x14ac:dyDescent="0.3">
      <c r="A230" s="197"/>
      <c r="B230" s="197"/>
      <c r="C230" s="189"/>
      <c r="D230" s="45">
        <v>460</v>
      </c>
      <c r="E230" s="212"/>
      <c r="F230" s="51">
        <f t="shared" si="50"/>
        <v>10595</v>
      </c>
      <c r="G230" s="59">
        <f t="shared" si="51"/>
        <v>4873700</v>
      </c>
      <c r="H230" s="67">
        <v>0</v>
      </c>
      <c r="I230" s="71">
        <f t="shared" si="52"/>
        <v>0</v>
      </c>
      <c r="J230" s="67">
        <v>0</v>
      </c>
      <c r="K230" s="73">
        <f t="shared" si="53"/>
        <v>0</v>
      </c>
      <c r="L230" s="79">
        <v>10595</v>
      </c>
      <c r="M230" s="73">
        <f t="shared" si="54"/>
        <v>4873700</v>
      </c>
      <c r="N230" s="189"/>
      <c r="O230" s="17" t="s">
        <v>559</v>
      </c>
      <c r="P230" s="7" t="s">
        <v>558</v>
      </c>
      <c r="Q230" s="7" t="s">
        <v>279</v>
      </c>
    </row>
    <row r="231" spans="1:29" ht="30.6" customHeight="1" x14ac:dyDescent="0.3">
      <c r="A231" s="196"/>
      <c r="B231" s="196" t="s">
        <v>81</v>
      </c>
      <c r="C231" s="215" t="s">
        <v>82</v>
      </c>
      <c r="D231" s="44">
        <v>0</v>
      </c>
      <c r="E231" s="211" t="s">
        <v>52</v>
      </c>
      <c r="F231" s="50">
        <f t="shared" si="50"/>
        <v>0</v>
      </c>
      <c r="G231" s="58">
        <f t="shared" si="51"/>
        <v>0</v>
      </c>
      <c r="H231" s="68">
        <f>IF(D231=0,0,단가산출근거목록표!F13)</f>
        <v>0</v>
      </c>
      <c r="I231" s="62">
        <f t="shared" si="52"/>
        <v>0</v>
      </c>
      <c r="J231" s="74">
        <f>IF(D231=0,0,단가산출근거목록표!G13)</f>
        <v>0</v>
      </c>
      <c r="K231" s="62">
        <f t="shared" si="53"/>
        <v>0</v>
      </c>
      <c r="L231" s="80">
        <f>IF(D231=0,0,단가산출근거목록표!H13)</f>
        <v>0</v>
      </c>
      <c r="M231" s="72">
        <f t="shared" si="54"/>
        <v>0</v>
      </c>
      <c r="N231" s="213" t="s">
        <v>566</v>
      </c>
      <c r="O231" s="17" t="s">
        <v>563</v>
      </c>
      <c r="P231" s="7" t="s">
        <v>562</v>
      </c>
      <c r="Q231" s="7" t="s">
        <v>276</v>
      </c>
      <c r="AC231" s="3" t="str">
        <f ca="1">HYPERLINK("#"&amp;단가산출근거목록표!J2&amp;"!A"&amp;ROW(단가산출근거목록표!A13),"D01445 →")</f>
        <v>D01445 →</v>
      </c>
    </row>
    <row r="232" spans="1:29" ht="30.6" customHeight="1" x14ac:dyDescent="0.3">
      <c r="A232" s="197"/>
      <c r="B232" s="197"/>
      <c r="C232" s="189"/>
      <c r="D232" s="45">
        <v>13</v>
      </c>
      <c r="E232" s="212"/>
      <c r="F232" s="51">
        <f t="shared" si="50"/>
        <v>3268</v>
      </c>
      <c r="G232" s="59">
        <f t="shared" si="51"/>
        <v>42484</v>
      </c>
      <c r="H232" s="69">
        <f>IF(D232=0,0,단가산출근거목록표!F13)</f>
        <v>0</v>
      </c>
      <c r="I232" s="63">
        <f t="shared" si="52"/>
        <v>0</v>
      </c>
      <c r="J232" s="75">
        <f>IF(D232=0,0,단가산출근거목록표!G13)</f>
        <v>0</v>
      </c>
      <c r="K232" s="63">
        <f t="shared" si="53"/>
        <v>0</v>
      </c>
      <c r="L232" s="81">
        <f>IF(D232=0,0,단가산출근거목록표!H13)</f>
        <v>3268</v>
      </c>
      <c r="M232" s="73">
        <f t="shared" si="54"/>
        <v>42484</v>
      </c>
      <c r="N232" s="189"/>
      <c r="O232" s="17" t="s">
        <v>565</v>
      </c>
      <c r="P232" s="7" t="s">
        <v>564</v>
      </c>
      <c r="Q232" s="7" t="s">
        <v>279</v>
      </c>
    </row>
    <row r="233" spans="1:29" ht="30.6" customHeight="1" x14ac:dyDescent="0.3">
      <c r="A233" s="196"/>
      <c r="B233" s="196" t="s">
        <v>85</v>
      </c>
      <c r="C233" s="215" t="s">
        <v>82</v>
      </c>
      <c r="D233" s="44">
        <v>0</v>
      </c>
      <c r="E233" s="211" t="s">
        <v>52</v>
      </c>
      <c r="F233" s="50">
        <f t="shared" si="50"/>
        <v>0</v>
      </c>
      <c r="G233" s="58">
        <f t="shared" si="51"/>
        <v>0</v>
      </c>
      <c r="H233" s="68">
        <f>IF(D233=0,0,단가산출근거목록표!F14)</f>
        <v>0</v>
      </c>
      <c r="I233" s="62">
        <f t="shared" si="52"/>
        <v>0</v>
      </c>
      <c r="J233" s="74">
        <f>IF(D233=0,0,단가산출근거목록표!G14)</f>
        <v>0</v>
      </c>
      <c r="K233" s="62">
        <f t="shared" si="53"/>
        <v>0</v>
      </c>
      <c r="L233" s="80">
        <f>IF(D233=0,0,단가산출근거목록표!H14)</f>
        <v>0</v>
      </c>
      <c r="M233" s="72">
        <f t="shared" si="54"/>
        <v>0</v>
      </c>
      <c r="N233" s="213" t="s">
        <v>571</v>
      </c>
      <c r="O233" s="17" t="s">
        <v>568</v>
      </c>
      <c r="P233" s="7" t="s">
        <v>567</v>
      </c>
      <c r="Q233" s="7" t="s">
        <v>276</v>
      </c>
      <c r="AC233" s="3" t="str">
        <f ca="1">HYPERLINK("#"&amp;단가산출근거목록표!J2&amp;"!A"&amp;ROW(단가산출근거목록표!A14),"D01446 →")</f>
        <v>D01446 →</v>
      </c>
    </row>
    <row r="234" spans="1:29" ht="30.6" customHeight="1" x14ac:dyDescent="0.3">
      <c r="A234" s="197"/>
      <c r="B234" s="197"/>
      <c r="C234" s="189"/>
      <c r="D234" s="45">
        <v>14</v>
      </c>
      <c r="E234" s="212"/>
      <c r="F234" s="51">
        <f t="shared" si="50"/>
        <v>3511</v>
      </c>
      <c r="G234" s="59">
        <f t="shared" si="51"/>
        <v>49154</v>
      </c>
      <c r="H234" s="69">
        <f>IF(D234=0,0,단가산출근거목록표!F14)</f>
        <v>0</v>
      </c>
      <c r="I234" s="63">
        <f t="shared" si="52"/>
        <v>0</v>
      </c>
      <c r="J234" s="75">
        <f>IF(D234=0,0,단가산출근거목록표!G14)</f>
        <v>0</v>
      </c>
      <c r="K234" s="63">
        <f t="shared" si="53"/>
        <v>0</v>
      </c>
      <c r="L234" s="81">
        <f>IF(D234=0,0,단가산출근거목록표!H14)</f>
        <v>3511</v>
      </c>
      <c r="M234" s="73">
        <f t="shared" si="54"/>
        <v>49154</v>
      </c>
      <c r="N234" s="189"/>
      <c r="O234" s="17" t="s">
        <v>570</v>
      </c>
      <c r="P234" s="7" t="s">
        <v>569</v>
      </c>
      <c r="Q234" s="7" t="s">
        <v>279</v>
      </c>
    </row>
    <row r="235" spans="1:29" ht="30.6" customHeight="1" x14ac:dyDescent="0.3">
      <c r="A235" s="196"/>
      <c r="B235" s="196" t="s">
        <v>88</v>
      </c>
      <c r="C235" s="215" t="s">
        <v>82</v>
      </c>
      <c r="D235" s="44">
        <v>0</v>
      </c>
      <c r="E235" s="211" t="s">
        <v>52</v>
      </c>
      <c r="F235" s="50">
        <f t="shared" si="50"/>
        <v>0</v>
      </c>
      <c r="G235" s="58">
        <f t="shared" si="51"/>
        <v>0</v>
      </c>
      <c r="H235" s="68">
        <f>IF(D235=0,0,단가산출근거목록표!F15)</f>
        <v>0</v>
      </c>
      <c r="I235" s="62">
        <f t="shared" si="52"/>
        <v>0</v>
      </c>
      <c r="J235" s="74">
        <f>IF(D235=0,0,단가산출근거목록표!G15)</f>
        <v>0</v>
      </c>
      <c r="K235" s="62">
        <f t="shared" si="53"/>
        <v>0</v>
      </c>
      <c r="L235" s="80">
        <f>IF(D235=0,0,단가산출근거목록표!H15)</f>
        <v>0</v>
      </c>
      <c r="M235" s="72">
        <f t="shared" si="54"/>
        <v>0</v>
      </c>
      <c r="N235" s="213" t="s">
        <v>576</v>
      </c>
      <c r="O235" s="17" t="s">
        <v>573</v>
      </c>
      <c r="P235" s="7" t="s">
        <v>572</v>
      </c>
      <c r="Q235" s="7" t="s">
        <v>276</v>
      </c>
      <c r="AC235" s="3" t="str">
        <f ca="1">HYPERLINK("#"&amp;단가산출근거목록표!J2&amp;"!A"&amp;ROW(단가산출근거목록표!A15),"D01447 →")</f>
        <v>D01447 →</v>
      </c>
    </row>
    <row r="236" spans="1:29" ht="30.6" customHeight="1" x14ac:dyDescent="0.3">
      <c r="A236" s="197"/>
      <c r="B236" s="197"/>
      <c r="C236" s="189"/>
      <c r="D236" s="45">
        <v>53</v>
      </c>
      <c r="E236" s="212"/>
      <c r="F236" s="51">
        <f t="shared" si="50"/>
        <v>4381</v>
      </c>
      <c r="G236" s="59">
        <f t="shared" si="51"/>
        <v>232193</v>
      </c>
      <c r="H236" s="69">
        <f>IF(D236=0,0,단가산출근거목록표!F15)</f>
        <v>0</v>
      </c>
      <c r="I236" s="63">
        <f t="shared" si="52"/>
        <v>0</v>
      </c>
      <c r="J236" s="75">
        <f>IF(D236=0,0,단가산출근거목록표!G15)</f>
        <v>0</v>
      </c>
      <c r="K236" s="63">
        <f t="shared" si="53"/>
        <v>0</v>
      </c>
      <c r="L236" s="81">
        <f>IF(D236=0,0,단가산출근거목록표!H15)</f>
        <v>4381</v>
      </c>
      <c r="M236" s="73">
        <f t="shared" si="54"/>
        <v>232193</v>
      </c>
      <c r="N236" s="189"/>
      <c r="O236" s="17" t="s">
        <v>575</v>
      </c>
      <c r="P236" s="7" t="s">
        <v>574</v>
      </c>
      <c r="Q236" s="7" t="s">
        <v>279</v>
      </c>
    </row>
    <row r="237" spans="1:29" ht="30.6" customHeight="1" x14ac:dyDescent="0.3">
      <c r="A237" s="196"/>
      <c r="B237" s="196" t="s">
        <v>99</v>
      </c>
      <c r="C237" s="215" t="s">
        <v>82</v>
      </c>
      <c r="D237" s="44">
        <v>0</v>
      </c>
      <c r="E237" s="211" t="s">
        <v>52</v>
      </c>
      <c r="F237" s="50">
        <f t="shared" si="50"/>
        <v>0</v>
      </c>
      <c r="G237" s="58">
        <f t="shared" si="51"/>
        <v>0</v>
      </c>
      <c r="H237" s="68">
        <f>IF(D237=0,0,단가산출근거목록표!F18)</f>
        <v>0</v>
      </c>
      <c r="I237" s="62">
        <f t="shared" si="52"/>
        <v>0</v>
      </c>
      <c r="J237" s="74">
        <f>IF(D237=0,0,단가산출근거목록표!G18)</f>
        <v>0</v>
      </c>
      <c r="K237" s="62">
        <f t="shared" si="53"/>
        <v>0</v>
      </c>
      <c r="L237" s="80">
        <f>IF(D237=0,0,단가산출근거목록표!H18)</f>
        <v>0</v>
      </c>
      <c r="M237" s="72">
        <f t="shared" si="54"/>
        <v>0</v>
      </c>
      <c r="N237" s="213" t="s">
        <v>581</v>
      </c>
      <c r="O237" s="17" t="s">
        <v>578</v>
      </c>
      <c r="P237" s="7" t="s">
        <v>577</v>
      </c>
      <c r="Q237" s="7" t="s">
        <v>276</v>
      </c>
      <c r="AC237" s="3" t="str">
        <f ca="1">HYPERLINK("#"&amp;단가산출근거목록표!J2&amp;"!A"&amp;ROW(단가산출근거목록표!A18),"D01455 →")</f>
        <v>D01455 →</v>
      </c>
    </row>
    <row r="238" spans="1:29" ht="30.6" customHeight="1" x14ac:dyDescent="0.3">
      <c r="A238" s="197"/>
      <c r="B238" s="197"/>
      <c r="C238" s="189"/>
      <c r="D238" s="45">
        <v>32</v>
      </c>
      <c r="E238" s="212"/>
      <c r="F238" s="51">
        <f t="shared" si="50"/>
        <v>3511</v>
      </c>
      <c r="G238" s="59">
        <f t="shared" si="51"/>
        <v>112352</v>
      </c>
      <c r="H238" s="69">
        <f>IF(D238=0,0,단가산출근거목록표!F18)</f>
        <v>0</v>
      </c>
      <c r="I238" s="63">
        <f t="shared" si="52"/>
        <v>0</v>
      </c>
      <c r="J238" s="75">
        <f>IF(D238=0,0,단가산출근거목록표!G18)</f>
        <v>0</v>
      </c>
      <c r="K238" s="63">
        <f t="shared" si="53"/>
        <v>0</v>
      </c>
      <c r="L238" s="81">
        <f>IF(D238=0,0,단가산출근거목록표!H18)</f>
        <v>3511</v>
      </c>
      <c r="M238" s="73">
        <f t="shared" si="54"/>
        <v>112352</v>
      </c>
      <c r="N238" s="189"/>
      <c r="O238" s="17" t="s">
        <v>580</v>
      </c>
      <c r="P238" s="7" t="s">
        <v>579</v>
      </c>
      <c r="Q238" s="7" t="s">
        <v>279</v>
      </c>
    </row>
    <row r="239" spans="1:29" ht="30.6" customHeight="1" x14ac:dyDescent="0.3">
      <c r="A239" s="196"/>
      <c r="B239" s="196" t="s">
        <v>91</v>
      </c>
      <c r="C239" s="215" t="s">
        <v>82</v>
      </c>
      <c r="D239" s="44">
        <v>0</v>
      </c>
      <c r="E239" s="211" t="s">
        <v>92</v>
      </c>
      <c r="F239" s="50">
        <f t="shared" si="50"/>
        <v>0</v>
      </c>
      <c r="G239" s="58">
        <f t="shared" si="51"/>
        <v>0</v>
      </c>
      <c r="H239" s="68">
        <f>IF(D239=0,0,단가산출근거목록표!F16)</f>
        <v>0</v>
      </c>
      <c r="I239" s="62">
        <f t="shared" si="52"/>
        <v>0</v>
      </c>
      <c r="J239" s="74">
        <f>IF(D239=0,0,단가산출근거목록표!G16)</f>
        <v>0</v>
      </c>
      <c r="K239" s="62">
        <f t="shared" si="53"/>
        <v>0</v>
      </c>
      <c r="L239" s="80">
        <f>IF(D239=0,0,단가산출근거목록표!H16)</f>
        <v>0</v>
      </c>
      <c r="M239" s="72">
        <f t="shared" si="54"/>
        <v>0</v>
      </c>
      <c r="N239" s="213" t="s">
        <v>586</v>
      </c>
      <c r="O239" s="17" t="s">
        <v>583</v>
      </c>
      <c r="P239" s="7" t="s">
        <v>582</v>
      </c>
      <c r="Q239" s="7" t="s">
        <v>276</v>
      </c>
      <c r="AC239" s="3" t="str">
        <f ca="1">HYPERLINK("#"&amp;단가산출근거목록표!J2&amp;"!A"&amp;ROW(단가산출근거목록표!A16),"D01448 →")</f>
        <v>D01448 →</v>
      </c>
    </row>
    <row r="240" spans="1:29" ht="30.6" customHeight="1" x14ac:dyDescent="0.3">
      <c r="A240" s="197"/>
      <c r="B240" s="197"/>
      <c r="C240" s="189"/>
      <c r="D240" s="45">
        <v>460</v>
      </c>
      <c r="E240" s="212"/>
      <c r="F240" s="51">
        <f t="shared" si="50"/>
        <v>3219</v>
      </c>
      <c r="G240" s="59">
        <f t="shared" si="51"/>
        <v>1480740</v>
      </c>
      <c r="H240" s="69">
        <f>IF(D240=0,0,단가산출근거목록표!F16)</f>
        <v>0</v>
      </c>
      <c r="I240" s="63">
        <f t="shared" si="52"/>
        <v>0</v>
      </c>
      <c r="J240" s="75">
        <f>IF(D240=0,0,단가산출근거목록표!G16)</f>
        <v>0</v>
      </c>
      <c r="K240" s="63">
        <f t="shared" si="53"/>
        <v>0</v>
      </c>
      <c r="L240" s="81">
        <f>IF(D240=0,0,단가산출근거목록표!H16)</f>
        <v>3219</v>
      </c>
      <c r="M240" s="73">
        <f t="shared" si="54"/>
        <v>1480740</v>
      </c>
      <c r="N240" s="189"/>
      <c r="O240" s="17" t="s">
        <v>585</v>
      </c>
      <c r="P240" s="7" t="s">
        <v>584</v>
      </c>
      <c r="Q240" s="7" t="s">
        <v>279</v>
      </c>
    </row>
    <row r="241" spans="1:29" ht="30.6" customHeight="1" x14ac:dyDescent="0.3">
      <c r="A241" s="214"/>
      <c r="B241" s="214"/>
      <c r="C241" s="188"/>
      <c r="D241" s="42"/>
      <c r="E241" s="211"/>
      <c r="F241" s="48">
        <v>0</v>
      </c>
      <c r="G241" s="56"/>
      <c r="H241" s="64"/>
      <c r="I241" s="64"/>
      <c r="J241" s="64"/>
      <c r="K241" s="64"/>
      <c r="L241" s="64"/>
      <c r="M241" s="82"/>
      <c r="N241" s="213"/>
      <c r="O241" s="17" t="s">
        <v>265</v>
      </c>
      <c r="P241" s="7" t="s">
        <v>263</v>
      </c>
      <c r="Q241" s="7" t="s">
        <v>264</v>
      </c>
    </row>
    <row r="242" spans="1:29" ht="30.6" customHeight="1" x14ac:dyDescent="0.3">
      <c r="A242" s="197"/>
      <c r="B242" s="197"/>
      <c r="C242" s="189"/>
      <c r="D242" s="43"/>
      <c r="E242" s="212"/>
      <c r="F242" s="49">
        <v>0</v>
      </c>
      <c r="G242" s="57"/>
      <c r="H242" s="65"/>
      <c r="I242" s="65"/>
      <c r="J242" s="65"/>
      <c r="K242" s="65"/>
      <c r="L242" s="65"/>
      <c r="M242" s="83"/>
      <c r="N242" s="189"/>
      <c r="O242" s="17" t="s">
        <v>268</v>
      </c>
      <c r="P242" s="7" t="s">
        <v>266</v>
      </c>
      <c r="Q242" s="7" t="s">
        <v>267</v>
      </c>
    </row>
    <row r="243" spans="1:29" ht="30.6" customHeight="1" x14ac:dyDescent="0.3">
      <c r="A243" s="207" t="s">
        <v>587</v>
      </c>
      <c r="B243" s="207" t="s">
        <v>588</v>
      </c>
      <c r="C243" s="209"/>
      <c r="D243" s="42"/>
      <c r="E243" s="211"/>
      <c r="F243" s="48">
        <v>0</v>
      </c>
      <c r="G243" s="54">
        <f>SUMIF(Q245:Q258,P243,G245:G258)</f>
        <v>35569296</v>
      </c>
      <c r="H243" s="62">
        <v>0</v>
      </c>
      <c r="I243" s="58">
        <f>SUMIF(Q245:Q258,P243,I245:I258)</f>
        <v>0</v>
      </c>
      <c r="J243" s="62">
        <v>0</v>
      </c>
      <c r="K243" s="76">
        <f>SUMIF(Q245:Q258,P243,K245:K258)</f>
        <v>35569296</v>
      </c>
      <c r="L243" s="72">
        <v>0</v>
      </c>
      <c r="M243" s="76">
        <f>SUMIF(Q245:Q258,P243,M245:M258)</f>
        <v>0</v>
      </c>
      <c r="N243" s="213"/>
      <c r="O243" s="17" t="str">
        <f>"_x0007_`COD|E3_x0005_`QTY1|1_x0005_`EXI|0_x0005_`ITT|0_x0005_`END|"&amp;ROW(M259)&amp;"_x0005_`"</f>
        <v>_x0007_`COD|E3_x0005_`QTY1|1_x0005_`EXI|0_x0005_`ITT|0_x0005_`END|259_x0005_`</v>
      </c>
      <c r="P243" s="7" t="s">
        <v>276</v>
      </c>
      <c r="Q243" s="7" t="s">
        <v>264</v>
      </c>
    </row>
    <row r="244" spans="1:29" ht="30.6" customHeight="1" x14ac:dyDescent="0.3">
      <c r="A244" s="208"/>
      <c r="B244" s="208"/>
      <c r="C244" s="210"/>
      <c r="D244" s="43"/>
      <c r="E244" s="212"/>
      <c r="F244" s="49">
        <v>0</v>
      </c>
      <c r="G244" s="55">
        <f>SUMIF(Q245:Q258,P244,G245:G258)</f>
        <v>21877533</v>
      </c>
      <c r="H244" s="63">
        <v>0</v>
      </c>
      <c r="I244" s="59">
        <f>SUMIF(Q245:Q258,P244,I245:I258)</f>
        <v>0</v>
      </c>
      <c r="J244" s="63">
        <v>0</v>
      </c>
      <c r="K244" s="77">
        <f>SUMIF(Q245:Q258,P244,K245:K258)</f>
        <v>21877533</v>
      </c>
      <c r="L244" s="73">
        <v>0</v>
      </c>
      <c r="M244" s="77">
        <f>SUMIF(Q245:Q258,P244,M245:M258)</f>
        <v>0</v>
      </c>
      <c r="N244" s="189"/>
      <c r="O244" s="17" t="str">
        <f>"_x0007_`COD|E3_x0005_`QTY2|2_x0005_`END|"&amp;ROW(M259)&amp;"_x0005_`"</f>
        <v>_x0007_`COD|E3_x0005_`QTY2|2_x0005_`END|259_x0005_`</v>
      </c>
      <c r="P244" s="7" t="s">
        <v>279</v>
      </c>
      <c r="Q244" s="7" t="s">
        <v>267</v>
      </c>
    </row>
    <row r="245" spans="1:29" ht="30.6" customHeight="1" x14ac:dyDescent="0.3">
      <c r="A245" s="196"/>
      <c r="B245" s="196" t="s">
        <v>593</v>
      </c>
      <c r="C245" s="215" t="s">
        <v>180</v>
      </c>
      <c r="D245" s="44">
        <v>79</v>
      </c>
      <c r="E245" s="211" t="s">
        <v>181</v>
      </c>
      <c r="F245" s="50">
        <f t="shared" ref="F245:F258" si="55">J245+H245+L245</f>
        <v>24024</v>
      </c>
      <c r="G245" s="58">
        <f t="shared" ref="G245:G258" si="56">K245+I245+M245</f>
        <v>1897896</v>
      </c>
      <c r="H245" s="66">
        <v>0</v>
      </c>
      <c r="I245" s="70">
        <f t="shared" ref="I245:I258" si="57">ROUNDDOWN(H245*D245,0)</f>
        <v>0</v>
      </c>
      <c r="J245" s="66">
        <v>24024</v>
      </c>
      <c r="K245" s="72">
        <f t="shared" ref="K245:K258" si="58">ROUNDDOWN(J245*D245,0)</f>
        <v>1897896</v>
      </c>
      <c r="L245" s="78">
        <v>0</v>
      </c>
      <c r="M245" s="72">
        <f t="shared" ref="M245:M258" si="59">ROUNDDOWN(L245*D245,0)</f>
        <v>0</v>
      </c>
      <c r="N245" s="213" t="s">
        <v>594</v>
      </c>
      <c r="O245" s="17" t="s">
        <v>590</v>
      </c>
      <c r="P245" s="7" t="s">
        <v>589</v>
      </c>
      <c r="Q245" s="7" t="s">
        <v>276</v>
      </c>
    </row>
    <row r="246" spans="1:29" ht="30.6" customHeight="1" x14ac:dyDescent="0.3">
      <c r="A246" s="197"/>
      <c r="B246" s="197"/>
      <c r="C246" s="189"/>
      <c r="D246" s="45">
        <v>13</v>
      </c>
      <c r="E246" s="212"/>
      <c r="F246" s="51">
        <f t="shared" si="55"/>
        <v>24024</v>
      </c>
      <c r="G246" s="59">
        <f t="shared" si="56"/>
        <v>312312</v>
      </c>
      <c r="H246" s="67">
        <v>0</v>
      </c>
      <c r="I246" s="71">
        <f t="shared" si="57"/>
        <v>0</v>
      </c>
      <c r="J246" s="67">
        <v>24024</v>
      </c>
      <c r="K246" s="73">
        <f t="shared" si="58"/>
        <v>312312</v>
      </c>
      <c r="L246" s="79">
        <v>0</v>
      </c>
      <c r="M246" s="73">
        <f t="shared" si="59"/>
        <v>0</v>
      </c>
      <c r="N246" s="189"/>
      <c r="O246" s="17" t="s">
        <v>592</v>
      </c>
      <c r="P246" s="7" t="s">
        <v>591</v>
      </c>
      <c r="Q246" s="7" t="s">
        <v>279</v>
      </c>
    </row>
    <row r="247" spans="1:29" ht="30.6" customHeight="1" x14ac:dyDescent="0.3">
      <c r="A247" s="196"/>
      <c r="B247" s="196" t="s">
        <v>599</v>
      </c>
      <c r="C247" s="215" t="s">
        <v>180</v>
      </c>
      <c r="D247" s="44">
        <v>91</v>
      </c>
      <c r="E247" s="211" t="s">
        <v>181</v>
      </c>
      <c r="F247" s="50">
        <f t="shared" si="55"/>
        <v>19448</v>
      </c>
      <c r="G247" s="58">
        <f t="shared" si="56"/>
        <v>1769768</v>
      </c>
      <c r="H247" s="66">
        <v>0</v>
      </c>
      <c r="I247" s="70">
        <f t="shared" si="57"/>
        <v>0</v>
      </c>
      <c r="J247" s="66">
        <v>19448</v>
      </c>
      <c r="K247" s="72">
        <f t="shared" si="58"/>
        <v>1769768</v>
      </c>
      <c r="L247" s="78">
        <v>0</v>
      </c>
      <c r="M247" s="72">
        <f t="shared" si="59"/>
        <v>0</v>
      </c>
      <c r="N247" s="213" t="s">
        <v>600</v>
      </c>
      <c r="O247" s="17" t="s">
        <v>596</v>
      </c>
      <c r="P247" s="7" t="s">
        <v>595</v>
      </c>
      <c r="Q247" s="7" t="s">
        <v>276</v>
      </c>
    </row>
    <row r="248" spans="1:29" ht="30.6" customHeight="1" x14ac:dyDescent="0.3">
      <c r="A248" s="197"/>
      <c r="B248" s="197"/>
      <c r="C248" s="189"/>
      <c r="D248" s="45">
        <v>14</v>
      </c>
      <c r="E248" s="212"/>
      <c r="F248" s="51">
        <f t="shared" si="55"/>
        <v>19448</v>
      </c>
      <c r="G248" s="59">
        <f t="shared" si="56"/>
        <v>272272</v>
      </c>
      <c r="H248" s="67">
        <v>0</v>
      </c>
      <c r="I248" s="71">
        <f t="shared" si="57"/>
        <v>0</v>
      </c>
      <c r="J248" s="67">
        <v>19448</v>
      </c>
      <c r="K248" s="73">
        <f t="shared" si="58"/>
        <v>272272</v>
      </c>
      <c r="L248" s="79">
        <v>0</v>
      </c>
      <c r="M248" s="73">
        <f t="shared" si="59"/>
        <v>0</v>
      </c>
      <c r="N248" s="189"/>
      <c r="O248" s="17" t="s">
        <v>598</v>
      </c>
      <c r="P248" s="7" t="s">
        <v>597</v>
      </c>
      <c r="Q248" s="7" t="s">
        <v>279</v>
      </c>
    </row>
    <row r="249" spans="1:29" ht="30.6" customHeight="1" x14ac:dyDescent="0.3">
      <c r="A249" s="196"/>
      <c r="B249" s="196" t="s">
        <v>396</v>
      </c>
      <c r="C249" s="215" t="s">
        <v>180</v>
      </c>
      <c r="D249" s="44">
        <v>49</v>
      </c>
      <c r="E249" s="211" t="s">
        <v>181</v>
      </c>
      <c r="F249" s="50">
        <f t="shared" si="55"/>
        <v>25168</v>
      </c>
      <c r="G249" s="58">
        <f t="shared" si="56"/>
        <v>1233232</v>
      </c>
      <c r="H249" s="66">
        <v>0</v>
      </c>
      <c r="I249" s="70">
        <f t="shared" si="57"/>
        <v>0</v>
      </c>
      <c r="J249" s="66">
        <v>25168</v>
      </c>
      <c r="K249" s="72">
        <f t="shared" si="58"/>
        <v>1233232</v>
      </c>
      <c r="L249" s="78">
        <v>0</v>
      </c>
      <c r="M249" s="72">
        <f t="shared" si="59"/>
        <v>0</v>
      </c>
      <c r="N249" s="213" t="s">
        <v>605</v>
      </c>
      <c r="O249" s="17" t="s">
        <v>602</v>
      </c>
      <c r="P249" s="7" t="s">
        <v>601</v>
      </c>
      <c r="Q249" s="7" t="s">
        <v>276</v>
      </c>
    </row>
    <row r="250" spans="1:29" ht="30.6" customHeight="1" x14ac:dyDescent="0.3">
      <c r="A250" s="197"/>
      <c r="B250" s="197"/>
      <c r="C250" s="189"/>
      <c r="D250" s="45">
        <v>53</v>
      </c>
      <c r="E250" s="212"/>
      <c r="F250" s="51">
        <f t="shared" si="55"/>
        <v>25168</v>
      </c>
      <c r="G250" s="59">
        <f t="shared" si="56"/>
        <v>1333904</v>
      </c>
      <c r="H250" s="67">
        <v>0</v>
      </c>
      <c r="I250" s="71">
        <f t="shared" si="57"/>
        <v>0</v>
      </c>
      <c r="J250" s="67">
        <v>25168</v>
      </c>
      <c r="K250" s="73">
        <f t="shared" si="58"/>
        <v>1333904</v>
      </c>
      <c r="L250" s="79">
        <v>0</v>
      </c>
      <c r="M250" s="73">
        <f t="shared" si="59"/>
        <v>0</v>
      </c>
      <c r="N250" s="189"/>
      <c r="O250" s="17" t="s">
        <v>604</v>
      </c>
      <c r="P250" s="7" t="s">
        <v>603</v>
      </c>
      <c r="Q250" s="7" t="s">
        <v>279</v>
      </c>
    </row>
    <row r="251" spans="1:29" ht="30.6" customHeight="1" x14ac:dyDescent="0.3">
      <c r="A251" s="196"/>
      <c r="B251" s="196" t="s">
        <v>179</v>
      </c>
      <c r="C251" s="215" t="s">
        <v>180</v>
      </c>
      <c r="D251" s="44">
        <v>0</v>
      </c>
      <c r="E251" s="211" t="s">
        <v>181</v>
      </c>
      <c r="F251" s="50">
        <f t="shared" si="55"/>
        <v>0</v>
      </c>
      <c r="G251" s="58">
        <f t="shared" si="56"/>
        <v>0</v>
      </c>
      <c r="H251" s="66">
        <v>0</v>
      </c>
      <c r="I251" s="72">
        <f t="shared" si="57"/>
        <v>0</v>
      </c>
      <c r="J251" s="74">
        <f>IF(D251=0,0,재료비목록표!E10)</f>
        <v>0</v>
      </c>
      <c r="K251" s="62">
        <f t="shared" si="58"/>
        <v>0</v>
      </c>
      <c r="L251" s="78">
        <v>0</v>
      </c>
      <c r="M251" s="72">
        <f t="shared" si="59"/>
        <v>0</v>
      </c>
      <c r="N251" s="213" t="s">
        <v>610</v>
      </c>
      <c r="O251" s="17" t="s">
        <v>607</v>
      </c>
      <c r="P251" s="7" t="s">
        <v>606</v>
      </c>
      <c r="Q251" s="7" t="s">
        <v>276</v>
      </c>
      <c r="AC251" s="3" t="str">
        <f ca="1">HYPERLINK("#"&amp;재료비목록표!G2&amp;"!A"&amp;ROW(재료비목록표!A10),"M00779 →")</f>
        <v>M00779 →</v>
      </c>
    </row>
    <row r="252" spans="1:29" ht="30.6" customHeight="1" x14ac:dyDescent="0.3">
      <c r="A252" s="197"/>
      <c r="B252" s="197"/>
      <c r="C252" s="189"/>
      <c r="D252" s="45">
        <v>32</v>
      </c>
      <c r="E252" s="212"/>
      <c r="F252" s="51">
        <f t="shared" si="55"/>
        <v>17160</v>
      </c>
      <c r="G252" s="59">
        <f t="shared" si="56"/>
        <v>549120</v>
      </c>
      <c r="H252" s="67">
        <v>0</v>
      </c>
      <c r="I252" s="73">
        <f t="shared" si="57"/>
        <v>0</v>
      </c>
      <c r="J252" s="75">
        <f>IF(D252=0,0,재료비목록표!E10)</f>
        <v>17160</v>
      </c>
      <c r="K252" s="63">
        <f t="shared" si="58"/>
        <v>549120</v>
      </c>
      <c r="L252" s="79">
        <v>0</v>
      </c>
      <c r="M252" s="73">
        <f t="shared" si="59"/>
        <v>0</v>
      </c>
      <c r="N252" s="189"/>
      <c r="O252" s="17" t="s">
        <v>609</v>
      </c>
      <c r="P252" s="7" t="s">
        <v>608</v>
      </c>
      <c r="Q252" s="7" t="s">
        <v>279</v>
      </c>
    </row>
    <row r="253" spans="1:29" ht="30.6" customHeight="1" x14ac:dyDescent="0.3">
      <c r="A253" s="196"/>
      <c r="B253" s="196" t="s">
        <v>615</v>
      </c>
      <c r="C253" s="215" t="s">
        <v>616</v>
      </c>
      <c r="D253" s="44">
        <v>1190</v>
      </c>
      <c r="E253" s="211" t="s">
        <v>519</v>
      </c>
      <c r="F253" s="50">
        <f t="shared" si="55"/>
        <v>4655</v>
      </c>
      <c r="G253" s="58">
        <f t="shared" si="56"/>
        <v>5539450</v>
      </c>
      <c r="H253" s="66">
        <v>0</v>
      </c>
      <c r="I253" s="70">
        <f t="shared" si="57"/>
        <v>0</v>
      </c>
      <c r="J253" s="66">
        <v>4655</v>
      </c>
      <c r="K253" s="72">
        <f t="shared" si="58"/>
        <v>5539450</v>
      </c>
      <c r="L253" s="78">
        <v>0</v>
      </c>
      <c r="M253" s="72">
        <f t="shared" si="59"/>
        <v>0</v>
      </c>
      <c r="N253" s="213" t="s">
        <v>617</v>
      </c>
      <c r="O253" s="17" t="s">
        <v>612</v>
      </c>
      <c r="P253" s="7" t="s">
        <v>611</v>
      </c>
      <c r="Q253" s="7" t="s">
        <v>276</v>
      </c>
    </row>
    <row r="254" spans="1:29" ht="30.6" customHeight="1" x14ac:dyDescent="0.3">
      <c r="A254" s="197"/>
      <c r="B254" s="197"/>
      <c r="C254" s="189"/>
      <c r="D254" s="45">
        <v>185</v>
      </c>
      <c r="E254" s="212"/>
      <c r="F254" s="51">
        <f t="shared" si="55"/>
        <v>4655</v>
      </c>
      <c r="G254" s="59">
        <f t="shared" si="56"/>
        <v>861175</v>
      </c>
      <c r="H254" s="67">
        <v>0</v>
      </c>
      <c r="I254" s="71">
        <f t="shared" si="57"/>
        <v>0</v>
      </c>
      <c r="J254" s="67">
        <v>4655</v>
      </c>
      <c r="K254" s="73">
        <f t="shared" si="58"/>
        <v>861175</v>
      </c>
      <c r="L254" s="79">
        <v>0</v>
      </c>
      <c r="M254" s="73">
        <f t="shared" si="59"/>
        <v>0</v>
      </c>
      <c r="N254" s="189"/>
      <c r="O254" s="17" t="s">
        <v>614</v>
      </c>
      <c r="P254" s="7" t="s">
        <v>613</v>
      </c>
      <c r="Q254" s="7" t="s">
        <v>279</v>
      </c>
    </row>
    <row r="255" spans="1:29" ht="30.6" customHeight="1" x14ac:dyDescent="0.3">
      <c r="A255" s="196"/>
      <c r="B255" s="196" t="s">
        <v>622</v>
      </c>
      <c r="C255" s="215" t="s">
        <v>180</v>
      </c>
      <c r="D255" s="44">
        <v>606</v>
      </c>
      <c r="E255" s="211" t="s">
        <v>92</v>
      </c>
      <c r="F255" s="50">
        <f t="shared" si="55"/>
        <v>39600</v>
      </c>
      <c r="G255" s="58">
        <f t="shared" si="56"/>
        <v>23997600</v>
      </c>
      <c r="H255" s="66">
        <v>0</v>
      </c>
      <c r="I255" s="70">
        <f t="shared" si="57"/>
        <v>0</v>
      </c>
      <c r="J255" s="66">
        <v>39600</v>
      </c>
      <c r="K255" s="72">
        <f t="shared" si="58"/>
        <v>23997600</v>
      </c>
      <c r="L255" s="78">
        <v>0</v>
      </c>
      <c r="M255" s="72">
        <f t="shared" si="59"/>
        <v>0</v>
      </c>
      <c r="N255" s="213" t="s">
        <v>623</v>
      </c>
      <c r="O255" s="17" t="s">
        <v>619</v>
      </c>
      <c r="P255" s="7" t="s">
        <v>618</v>
      </c>
      <c r="Q255" s="7" t="s">
        <v>276</v>
      </c>
    </row>
    <row r="256" spans="1:29" ht="30.6" customHeight="1" x14ac:dyDescent="0.3">
      <c r="A256" s="197"/>
      <c r="B256" s="197"/>
      <c r="C256" s="189"/>
      <c r="D256" s="45">
        <v>460</v>
      </c>
      <c r="E256" s="212"/>
      <c r="F256" s="51">
        <f t="shared" si="55"/>
        <v>39600</v>
      </c>
      <c r="G256" s="59">
        <f t="shared" si="56"/>
        <v>18216000</v>
      </c>
      <c r="H256" s="67">
        <v>0</v>
      </c>
      <c r="I256" s="71">
        <f t="shared" si="57"/>
        <v>0</v>
      </c>
      <c r="J256" s="67">
        <v>39600</v>
      </c>
      <c r="K256" s="73">
        <f t="shared" si="58"/>
        <v>18216000</v>
      </c>
      <c r="L256" s="79">
        <v>0</v>
      </c>
      <c r="M256" s="73">
        <f t="shared" si="59"/>
        <v>0</v>
      </c>
      <c r="N256" s="189"/>
      <c r="O256" s="17" t="s">
        <v>621</v>
      </c>
      <c r="P256" s="7" t="s">
        <v>620</v>
      </c>
      <c r="Q256" s="7" t="s">
        <v>279</v>
      </c>
    </row>
    <row r="257" spans="1:17" ht="30.6" customHeight="1" x14ac:dyDescent="0.3">
      <c r="A257" s="196"/>
      <c r="B257" s="196" t="s">
        <v>628</v>
      </c>
      <c r="C257" s="215"/>
      <c r="D257" s="44">
        <v>187</v>
      </c>
      <c r="E257" s="211" t="s">
        <v>14</v>
      </c>
      <c r="F257" s="50">
        <f t="shared" si="55"/>
        <v>6050</v>
      </c>
      <c r="G257" s="58">
        <f t="shared" si="56"/>
        <v>1131350</v>
      </c>
      <c r="H257" s="66">
        <v>0</v>
      </c>
      <c r="I257" s="70">
        <f t="shared" si="57"/>
        <v>0</v>
      </c>
      <c r="J257" s="66">
        <v>6050</v>
      </c>
      <c r="K257" s="72">
        <f t="shared" si="58"/>
        <v>1131350</v>
      </c>
      <c r="L257" s="78">
        <v>0</v>
      </c>
      <c r="M257" s="72">
        <f t="shared" si="59"/>
        <v>0</v>
      </c>
      <c r="N257" s="213" t="s">
        <v>629</v>
      </c>
      <c r="O257" s="17" t="s">
        <v>625</v>
      </c>
      <c r="P257" s="7" t="s">
        <v>624</v>
      </c>
      <c r="Q257" s="7" t="s">
        <v>276</v>
      </c>
    </row>
    <row r="258" spans="1:17" ht="30.6" customHeight="1" x14ac:dyDescent="0.3">
      <c r="A258" s="197"/>
      <c r="B258" s="197"/>
      <c r="C258" s="189"/>
      <c r="D258" s="45">
        <v>55</v>
      </c>
      <c r="E258" s="212"/>
      <c r="F258" s="51">
        <f t="shared" si="55"/>
        <v>6050</v>
      </c>
      <c r="G258" s="59">
        <f t="shared" si="56"/>
        <v>332750</v>
      </c>
      <c r="H258" s="67">
        <v>0</v>
      </c>
      <c r="I258" s="71">
        <f t="shared" si="57"/>
        <v>0</v>
      </c>
      <c r="J258" s="67">
        <v>6050</v>
      </c>
      <c r="K258" s="73">
        <f t="shared" si="58"/>
        <v>332750</v>
      </c>
      <c r="L258" s="79">
        <v>0</v>
      </c>
      <c r="M258" s="73">
        <f t="shared" si="59"/>
        <v>0</v>
      </c>
      <c r="N258" s="189"/>
      <c r="O258" s="17" t="s">
        <v>627</v>
      </c>
      <c r="P258" s="7" t="s">
        <v>626</v>
      </c>
      <c r="Q258" s="7" t="s">
        <v>279</v>
      </c>
    </row>
    <row r="259" spans="1:17" ht="30.6" customHeight="1" x14ac:dyDescent="0.3">
      <c r="A259" s="214"/>
      <c r="B259" s="214"/>
      <c r="C259" s="188"/>
      <c r="D259" s="42"/>
      <c r="E259" s="211"/>
      <c r="F259" s="48">
        <v>0</v>
      </c>
      <c r="G259" s="56"/>
      <c r="H259" s="64"/>
      <c r="I259" s="64"/>
      <c r="J259" s="64"/>
      <c r="K259" s="64"/>
      <c r="L259" s="64"/>
      <c r="M259" s="82"/>
      <c r="N259" s="213"/>
      <c r="O259" s="17" t="s">
        <v>265</v>
      </c>
      <c r="P259" s="7" t="s">
        <v>263</v>
      </c>
      <c r="Q259" s="7" t="s">
        <v>264</v>
      </c>
    </row>
    <row r="260" spans="1:17" ht="30.6" customHeight="1" x14ac:dyDescent="0.3">
      <c r="A260" s="197"/>
      <c r="B260" s="197"/>
      <c r="C260" s="189"/>
      <c r="D260" s="43"/>
      <c r="E260" s="212"/>
      <c r="F260" s="49">
        <v>0</v>
      </c>
      <c r="G260" s="57"/>
      <c r="H260" s="65"/>
      <c r="I260" s="65"/>
      <c r="J260" s="65"/>
      <c r="K260" s="65"/>
      <c r="L260" s="65"/>
      <c r="M260" s="83"/>
      <c r="N260" s="189"/>
      <c r="O260" s="17" t="s">
        <v>268</v>
      </c>
      <c r="P260" s="7" t="s">
        <v>266</v>
      </c>
      <c r="Q260" s="7" t="s">
        <v>267</v>
      </c>
    </row>
    <row r="261" spans="1:17" ht="30.6" customHeight="1" x14ac:dyDescent="0.3">
      <c r="A261" s="214"/>
      <c r="B261" s="214"/>
      <c r="C261" s="188"/>
      <c r="D261" s="42"/>
      <c r="E261" s="211"/>
      <c r="F261" s="48">
        <v>0</v>
      </c>
      <c r="G261" s="56"/>
      <c r="H261" s="64"/>
      <c r="I261" s="64"/>
      <c r="J261" s="64"/>
      <c r="K261" s="64"/>
      <c r="L261" s="64"/>
      <c r="M261" s="82"/>
      <c r="N261" s="213"/>
      <c r="O261" s="17" t="s">
        <v>265</v>
      </c>
      <c r="P261" s="7" t="s">
        <v>263</v>
      </c>
      <c r="Q261" s="7" t="s">
        <v>258</v>
      </c>
    </row>
    <row r="262" spans="1:17" ht="30.6" customHeight="1" x14ac:dyDescent="0.3">
      <c r="A262" s="197"/>
      <c r="B262" s="197"/>
      <c r="C262" s="189"/>
      <c r="D262" s="43"/>
      <c r="E262" s="212"/>
      <c r="F262" s="49">
        <v>0</v>
      </c>
      <c r="G262" s="57"/>
      <c r="H262" s="65"/>
      <c r="I262" s="65"/>
      <c r="J262" s="65"/>
      <c r="K262" s="65"/>
      <c r="L262" s="65"/>
      <c r="M262" s="83"/>
      <c r="N262" s="189"/>
      <c r="O262" s="17" t="s">
        <v>268</v>
      </c>
      <c r="P262" s="7" t="s">
        <v>266</v>
      </c>
      <c r="Q262" s="7" t="s">
        <v>260</v>
      </c>
    </row>
    <row r="263" spans="1:17" hidden="1" x14ac:dyDescent="0.3">
      <c r="G263" s="60">
        <f>SUMIF(Q5:Q262,"E10_1",G5:G262)</f>
        <v>93027484</v>
      </c>
      <c r="I263" s="60">
        <f>SUMIF(Q5:Q262,"E10_1",I5:I262)</f>
        <v>32976276</v>
      </c>
      <c r="K263" s="60">
        <f>SUMIF(Q5:Q262,"E10_1",K5:K262)</f>
        <v>40003539</v>
      </c>
      <c r="M263" s="60">
        <f>SUMIF(Q5:Q262,"E10_1",M5:M262)</f>
        <v>20047669</v>
      </c>
    </row>
    <row r="264" spans="1:17" hidden="1" x14ac:dyDescent="0.3">
      <c r="G264" s="61">
        <f>SUMIF(Q5:Q262,"E10_2",G5:G262)</f>
        <v>85142041</v>
      </c>
      <c r="I264" s="61">
        <f>SUMIF(Q5:Q262,"E10_2",I5:I262)</f>
        <v>41778438</v>
      </c>
      <c r="K264" s="61">
        <f>SUMIF(Q5:Q262,"E10_2",K5:K262)</f>
        <v>26448347</v>
      </c>
      <c r="M264" s="61">
        <f>SUMIF(Q5:Q262,"E10_2",M5:M262)</f>
        <v>16915256</v>
      </c>
    </row>
    <row r="265" spans="1:17" ht="30.6" customHeight="1" x14ac:dyDescent="0.3">
      <c r="A265" s="216"/>
      <c r="B265" s="216"/>
      <c r="C265" s="216"/>
      <c r="D265" s="46"/>
      <c r="E265" s="218"/>
      <c r="F265" s="52"/>
      <c r="G265" s="52"/>
      <c r="H265" s="52"/>
      <c r="I265" s="52"/>
      <c r="J265" s="52"/>
      <c r="K265" s="52"/>
      <c r="L265" s="52"/>
      <c r="M265" s="52"/>
      <c r="N265" s="186"/>
    </row>
    <row r="266" spans="1:17" ht="30.6" customHeight="1" x14ac:dyDescent="0.3">
      <c r="A266" s="217"/>
      <c r="B266" s="217"/>
      <c r="C266" s="217"/>
      <c r="D266" s="47"/>
      <c r="E266" s="202"/>
      <c r="F266" s="53"/>
      <c r="G266" s="53"/>
      <c r="H266" s="53"/>
      <c r="I266" s="53"/>
      <c r="J266" s="53"/>
      <c r="K266" s="53"/>
      <c r="L266" s="53"/>
      <c r="M266" s="53"/>
      <c r="N266" s="187"/>
    </row>
  </sheetData>
  <mergeCells count="661">
    <mergeCell ref="A265:A266"/>
    <mergeCell ref="B265:B266"/>
    <mergeCell ref="C265:C266"/>
    <mergeCell ref="E265:E266"/>
    <mergeCell ref="N265:N266"/>
    <mergeCell ref="A259:A260"/>
    <mergeCell ref="B259:B260"/>
    <mergeCell ref="C259:C260"/>
    <mergeCell ref="E259:E260"/>
    <mergeCell ref="N259:N260"/>
    <mergeCell ref="A261:A262"/>
    <mergeCell ref="B261:B262"/>
    <mergeCell ref="C261:C262"/>
    <mergeCell ref="E261:E262"/>
    <mergeCell ref="N261:N262"/>
    <mergeCell ref="A255:A256"/>
    <mergeCell ref="B255:B256"/>
    <mergeCell ref="C255:C256"/>
    <mergeCell ref="E255:E256"/>
    <mergeCell ref="N255:N256"/>
    <mergeCell ref="A257:A258"/>
    <mergeCell ref="B257:B258"/>
    <mergeCell ref="C257:C258"/>
    <mergeCell ref="E257:E258"/>
    <mergeCell ref="N257:N258"/>
    <mergeCell ref="A251:A252"/>
    <mergeCell ref="B251:B252"/>
    <mergeCell ref="C251:C252"/>
    <mergeCell ref="E251:E252"/>
    <mergeCell ref="N251:N252"/>
    <mergeCell ref="A253:A254"/>
    <mergeCell ref="B253:B254"/>
    <mergeCell ref="C253:C254"/>
    <mergeCell ref="E253:E254"/>
    <mergeCell ref="N253:N254"/>
    <mergeCell ref="A247:A248"/>
    <mergeCell ref="B247:B248"/>
    <mergeCell ref="C247:C248"/>
    <mergeCell ref="E247:E248"/>
    <mergeCell ref="N247:N248"/>
    <mergeCell ref="A249:A250"/>
    <mergeCell ref="B249:B250"/>
    <mergeCell ref="C249:C250"/>
    <mergeCell ref="E249:E250"/>
    <mergeCell ref="N249:N250"/>
    <mergeCell ref="A243:A244"/>
    <mergeCell ref="B243:B244"/>
    <mergeCell ref="C243:C244"/>
    <mergeCell ref="E243:E244"/>
    <mergeCell ref="N243:N244"/>
    <mergeCell ref="A245:A246"/>
    <mergeCell ref="B245:B246"/>
    <mergeCell ref="C245:C246"/>
    <mergeCell ref="E245:E246"/>
    <mergeCell ref="N245:N246"/>
    <mergeCell ref="A239:A240"/>
    <mergeCell ref="B239:B240"/>
    <mergeCell ref="C239:C240"/>
    <mergeCell ref="E239:E240"/>
    <mergeCell ref="N239:N240"/>
    <mergeCell ref="A241:A242"/>
    <mergeCell ref="B241:B242"/>
    <mergeCell ref="C241:C242"/>
    <mergeCell ref="E241:E242"/>
    <mergeCell ref="N241:N242"/>
    <mergeCell ref="A235:A236"/>
    <mergeCell ref="B235:B236"/>
    <mergeCell ref="C235:C236"/>
    <mergeCell ref="E235:E236"/>
    <mergeCell ref="N235:N236"/>
    <mergeCell ref="A237:A238"/>
    <mergeCell ref="B237:B238"/>
    <mergeCell ref="C237:C238"/>
    <mergeCell ref="E237:E238"/>
    <mergeCell ref="N237:N238"/>
    <mergeCell ref="A231:A232"/>
    <mergeCell ref="B231:B232"/>
    <mergeCell ref="C231:C232"/>
    <mergeCell ref="E231:E232"/>
    <mergeCell ref="N231:N232"/>
    <mergeCell ref="A233:A234"/>
    <mergeCell ref="B233:B234"/>
    <mergeCell ref="C233:C234"/>
    <mergeCell ref="E233:E234"/>
    <mergeCell ref="N233:N234"/>
    <mergeCell ref="A227:A228"/>
    <mergeCell ref="B227:B228"/>
    <mergeCell ref="C227:C228"/>
    <mergeCell ref="E227:E228"/>
    <mergeCell ref="N227:N228"/>
    <mergeCell ref="A229:A230"/>
    <mergeCell ref="B229:B230"/>
    <mergeCell ref="C229:C230"/>
    <mergeCell ref="E229:E230"/>
    <mergeCell ref="N229:N230"/>
    <mergeCell ref="A223:A224"/>
    <mergeCell ref="B223:B224"/>
    <mergeCell ref="C223:C224"/>
    <mergeCell ref="E223:E224"/>
    <mergeCell ref="N223:N224"/>
    <mergeCell ref="A225:A226"/>
    <mergeCell ref="B225:B226"/>
    <mergeCell ref="C225:C226"/>
    <mergeCell ref="E225:E226"/>
    <mergeCell ref="N225:N226"/>
    <mergeCell ref="A219:A220"/>
    <mergeCell ref="B219:B220"/>
    <mergeCell ref="C219:C220"/>
    <mergeCell ref="E219:E220"/>
    <mergeCell ref="N219:N220"/>
    <mergeCell ref="A221:A222"/>
    <mergeCell ref="B221:B222"/>
    <mergeCell ref="C221:C222"/>
    <mergeCell ref="E221:E222"/>
    <mergeCell ref="N221:N222"/>
    <mergeCell ref="A215:A216"/>
    <mergeCell ref="B215:B216"/>
    <mergeCell ref="C215:C216"/>
    <mergeCell ref="E215:E216"/>
    <mergeCell ref="N215:N216"/>
    <mergeCell ref="A217:A218"/>
    <mergeCell ref="B217:B218"/>
    <mergeCell ref="C217:C218"/>
    <mergeCell ref="E217:E218"/>
    <mergeCell ref="N217:N218"/>
    <mergeCell ref="A211:A212"/>
    <mergeCell ref="B211:B212"/>
    <mergeCell ref="C211:C212"/>
    <mergeCell ref="E211:E212"/>
    <mergeCell ref="N211:N212"/>
    <mergeCell ref="A213:A214"/>
    <mergeCell ref="B213:B214"/>
    <mergeCell ref="C213:C214"/>
    <mergeCell ref="E213:E214"/>
    <mergeCell ref="N213:N214"/>
    <mergeCell ref="A207:A208"/>
    <mergeCell ref="B207:B208"/>
    <mergeCell ref="C207:C208"/>
    <mergeCell ref="E207:E208"/>
    <mergeCell ref="N207:N208"/>
    <mergeCell ref="A209:A210"/>
    <mergeCell ref="B209:B210"/>
    <mergeCell ref="C209:C210"/>
    <mergeCell ref="E209:E210"/>
    <mergeCell ref="N209:N210"/>
    <mergeCell ref="A203:A204"/>
    <mergeCell ref="B203:B204"/>
    <mergeCell ref="C203:C204"/>
    <mergeCell ref="E203:E204"/>
    <mergeCell ref="N203:N204"/>
    <mergeCell ref="A205:A206"/>
    <mergeCell ref="B205:B206"/>
    <mergeCell ref="C205:C206"/>
    <mergeCell ref="E205:E206"/>
    <mergeCell ref="N205:N206"/>
    <mergeCell ref="A199:A200"/>
    <mergeCell ref="B199:B200"/>
    <mergeCell ref="C199:C200"/>
    <mergeCell ref="E199:E200"/>
    <mergeCell ref="N199:N200"/>
    <mergeCell ref="A201:A202"/>
    <mergeCell ref="B201:B202"/>
    <mergeCell ref="C201:C202"/>
    <mergeCell ref="E201:E202"/>
    <mergeCell ref="N201:N202"/>
    <mergeCell ref="A195:A196"/>
    <mergeCell ref="B195:B196"/>
    <mergeCell ref="C195:C196"/>
    <mergeCell ref="E195:E196"/>
    <mergeCell ref="N195:N196"/>
    <mergeCell ref="A197:A198"/>
    <mergeCell ref="B197:B198"/>
    <mergeCell ref="C197:C198"/>
    <mergeCell ref="E197:E198"/>
    <mergeCell ref="N197:N198"/>
    <mergeCell ref="A191:A192"/>
    <mergeCell ref="B191:B192"/>
    <mergeCell ref="C191:C192"/>
    <mergeCell ref="E191:E192"/>
    <mergeCell ref="N191:N192"/>
    <mergeCell ref="A193:A194"/>
    <mergeCell ref="B193:B194"/>
    <mergeCell ref="C193:C194"/>
    <mergeCell ref="E193:E194"/>
    <mergeCell ref="N193:N194"/>
    <mergeCell ref="A187:A188"/>
    <mergeCell ref="B187:B188"/>
    <mergeCell ref="C187:C188"/>
    <mergeCell ref="E187:E188"/>
    <mergeCell ref="N187:N188"/>
    <mergeCell ref="A189:A190"/>
    <mergeCell ref="B189:B190"/>
    <mergeCell ref="C189:C190"/>
    <mergeCell ref="E189:E190"/>
    <mergeCell ref="N189:N190"/>
    <mergeCell ref="A183:A184"/>
    <mergeCell ref="B183:B184"/>
    <mergeCell ref="C183:C184"/>
    <mergeCell ref="E183:E184"/>
    <mergeCell ref="N183:N184"/>
    <mergeCell ref="A185:A186"/>
    <mergeCell ref="B185:B186"/>
    <mergeCell ref="C185:C186"/>
    <mergeCell ref="E185:E186"/>
    <mergeCell ref="N185:N186"/>
    <mergeCell ref="A179:A180"/>
    <mergeCell ref="B179:B180"/>
    <mergeCell ref="C179:C180"/>
    <mergeCell ref="E179:E180"/>
    <mergeCell ref="N179:N180"/>
    <mergeCell ref="A181:A182"/>
    <mergeCell ref="B181:B182"/>
    <mergeCell ref="C181:C182"/>
    <mergeCell ref="E181:E182"/>
    <mergeCell ref="N181:N182"/>
    <mergeCell ref="A175:A176"/>
    <mergeCell ref="B175:B176"/>
    <mergeCell ref="C175:C176"/>
    <mergeCell ref="E175:E176"/>
    <mergeCell ref="N175:N176"/>
    <mergeCell ref="A177:A178"/>
    <mergeCell ref="B177:B178"/>
    <mergeCell ref="C177:C178"/>
    <mergeCell ref="E177:E178"/>
    <mergeCell ref="N177:N178"/>
    <mergeCell ref="A171:A172"/>
    <mergeCell ref="B171:B172"/>
    <mergeCell ref="C171:C172"/>
    <mergeCell ref="E171:E172"/>
    <mergeCell ref="N171:N172"/>
    <mergeCell ref="A173:A174"/>
    <mergeCell ref="B173:B174"/>
    <mergeCell ref="C173:C174"/>
    <mergeCell ref="E173:E174"/>
    <mergeCell ref="N173:N174"/>
    <mergeCell ref="A167:A168"/>
    <mergeCell ref="B167:B168"/>
    <mergeCell ref="C167:C168"/>
    <mergeCell ref="E167:E168"/>
    <mergeCell ref="N167:N168"/>
    <mergeCell ref="A169:A170"/>
    <mergeCell ref="B169:B170"/>
    <mergeCell ref="C169:C170"/>
    <mergeCell ref="E169:E170"/>
    <mergeCell ref="N169:N170"/>
    <mergeCell ref="A163:A164"/>
    <mergeCell ref="B163:B164"/>
    <mergeCell ref="C163:C164"/>
    <mergeCell ref="E163:E164"/>
    <mergeCell ref="N163:N164"/>
    <mergeCell ref="A165:A166"/>
    <mergeCell ref="B165:B166"/>
    <mergeCell ref="C165:C166"/>
    <mergeCell ref="E165:E166"/>
    <mergeCell ref="N165:N166"/>
    <mergeCell ref="A159:A160"/>
    <mergeCell ref="B159:B160"/>
    <mergeCell ref="C159:C160"/>
    <mergeCell ref="E159:E160"/>
    <mergeCell ref="N159:N160"/>
    <mergeCell ref="A161:A162"/>
    <mergeCell ref="B161:B162"/>
    <mergeCell ref="C161:C162"/>
    <mergeCell ref="E161:E162"/>
    <mergeCell ref="N161:N162"/>
    <mergeCell ref="A155:A156"/>
    <mergeCell ref="B155:B156"/>
    <mergeCell ref="C155:C156"/>
    <mergeCell ref="E155:E156"/>
    <mergeCell ref="N155:N156"/>
    <mergeCell ref="A157:A158"/>
    <mergeCell ref="B157:B158"/>
    <mergeCell ref="C157:C158"/>
    <mergeCell ref="E157:E158"/>
    <mergeCell ref="N157:N158"/>
    <mergeCell ref="A151:A152"/>
    <mergeCell ref="B151:B152"/>
    <mergeCell ref="C151:C152"/>
    <mergeCell ref="E151:E152"/>
    <mergeCell ref="N151:N152"/>
    <mergeCell ref="A153:A154"/>
    <mergeCell ref="B153:B154"/>
    <mergeCell ref="C153:C154"/>
    <mergeCell ref="E153:E154"/>
    <mergeCell ref="N153:N154"/>
    <mergeCell ref="A147:A148"/>
    <mergeCell ref="B147:B148"/>
    <mergeCell ref="C147:C148"/>
    <mergeCell ref="E147:E148"/>
    <mergeCell ref="N147:N148"/>
    <mergeCell ref="A149:A150"/>
    <mergeCell ref="B149:B150"/>
    <mergeCell ref="C149:C150"/>
    <mergeCell ref="E149:E150"/>
    <mergeCell ref="N149:N150"/>
    <mergeCell ref="A143:A144"/>
    <mergeCell ref="B143:B144"/>
    <mergeCell ref="C143:C144"/>
    <mergeCell ref="E143:E144"/>
    <mergeCell ref="N143:N144"/>
    <mergeCell ref="A145:A146"/>
    <mergeCell ref="B145:B146"/>
    <mergeCell ref="C145:C146"/>
    <mergeCell ref="E145:E146"/>
    <mergeCell ref="N145:N146"/>
    <mergeCell ref="A139:A140"/>
    <mergeCell ref="B139:B140"/>
    <mergeCell ref="C139:C140"/>
    <mergeCell ref="E139:E140"/>
    <mergeCell ref="N139:N140"/>
    <mergeCell ref="A141:A142"/>
    <mergeCell ref="B141:B142"/>
    <mergeCell ref="C141:C142"/>
    <mergeCell ref="E141:E142"/>
    <mergeCell ref="N141:N142"/>
    <mergeCell ref="A135:A136"/>
    <mergeCell ref="B135:B136"/>
    <mergeCell ref="C135:C136"/>
    <mergeCell ref="E135:E136"/>
    <mergeCell ref="N135:N136"/>
    <mergeCell ref="A137:A138"/>
    <mergeCell ref="B137:B138"/>
    <mergeCell ref="C137:C138"/>
    <mergeCell ref="E137:E138"/>
    <mergeCell ref="N137:N138"/>
    <mergeCell ref="A131:A132"/>
    <mergeCell ref="B131:B132"/>
    <mergeCell ref="C131:C132"/>
    <mergeCell ref="E131:E132"/>
    <mergeCell ref="N131:N132"/>
    <mergeCell ref="A133:A134"/>
    <mergeCell ref="B133:B134"/>
    <mergeCell ref="C133:C134"/>
    <mergeCell ref="E133:E134"/>
    <mergeCell ref="N133:N134"/>
    <mergeCell ref="A127:A128"/>
    <mergeCell ref="B127:B128"/>
    <mergeCell ref="C127:C128"/>
    <mergeCell ref="E127:E128"/>
    <mergeCell ref="N127:N128"/>
    <mergeCell ref="A129:A130"/>
    <mergeCell ref="B129:B130"/>
    <mergeCell ref="C129:C130"/>
    <mergeCell ref="E129:E130"/>
    <mergeCell ref="N129:N130"/>
    <mergeCell ref="A123:A124"/>
    <mergeCell ref="B123:B124"/>
    <mergeCell ref="C123:C124"/>
    <mergeCell ref="E123:E124"/>
    <mergeCell ref="N123:N124"/>
    <mergeCell ref="A125:A126"/>
    <mergeCell ref="B125:B126"/>
    <mergeCell ref="C125:C126"/>
    <mergeCell ref="E125:E126"/>
    <mergeCell ref="N125:N126"/>
    <mergeCell ref="A119:A120"/>
    <mergeCell ref="B119:B120"/>
    <mergeCell ref="C119:C120"/>
    <mergeCell ref="E119:E120"/>
    <mergeCell ref="N119:N120"/>
    <mergeCell ref="A121:A122"/>
    <mergeCell ref="B121:B122"/>
    <mergeCell ref="C121:C122"/>
    <mergeCell ref="E121:E122"/>
    <mergeCell ref="N121:N122"/>
    <mergeCell ref="A115:A116"/>
    <mergeCell ref="B115:B116"/>
    <mergeCell ref="C115:C116"/>
    <mergeCell ref="E115:E116"/>
    <mergeCell ref="N115:N116"/>
    <mergeCell ref="A117:A118"/>
    <mergeCell ref="B117:B118"/>
    <mergeCell ref="C117:C118"/>
    <mergeCell ref="E117:E118"/>
    <mergeCell ref="N117:N118"/>
    <mergeCell ref="A111:A112"/>
    <mergeCell ref="B111:B112"/>
    <mergeCell ref="C111:C112"/>
    <mergeCell ref="E111:E112"/>
    <mergeCell ref="N111:N112"/>
    <mergeCell ref="A113:A114"/>
    <mergeCell ref="B113:B114"/>
    <mergeCell ref="C113:C114"/>
    <mergeCell ref="E113:E114"/>
    <mergeCell ref="N113:N114"/>
    <mergeCell ref="A107:A108"/>
    <mergeCell ref="B107:B108"/>
    <mergeCell ref="C107:C108"/>
    <mergeCell ref="E107:E108"/>
    <mergeCell ref="N107:N108"/>
    <mergeCell ref="A109:A110"/>
    <mergeCell ref="B109:B110"/>
    <mergeCell ref="C109:C110"/>
    <mergeCell ref="E109:E110"/>
    <mergeCell ref="N109:N110"/>
    <mergeCell ref="A103:A104"/>
    <mergeCell ref="B103:B104"/>
    <mergeCell ref="C103:C104"/>
    <mergeCell ref="E103:E104"/>
    <mergeCell ref="N103:N104"/>
    <mergeCell ref="A105:A106"/>
    <mergeCell ref="B105:B106"/>
    <mergeCell ref="C105:C106"/>
    <mergeCell ref="E105:E106"/>
    <mergeCell ref="N105:N106"/>
    <mergeCell ref="A99:A100"/>
    <mergeCell ref="B99:B100"/>
    <mergeCell ref="C99:C100"/>
    <mergeCell ref="E99:E100"/>
    <mergeCell ref="N99:N100"/>
    <mergeCell ref="A101:A102"/>
    <mergeCell ref="B101:B102"/>
    <mergeCell ref="C101:C102"/>
    <mergeCell ref="E101:E102"/>
    <mergeCell ref="N101:N102"/>
    <mergeCell ref="A95:A96"/>
    <mergeCell ref="B95:B96"/>
    <mergeCell ref="C95:C96"/>
    <mergeCell ref="E95:E96"/>
    <mergeCell ref="N95:N96"/>
    <mergeCell ref="A97:A98"/>
    <mergeCell ref="B97:B98"/>
    <mergeCell ref="C97:C98"/>
    <mergeCell ref="E97:E98"/>
    <mergeCell ref="N97:N98"/>
    <mergeCell ref="A91:A92"/>
    <mergeCell ref="B91:B92"/>
    <mergeCell ref="C91:C92"/>
    <mergeCell ref="E91:E92"/>
    <mergeCell ref="N91:N92"/>
    <mergeCell ref="A93:A94"/>
    <mergeCell ref="B93:B94"/>
    <mergeCell ref="C93:C94"/>
    <mergeCell ref="E93:E94"/>
    <mergeCell ref="N93:N94"/>
    <mergeCell ref="A87:A88"/>
    <mergeCell ref="B87:B88"/>
    <mergeCell ref="C87:C88"/>
    <mergeCell ref="E87:E88"/>
    <mergeCell ref="N87:N88"/>
    <mergeCell ref="A89:A90"/>
    <mergeCell ref="B89:B90"/>
    <mergeCell ref="C89:C90"/>
    <mergeCell ref="E89:E90"/>
    <mergeCell ref="N89:N90"/>
    <mergeCell ref="A83:A84"/>
    <mergeCell ref="B83:B84"/>
    <mergeCell ref="C83:C84"/>
    <mergeCell ref="E83:E84"/>
    <mergeCell ref="N83:N84"/>
    <mergeCell ref="A85:A86"/>
    <mergeCell ref="B85:B86"/>
    <mergeCell ref="C85:C86"/>
    <mergeCell ref="E85:E86"/>
    <mergeCell ref="N85:N86"/>
    <mergeCell ref="A79:A80"/>
    <mergeCell ref="B79:B80"/>
    <mergeCell ref="C79:C80"/>
    <mergeCell ref="E79:E80"/>
    <mergeCell ref="N79:N80"/>
    <mergeCell ref="A81:A82"/>
    <mergeCell ref="B81:B82"/>
    <mergeCell ref="C81:C82"/>
    <mergeCell ref="E81:E82"/>
    <mergeCell ref="N81:N82"/>
    <mergeCell ref="A75:A76"/>
    <mergeCell ref="B75:B76"/>
    <mergeCell ref="C75:C76"/>
    <mergeCell ref="E75:E76"/>
    <mergeCell ref="N75:N76"/>
    <mergeCell ref="A77:A78"/>
    <mergeCell ref="B77:B78"/>
    <mergeCell ref="C77:C78"/>
    <mergeCell ref="E77:E78"/>
    <mergeCell ref="N77:N78"/>
    <mergeCell ref="A71:A72"/>
    <mergeCell ref="B71:B72"/>
    <mergeCell ref="C71:C72"/>
    <mergeCell ref="E71:E72"/>
    <mergeCell ref="N71:N72"/>
    <mergeCell ref="A73:A74"/>
    <mergeCell ref="B73:B74"/>
    <mergeCell ref="C73:C74"/>
    <mergeCell ref="E73:E74"/>
    <mergeCell ref="N73:N74"/>
    <mergeCell ref="A67:A68"/>
    <mergeCell ref="B67:B68"/>
    <mergeCell ref="C67:C68"/>
    <mergeCell ref="E67:E68"/>
    <mergeCell ref="N67:N68"/>
    <mergeCell ref="A69:A70"/>
    <mergeCell ref="B69:B70"/>
    <mergeCell ref="C69:C70"/>
    <mergeCell ref="E69:E70"/>
    <mergeCell ref="N69:N70"/>
    <mergeCell ref="A63:A64"/>
    <mergeCell ref="B63:B64"/>
    <mergeCell ref="C63:C64"/>
    <mergeCell ref="E63:E64"/>
    <mergeCell ref="N63:N64"/>
    <mergeCell ref="A65:A66"/>
    <mergeCell ref="B65:B66"/>
    <mergeCell ref="C65:C66"/>
    <mergeCell ref="E65:E66"/>
    <mergeCell ref="N65:N66"/>
    <mergeCell ref="A59:A60"/>
    <mergeCell ref="B59:B60"/>
    <mergeCell ref="C59:C60"/>
    <mergeCell ref="E59:E60"/>
    <mergeCell ref="N59:N60"/>
    <mergeCell ref="A61:A62"/>
    <mergeCell ref="B61:B62"/>
    <mergeCell ref="C61:C62"/>
    <mergeCell ref="E61:E62"/>
    <mergeCell ref="N61:N62"/>
    <mergeCell ref="A55:A56"/>
    <mergeCell ref="B55:B56"/>
    <mergeCell ref="C55:C56"/>
    <mergeCell ref="E55:E56"/>
    <mergeCell ref="N55:N56"/>
    <mergeCell ref="A57:A58"/>
    <mergeCell ref="B57:B58"/>
    <mergeCell ref="C57:C58"/>
    <mergeCell ref="E57:E58"/>
    <mergeCell ref="N57:N58"/>
    <mergeCell ref="A51:A52"/>
    <mergeCell ref="B51:B52"/>
    <mergeCell ref="C51:C52"/>
    <mergeCell ref="E51:E52"/>
    <mergeCell ref="N51:N52"/>
    <mergeCell ref="A53:A54"/>
    <mergeCell ref="B53:B54"/>
    <mergeCell ref="C53:C54"/>
    <mergeCell ref="E53:E54"/>
    <mergeCell ref="N53:N54"/>
    <mergeCell ref="A47:A48"/>
    <mergeCell ref="B47:B48"/>
    <mergeCell ref="C47:C48"/>
    <mergeCell ref="E47:E48"/>
    <mergeCell ref="N47:N48"/>
    <mergeCell ref="A49:A50"/>
    <mergeCell ref="B49:B50"/>
    <mergeCell ref="C49:C50"/>
    <mergeCell ref="E49:E50"/>
    <mergeCell ref="N49:N50"/>
    <mergeCell ref="A43:A44"/>
    <mergeCell ref="B43:B44"/>
    <mergeCell ref="C43:C44"/>
    <mergeCell ref="E43:E44"/>
    <mergeCell ref="N43:N44"/>
    <mergeCell ref="A45:A46"/>
    <mergeCell ref="B45:B46"/>
    <mergeCell ref="C45:C46"/>
    <mergeCell ref="E45:E46"/>
    <mergeCell ref="N45:N46"/>
    <mergeCell ref="A39:A40"/>
    <mergeCell ref="B39:B40"/>
    <mergeCell ref="C39:C40"/>
    <mergeCell ref="E39:E40"/>
    <mergeCell ref="N39:N40"/>
    <mergeCell ref="A41:A42"/>
    <mergeCell ref="B41:B42"/>
    <mergeCell ref="C41:C42"/>
    <mergeCell ref="E41:E42"/>
    <mergeCell ref="N41:N42"/>
    <mergeCell ref="A35:A36"/>
    <mergeCell ref="B35:B36"/>
    <mergeCell ref="C35:C36"/>
    <mergeCell ref="E35:E36"/>
    <mergeCell ref="N35:N36"/>
    <mergeCell ref="A37:A38"/>
    <mergeCell ref="B37:B38"/>
    <mergeCell ref="C37:C38"/>
    <mergeCell ref="E37:E38"/>
    <mergeCell ref="N37:N38"/>
    <mergeCell ref="A31:A32"/>
    <mergeCell ref="B31:B32"/>
    <mergeCell ref="C31:C32"/>
    <mergeCell ref="E31:E32"/>
    <mergeCell ref="N31:N32"/>
    <mergeCell ref="A33:A34"/>
    <mergeCell ref="B33:B34"/>
    <mergeCell ref="C33:C34"/>
    <mergeCell ref="E33:E34"/>
    <mergeCell ref="N33:N34"/>
    <mergeCell ref="A27:A28"/>
    <mergeCell ref="B27:B28"/>
    <mergeCell ref="C27:C28"/>
    <mergeCell ref="E27:E28"/>
    <mergeCell ref="N27:N28"/>
    <mergeCell ref="A29:A30"/>
    <mergeCell ref="B29:B30"/>
    <mergeCell ref="C29:C30"/>
    <mergeCell ref="E29:E30"/>
    <mergeCell ref="N29:N30"/>
    <mergeCell ref="A23:A24"/>
    <mergeCell ref="B23:B24"/>
    <mergeCell ref="C23:C24"/>
    <mergeCell ref="E23:E24"/>
    <mergeCell ref="N23:N24"/>
    <mergeCell ref="A25:A26"/>
    <mergeCell ref="B25:B26"/>
    <mergeCell ref="C25:C26"/>
    <mergeCell ref="E25:E26"/>
    <mergeCell ref="N25:N26"/>
    <mergeCell ref="A19:A20"/>
    <mergeCell ref="B19:B20"/>
    <mergeCell ref="C19:C20"/>
    <mergeCell ref="E19:E20"/>
    <mergeCell ref="N19:N20"/>
    <mergeCell ref="A21:A22"/>
    <mergeCell ref="B21:B22"/>
    <mergeCell ref="C21:C22"/>
    <mergeCell ref="E21:E22"/>
    <mergeCell ref="N21:N22"/>
    <mergeCell ref="A15:A16"/>
    <mergeCell ref="B15:B16"/>
    <mergeCell ref="C15:C16"/>
    <mergeCell ref="E15:E16"/>
    <mergeCell ref="N15:N16"/>
    <mergeCell ref="A17:A18"/>
    <mergeCell ref="B17:B18"/>
    <mergeCell ref="C17:C18"/>
    <mergeCell ref="E17:E18"/>
    <mergeCell ref="N17:N18"/>
    <mergeCell ref="A11:A12"/>
    <mergeCell ref="B11:B12"/>
    <mergeCell ref="C11:C12"/>
    <mergeCell ref="E11:E12"/>
    <mergeCell ref="N11:N12"/>
    <mergeCell ref="A13:A14"/>
    <mergeCell ref="B13:B14"/>
    <mergeCell ref="C13:C14"/>
    <mergeCell ref="E13:E14"/>
    <mergeCell ref="N13:N14"/>
    <mergeCell ref="A7:A8"/>
    <mergeCell ref="B7:B8"/>
    <mergeCell ref="C7:C8"/>
    <mergeCell ref="E7:E8"/>
    <mergeCell ref="N7:N8"/>
    <mergeCell ref="A9:A10"/>
    <mergeCell ref="B9:B10"/>
    <mergeCell ref="C9:C10"/>
    <mergeCell ref="E9:E10"/>
    <mergeCell ref="N9:N10"/>
    <mergeCell ref="N3:N4"/>
    <mergeCell ref="A5:A6"/>
    <mergeCell ref="B5:B6"/>
    <mergeCell ref="C5:C6"/>
    <mergeCell ref="E5:E6"/>
    <mergeCell ref="N5:N6"/>
    <mergeCell ref="A1:N1"/>
    <mergeCell ref="A3:A4"/>
    <mergeCell ref="B3:B4"/>
    <mergeCell ref="C3:C4"/>
    <mergeCell ref="D3:D4"/>
    <mergeCell ref="E3:E4"/>
    <mergeCell ref="F3:G3"/>
    <mergeCell ref="H3:I3"/>
    <mergeCell ref="J3:K3"/>
    <mergeCell ref="L3:M3"/>
  </mergeCells>
  <phoneticPr fontId="25" type="noConversion"/>
  <conditionalFormatting sqref="D5:D266">
    <cfRule type="expression" dxfId="8" priority="1" stopIfTrue="1">
      <formula>AND(D5&lt;&gt;0,INT(D5)=D5)</formula>
    </cfRule>
  </conditionalFormatting>
  <conditionalFormatting sqref="F5:N266">
    <cfRule type="expression" dxfId="7" priority="2" stopIfTrue="1">
      <formula>AND(F5&lt;&gt;0,INT(F5)=F5)</formula>
    </cfRule>
  </conditionalFormatting>
  <hyperlinks>
    <hyperlink ref="AC1" r:id="rId1" tooltip="설계예산시스템(STmate w25.05)으로 작성 하였으며,_x000a_엑셀 인쇄품질 600 dpi에 최적화 되어 있습니다._x000a_경영정보(주) http://www.stma.co.kr_x000a_Tel) 070-4350-0040_x000a_Fax) 0505-300-3948"/>
    <hyperlink ref="O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69" fitToWidth="0" fitToHeight="0" orientation="landscape" r:id="rId3"/>
  <headerFooter alignWithMargins="0">
    <oddFooter>&amp;L&amp;"굴림체,"&amp;9 ( 상단:당초 , 하단:변경 )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7"/>
  <sheetViews>
    <sheetView workbookViewId="0">
      <pane ySplit="10" topLeftCell="A11" activePane="bottomLeft" state="frozenSplit"/>
      <selection pane="bottomLeft" activeCell="A11" sqref="A11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6" width="11.5" style="6" customWidth="1"/>
    <col min="7" max="7" width="10" style="6" customWidth="1"/>
    <col min="8" max="8" width="9.125" style="18" hidden="1" customWidth="1"/>
    <col min="9" max="16384" width="9.125" style="6"/>
  </cols>
  <sheetData>
    <row r="1" spans="1:8" ht="24.95" customHeight="1" x14ac:dyDescent="0.3">
      <c r="A1" s="183" t="s">
        <v>716</v>
      </c>
      <c r="B1" s="182"/>
      <c r="C1" s="182"/>
      <c r="D1" s="182"/>
      <c r="E1" s="182"/>
      <c r="F1" s="182"/>
      <c r="G1" s="182"/>
      <c r="H1" s="19" t="s">
        <v>47</v>
      </c>
    </row>
    <row r="2" spans="1:8" ht="21.75" customHeight="1" x14ac:dyDescent="0.3">
      <c r="A2" s="7"/>
      <c r="H2" s="20" t="str">
        <f ca="1">MID(CELL("filename",$A$1),FIND("]",CELL("filename",$A$1))+1,LEN(CELL("filename",$A$1)))</f>
        <v>설계변경금액대비표</v>
      </c>
    </row>
    <row r="3" spans="1:8" ht="21.75" customHeight="1" x14ac:dyDescent="0.3">
      <c r="E3" s="219" t="s">
        <v>717</v>
      </c>
      <c r="F3" s="182"/>
      <c r="G3" s="182"/>
    </row>
    <row r="4" spans="1:8" ht="21.75" customHeight="1" x14ac:dyDescent="0.3">
      <c r="E4" s="219" t="s">
        <v>718</v>
      </c>
      <c r="F4" s="182"/>
      <c r="G4" s="182"/>
    </row>
    <row r="5" spans="1:8" ht="21.75" customHeight="1" x14ac:dyDescent="0.3">
      <c r="E5" s="219" t="s">
        <v>719</v>
      </c>
      <c r="F5" s="182"/>
      <c r="G5" s="182"/>
    </row>
    <row r="6" spans="1:8" ht="21.75" customHeight="1" x14ac:dyDescent="0.3">
      <c r="A6" s="220" t="s">
        <v>720</v>
      </c>
      <c r="B6" s="182"/>
      <c r="C6" s="219" t="s">
        <v>721</v>
      </c>
      <c r="D6" s="182"/>
      <c r="E6" s="182"/>
      <c r="F6" s="182"/>
      <c r="G6" s="182"/>
    </row>
    <row r="7" spans="1:8" ht="21.75" customHeight="1" x14ac:dyDescent="0.3">
      <c r="A7" s="220" t="s">
        <v>722</v>
      </c>
      <c r="B7" s="182"/>
      <c r="C7" s="221" t="str">
        <f t="shared" ref="C7:E7" si="0">"금 "&amp;NUMBERSTRING(F7,1)&amp;"원정"</f>
        <v>금 일억삼천사백이십만원정</v>
      </c>
      <c r="D7" s="182"/>
      <c r="E7" s="182"/>
      <c r="F7" s="222">
        <f>D47</f>
        <v>134200000</v>
      </c>
      <c r="G7" s="248"/>
    </row>
    <row r="8" spans="1:8" ht="21.75" customHeight="1" x14ac:dyDescent="0.3">
      <c r="A8" s="220" t="s">
        <v>723</v>
      </c>
      <c r="B8" s="182"/>
      <c r="C8" s="223" t="str">
        <f t="shared" ref="C8:E8" si="1">"금 "&amp;NUMBERSTRING(F8,1)&amp;"원정"</f>
        <v>금 일억이천육백사십팔만사천원정</v>
      </c>
      <c r="D8" s="182"/>
      <c r="E8" s="182"/>
      <c r="F8" s="224">
        <f>E47</f>
        <v>126484000</v>
      </c>
      <c r="G8" s="248"/>
    </row>
    <row r="9" spans="1:8" ht="21.75" customHeight="1" x14ac:dyDescent="0.3">
      <c r="A9" s="220" t="s">
        <v>724</v>
      </c>
      <c r="B9" s="182"/>
    </row>
    <row r="10" spans="1:8" ht="21.75" customHeight="1" x14ac:dyDescent="0.3">
      <c r="A10" s="8" t="s">
        <v>254</v>
      </c>
      <c r="B10" s="8" t="s">
        <v>3</v>
      </c>
      <c r="C10" s="8" t="s">
        <v>4</v>
      </c>
      <c r="D10" s="8" t="s">
        <v>725</v>
      </c>
      <c r="E10" s="8" t="s">
        <v>726</v>
      </c>
      <c r="F10" s="8" t="s">
        <v>689</v>
      </c>
      <c r="G10" s="14" t="s">
        <v>10</v>
      </c>
      <c r="H10" s="3" t="str">
        <f>HYPERLINK("#'〓 목 차 〓'!B2","목차 →")</f>
        <v>목차 →</v>
      </c>
    </row>
    <row r="11" spans="1:8" ht="21.75" customHeight="1" x14ac:dyDescent="0.3">
      <c r="A11" s="10"/>
      <c r="B11" s="10" t="s">
        <v>727</v>
      </c>
      <c r="C11" s="10" t="s">
        <v>262</v>
      </c>
      <c r="D11" s="95">
        <f>설계변경내역서!G5</f>
        <v>93027484</v>
      </c>
      <c r="E11" s="111">
        <f>설계변경내역서!G6</f>
        <v>85142041</v>
      </c>
      <c r="F11" s="112">
        <f t="shared" ref="F11:F47" si="2">E11-D11</f>
        <v>-7885443</v>
      </c>
      <c r="G11" s="23"/>
    </row>
    <row r="12" spans="1:8" ht="21.75" customHeight="1" x14ac:dyDescent="0.3">
      <c r="A12" s="10" t="s">
        <v>273</v>
      </c>
      <c r="B12" s="10" t="s">
        <v>728</v>
      </c>
      <c r="C12" s="10"/>
      <c r="D12" s="95">
        <f>설계변경내역서!G9</f>
        <v>5682040</v>
      </c>
      <c r="E12" s="111">
        <f>설계변경내역서!G10</f>
        <v>3869055</v>
      </c>
      <c r="F12" s="112">
        <f t="shared" si="2"/>
        <v>-1812985</v>
      </c>
      <c r="G12" s="23"/>
    </row>
    <row r="13" spans="1:8" ht="21.75" customHeight="1" x14ac:dyDescent="0.3">
      <c r="A13" s="10" t="s">
        <v>331</v>
      </c>
      <c r="B13" s="10" t="s">
        <v>729</v>
      </c>
      <c r="C13" s="10" t="s">
        <v>333</v>
      </c>
      <c r="D13" s="95">
        <f>설계변경내역서!G29</f>
        <v>1097772</v>
      </c>
      <c r="E13" s="111">
        <f>설계변경내역서!G30</f>
        <v>1135219</v>
      </c>
      <c r="F13" s="113">
        <f t="shared" si="2"/>
        <v>37447</v>
      </c>
      <c r="G13" s="23"/>
    </row>
    <row r="14" spans="1:8" ht="21.75" customHeight="1" x14ac:dyDescent="0.3">
      <c r="A14" s="10" t="s">
        <v>338</v>
      </c>
      <c r="B14" s="10" t="s">
        <v>730</v>
      </c>
      <c r="C14" s="10" t="s">
        <v>340</v>
      </c>
      <c r="D14" s="95">
        <f>설계변경내역서!G31</f>
        <v>587642</v>
      </c>
      <c r="E14" s="111">
        <f>설계변경내역서!G32</f>
        <v>415300</v>
      </c>
      <c r="F14" s="112">
        <f t="shared" si="2"/>
        <v>-172342</v>
      </c>
      <c r="G14" s="23"/>
    </row>
    <row r="15" spans="1:8" ht="21.75" customHeight="1" x14ac:dyDescent="0.3">
      <c r="A15" s="10" t="s">
        <v>403</v>
      </c>
      <c r="B15" s="10" t="s">
        <v>731</v>
      </c>
      <c r="C15" s="10" t="s">
        <v>405</v>
      </c>
      <c r="D15" s="95">
        <f>설계변경내역서!G53</f>
        <v>510130</v>
      </c>
      <c r="E15" s="111">
        <f>설계변경내역서!G54</f>
        <v>719919</v>
      </c>
      <c r="F15" s="113">
        <f t="shared" si="2"/>
        <v>209789</v>
      </c>
      <c r="G15" s="23"/>
    </row>
    <row r="16" spans="1:8" ht="21.75" customHeight="1" x14ac:dyDescent="0.3">
      <c r="A16" s="10" t="s">
        <v>334</v>
      </c>
      <c r="B16" s="10" t="s">
        <v>732</v>
      </c>
      <c r="C16" s="10" t="s">
        <v>336</v>
      </c>
      <c r="D16" s="95">
        <f>설계변경내역서!G77</f>
        <v>30805166</v>
      </c>
      <c r="E16" s="111">
        <f>설계변경내역서!G78</f>
        <v>34227634</v>
      </c>
      <c r="F16" s="113">
        <f t="shared" si="2"/>
        <v>3422468</v>
      </c>
      <c r="G16" s="23"/>
    </row>
    <row r="17" spans="1:7" ht="21.75" customHeight="1" x14ac:dyDescent="0.3">
      <c r="A17" s="10" t="s">
        <v>414</v>
      </c>
      <c r="B17" s="10" t="s">
        <v>733</v>
      </c>
      <c r="C17" s="10" t="s">
        <v>416</v>
      </c>
      <c r="D17" s="95">
        <f>설계변경내역서!G79</f>
        <v>30805166</v>
      </c>
      <c r="E17" s="111">
        <f>설계변경내역서!G80</f>
        <v>9625211</v>
      </c>
      <c r="F17" s="112">
        <f t="shared" si="2"/>
        <v>-21179955</v>
      </c>
      <c r="G17" s="23"/>
    </row>
    <row r="18" spans="1:7" ht="21.75" customHeight="1" x14ac:dyDescent="0.3">
      <c r="A18" s="10" t="s">
        <v>428</v>
      </c>
      <c r="B18" s="10" t="s">
        <v>734</v>
      </c>
      <c r="C18" s="10" t="s">
        <v>430</v>
      </c>
      <c r="D18" s="95">
        <f>설계변경내역서!G103</f>
        <v>0</v>
      </c>
      <c r="E18" s="111">
        <f>설계변경내역서!G104</f>
        <v>24602423</v>
      </c>
      <c r="F18" s="113">
        <f t="shared" si="2"/>
        <v>24602423</v>
      </c>
      <c r="G18" s="23"/>
    </row>
    <row r="19" spans="1:7" ht="21.75" customHeight="1" x14ac:dyDescent="0.3">
      <c r="A19" s="10" t="s">
        <v>337</v>
      </c>
      <c r="B19" s="10" t="s">
        <v>735</v>
      </c>
      <c r="C19" s="10" t="s">
        <v>412</v>
      </c>
      <c r="D19" s="95">
        <f>설계변경내역서!G119</f>
        <v>431643</v>
      </c>
      <c r="E19" s="111">
        <f>설계변경내역서!G120</f>
        <v>1951709</v>
      </c>
      <c r="F19" s="113">
        <f t="shared" si="2"/>
        <v>1520066</v>
      </c>
      <c r="G19" s="23"/>
    </row>
    <row r="20" spans="1:7" ht="21.75" customHeight="1" x14ac:dyDescent="0.3">
      <c r="A20" s="10" t="s">
        <v>444</v>
      </c>
      <c r="B20" s="10" t="s">
        <v>736</v>
      </c>
      <c r="C20" s="10" t="s">
        <v>446</v>
      </c>
      <c r="D20" s="95">
        <f>설계변경내역서!G121</f>
        <v>431643</v>
      </c>
      <c r="E20" s="111">
        <f>설계변경내역서!G122</f>
        <v>1951709</v>
      </c>
      <c r="F20" s="113">
        <f t="shared" si="2"/>
        <v>1520066</v>
      </c>
      <c r="G20" s="23"/>
    </row>
    <row r="21" spans="1:7" ht="21.75" customHeight="1" x14ac:dyDescent="0.3">
      <c r="A21" s="10" t="s">
        <v>443</v>
      </c>
      <c r="B21" s="10" t="s">
        <v>737</v>
      </c>
      <c r="C21" s="10" t="s">
        <v>441</v>
      </c>
      <c r="D21" s="95">
        <f>설계변경내역서!G143</f>
        <v>2256728</v>
      </c>
      <c r="E21" s="111">
        <f>설계변경내역서!G144</f>
        <v>0</v>
      </c>
      <c r="F21" s="112">
        <f t="shared" si="2"/>
        <v>-2256728</v>
      </c>
      <c r="G21" s="23"/>
    </row>
    <row r="22" spans="1:7" ht="21.75" customHeight="1" x14ac:dyDescent="0.3">
      <c r="A22" s="10" t="s">
        <v>450</v>
      </c>
      <c r="B22" s="10" t="s">
        <v>738</v>
      </c>
      <c r="C22" s="10" t="s">
        <v>452</v>
      </c>
      <c r="D22" s="95">
        <f>설계변경내역서!G145</f>
        <v>2256728</v>
      </c>
      <c r="E22" s="111">
        <f>설계변경내역서!G146</f>
        <v>0</v>
      </c>
      <c r="F22" s="112">
        <f t="shared" si="2"/>
        <v>-2256728</v>
      </c>
      <c r="G22" s="23"/>
    </row>
    <row r="23" spans="1:7" ht="21.75" customHeight="1" x14ac:dyDescent="0.3">
      <c r="A23" s="10" t="s">
        <v>449</v>
      </c>
      <c r="B23" s="10" t="s">
        <v>739</v>
      </c>
      <c r="C23" s="10"/>
      <c r="D23" s="95">
        <f>설계변경내역서!G163</f>
        <v>1249551</v>
      </c>
      <c r="E23" s="111">
        <f>설계변경내역서!G164</f>
        <v>10851415</v>
      </c>
      <c r="F23" s="113">
        <f t="shared" si="2"/>
        <v>9601864</v>
      </c>
      <c r="G23" s="23"/>
    </row>
    <row r="24" spans="1:7" ht="21.75" customHeight="1" x14ac:dyDescent="0.3">
      <c r="A24" s="10" t="s">
        <v>455</v>
      </c>
      <c r="B24" s="10" t="s">
        <v>740</v>
      </c>
      <c r="C24" s="10" t="s">
        <v>457</v>
      </c>
      <c r="D24" s="95">
        <f>설계변경내역서!G165</f>
        <v>0</v>
      </c>
      <c r="E24" s="111">
        <f>설계변경내역서!G166</f>
        <v>2520850</v>
      </c>
      <c r="F24" s="113">
        <f t="shared" si="2"/>
        <v>2520850</v>
      </c>
      <c r="G24" s="23"/>
    </row>
    <row r="25" spans="1:7" ht="21.75" customHeight="1" x14ac:dyDescent="0.3">
      <c r="A25" s="10" t="s">
        <v>458</v>
      </c>
      <c r="B25" s="10" t="s">
        <v>741</v>
      </c>
      <c r="C25" s="10" t="s">
        <v>460</v>
      </c>
      <c r="D25" s="95">
        <f>설계변경내역서!G171</f>
        <v>1249551</v>
      </c>
      <c r="E25" s="111">
        <f>설계변경내역서!G172</f>
        <v>1682297</v>
      </c>
      <c r="F25" s="113">
        <f t="shared" si="2"/>
        <v>432746</v>
      </c>
      <c r="G25" s="23"/>
    </row>
    <row r="26" spans="1:7" ht="21.75" customHeight="1" x14ac:dyDescent="0.3">
      <c r="A26" s="10" t="s">
        <v>466</v>
      </c>
      <c r="B26" s="10" t="s">
        <v>742</v>
      </c>
      <c r="C26" s="10"/>
      <c r="D26" s="95">
        <f>설계변경내역서!G189</f>
        <v>0</v>
      </c>
      <c r="E26" s="111">
        <f>설계변경내역서!G190</f>
        <v>6648268</v>
      </c>
      <c r="F26" s="113">
        <f t="shared" si="2"/>
        <v>6648268</v>
      </c>
      <c r="G26" s="23"/>
    </row>
    <row r="27" spans="1:7" ht="21.75" customHeight="1" x14ac:dyDescent="0.3">
      <c r="A27" s="10" t="s">
        <v>466</v>
      </c>
      <c r="B27" s="10" t="s">
        <v>743</v>
      </c>
      <c r="C27" s="10"/>
      <c r="D27" s="95">
        <f>설계변경내역서!G203</f>
        <v>2426970</v>
      </c>
      <c r="E27" s="111">
        <f>설계변경내역서!G204</f>
        <v>1584800</v>
      </c>
      <c r="F27" s="112">
        <f t="shared" si="2"/>
        <v>-842170</v>
      </c>
      <c r="G27" s="23"/>
    </row>
    <row r="28" spans="1:7" ht="21.75" customHeight="1" x14ac:dyDescent="0.3">
      <c r="A28" s="10" t="s">
        <v>511</v>
      </c>
      <c r="B28" s="10" t="s">
        <v>744</v>
      </c>
      <c r="C28" s="10"/>
      <c r="D28" s="95">
        <f>설계변경내역서!G213</f>
        <v>13508318</v>
      </c>
      <c r="E28" s="111">
        <f>설계변경내역서!G214</f>
        <v>9644676</v>
      </c>
      <c r="F28" s="112">
        <f t="shared" si="2"/>
        <v>-3863642</v>
      </c>
      <c r="G28" s="23"/>
    </row>
    <row r="29" spans="1:7" ht="21.75" customHeight="1" x14ac:dyDescent="0.3">
      <c r="A29" s="10" t="s">
        <v>587</v>
      </c>
      <c r="B29" s="10" t="s">
        <v>745</v>
      </c>
      <c r="C29" s="10"/>
      <c r="D29" s="95">
        <f>설계변경내역서!G243</f>
        <v>35569296</v>
      </c>
      <c r="E29" s="111">
        <f>설계변경내역서!G244</f>
        <v>21877533</v>
      </c>
      <c r="F29" s="112">
        <f t="shared" si="2"/>
        <v>-13691763</v>
      </c>
      <c r="G29" s="23"/>
    </row>
    <row r="30" spans="1:7" ht="21.75" customHeight="1" x14ac:dyDescent="0.3">
      <c r="A30" s="10" t="s">
        <v>272</v>
      </c>
      <c r="B30" s="10" t="s">
        <v>746</v>
      </c>
      <c r="C30" s="10"/>
      <c r="D30" s="95">
        <f>총괄내역서!D42</f>
        <v>93027484</v>
      </c>
      <c r="E30" s="111">
        <f>총괄내역서!D43</f>
        <v>85142041</v>
      </c>
      <c r="F30" s="112">
        <f t="shared" si="2"/>
        <v>-7885443</v>
      </c>
      <c r="G30" s="23"/>
    </row>
    <row r="31" spans="1:7" ht="21.75" customHeight="1" x14ac:dyDescent="0.3">
      <c r="A31" s="10"/>
      <c r="B31" s="10" t="s">
        <v>270</v>
      </c>
      <c r="C31" s="10"/>
      <c r="D31" s="95">
        <f>총괄내역서!D44</f>
        <v>4715607</v>
      </c>
      <c r="E31" s="111">
        <f>총괄내역서!D45</f>
        <v>5974316</v>
      </c>
      <c r="F31" s="113">
        <f t="shared" si="2"/>
        <v>1258709</v>
      </c>
      <c r="G31" s="23"/>
    </row>
    <row r="32" spans="1:7" ht="21.75" customHeight="1" x14ac:dyDescent="0.3">
      <c r="A32" s="10"/>
      <c r="B32" s="10" t="s">
        <v>631</v>
      </c>
      <c r="C32" s="10"/>
      <c r="D32" s="95">
        <f>총괄내역서!D46</f>
        <v>1341831</v>
      </c>
      <c r="E32" s="111">
        <f>총괄내역서!D47</f>
        <v>1699998</v>
      </c>
      <c r="F32" s="113">
        <f t="shared" si="2"/>
        <v>358167</v>
      </c>
      <c r="G32" s="23"/>
    </row>
    <row r="33" spans="1:7" ht="21.75" customHeight="1" x14ac:dyDescent="0.3">
      <c r="A33" s="10"/>
      <c r="B33" s="10" t="s">
        <v>634</v>
      </c>
      <c r="C33" s="10"/>
      <c r="D33" s="95">
        <f>총괄내역서!D48</f>
        <v>380688</v>
      </c>
      <c r="E33" s="111">
        <f>총괄내역서!D49</f>
        <v>482302</v>
      </c>
      <c r="F33" s="113">
        <f t="shared" si="2"/>
        <v>101614</v>
      </c>
      <c r="G33" s="23"/>
    </row>
    <row r="34" spans="1:7" ht="21.75" customHeight="1" x14ac:dyDescent="0.3">
      <c r="A34" s="10"/>
      <c r="B34" s="10" t="s">
        <v>637</v>
      </c>
      <c r="C34" s="10"/>
      <c r="D34" s="95">
        <f>총괄내역서!D50</f>
        <v>1328500</v>
      </c>
      <c r="E34" s="111">
        <f>총괄내역서!D51</f>
        <v>1328500</v>
      </c>
      <c r="F34" s="113">
        <f t="shared" si="2"/>
        <v>0</v>
      </c>
      <c r="G34" s="23"/>
    </row>
    <row r="35" spans="1:7" ht="21.75" customHeight="1" x14ac:dyDescent="0.3">
      <c r="A35" s="10"/>
      <c r="B35" s="10" t="s">
        <v>640</v>
      </c>
      <c r="C35" s="10"/>
      <c r="D35" s="95">
        <f>총괄내역서!D52</f>
        <v>172040</v>
      </c>
      <c r="E35" s="111">
        <f>총괄내역서!D53</f>
        <v>172040</v>
      </c>
      <c r="F35" s="113">
        <f t="shared" si="2"/>
        <v>0</v>
      </c>
      <c r="G35" s="23"/>
    </row>
    <row r="36" spans="1:7" ht="21.75" customHeight="1" x14ac:dyDescent="0.3">
      <c r="A36" s="10"/>
      <c r="B36" s="10" t="s">
        <v>643</v>
      </c>
      <c r="C36" s="10"/>
      <c r="D36" s="95">
        <f>총괄내역서!D54</f>
        <v>1686389</v>
      </c>
      <c r="E36" s="111">
        <f>총괄내역서!D55</f>
        <v>1686389</v>
      </c>
      <c r="F36" s="113">
        <f t="shared" si="2"/>
        <v>0</v>
      </c>
      <c r="G36" s="23"/>
    </row>
    <row r="37" spans="1:7" ht="21.75" customHeight="1" x14ac:dyDescent="0.3">
      <c r="A37" s="10"/>
      <c r="B37" s="10" t="s">
        <v>646</v>
      </c>
      <c r="C37" s="10"/>
      <c r="D37" s="95">
        <f>총괄내역서!D56</f>
        <v>2612476</v>
      </c>
      <c r="E37" s="111">
        <f>총괄내역서!D57</f>
        <v>2442331</v>
      </c>
      <c r="F37" s="112">
        <f t="shared" si="2"/>
        <v>-170145</v>
      </c>
      <c r="G37" s="23"/>
    </row>
    <row r="38" spans="1:7" ht="21.75" customHeight="1" x14ac:dyDescent="0.3">
      <c r="A38" s="10"/>
      <c r="B38" s="10" t="s">
        <v>650</v>
      </c>
      <c r="C38" s="10"/>
      <c r="D38" s="95">
        <f>총괄내역서!D58</f>
        <v>4506334</v>
      </c>
      <c r="E38" s="111">
        <f>총괄내역서!D59</f>
        <v>4303663</v>
      </c>
      <c r="F38" s="112">
        <f t="shared" si="2"/>
        <v>-202671</v>
      </c>
      <c r="G38" s="23"/>
    </row>
    <row r="39" spans="1:7" ht="21.75" customHeight="1" x14ac:dyDescent="0.3">
      <c r="A39" s="10"/>
      <c r="B39" s="10" t="s">
        <v>653</v>
      </c>
      <c r="C39" s="10"/>
      <c r="D39" s="95">
        <f>총괄내역서!D60</f>
        <v>744219</v>
      </c>
      <c r="E39" s="111">
        <f>총괄내역서!D61</f>
        <v>681136</v>
      </c>
      <c r="F39" s="112">
        <f t="shared" si="2"/>
        <v>-63083</v>
      </c>
      <c r="G39" s="23"/>
    </row>
    <row r="40" spans="1:7" ht="21.75" customHeight="1" x14ac:dyDescent="0.3">
      <c r="A40" s="10"/>
      <c r="B40" s="10" t="s">
        <v>656</v>
      </c>
      <c r="C40" s="10"/>
      <c r="D40" s="95">
        <f>총괄내역서!D62</f>
        <v>372109</v>
      </c>
      <c r="E40" s="111">
        <f>총괄내역서!D63</f>
        <v>340568</v>
      </c>
      <c r="F40" s="112">
        <f t="shared" si="2"/>
        <v>-31541</v>
      </c>
      <c r="G40" s="23"/>
    </row>
    <row r="41" spans="1:7" ht="21.75" customHeight="1" x14ac:dyDescent="0.3">
      <c r="A41" s="10" t="s">
        <v>659</v>
      </c>
      <c r="B41" s="10" t="s">
        <v>660</v>
      </c>
      <c r="C41" s="10"/>
      <c r="D41" s="95">
        <f>총괄내역서!D64</f>
        <v>110887677</v>
      </c>
      <c r="E41" s="111">
        <f>총괄내역서!D65</f>
        <v>104253284</v>
      </c>
      <c r="F41" s="112">
        <f t="shared" si="2"/>
        <v>-6634393</v>
      </c>
      <c r="G41" s="23"/>
    </row>
    <row r="42" spans="1:7" ht="21.75" customHeight="1" x14ac:dyDescent="0.3">
      <c r="A42" s="10"/>
      <c r="B42" s="10" t="s">
        <v>663</v>
      </c>
      <c r="C42" s="10"/>
      <c r="D42" s="95">
        <f>총괄내역서!D66</f>
        <v>6653260</v>
      </c>
      <c r="E42" s="111">
        <f>총괄내역서!D67</f>
        <v>6255197</v>
      </c>
      <c r="F42" s="112">
        <f t="shared" si="2"/>
        <v>-398063</v>
      </c>
      <c r="G42" s="23"/>
    </row>
    <row r="43" spans="1:7" ht="21.75" customHeight="1" x14ac:dyDescent="0.3">
      <c r="A43" s="10" t="s">
        <v>666</v>
      </c>
      <c r="B43" s="10" t="s">
        <v>660</v>
      </c>
      <c r="C43" s="10"/>
      <c r="D43" s="95">
        <f>총괄내역서!D68</f>
        <v>117540937</v>
      </c>
      <c r="E43" s="111">
        <f>총괄내역서!D69</f>
        <v>110508481</v>
      </c>
      <c r="F43" s="112">
        <f t="shared" si="2"/>
        <v>-7032456</v>
      </c>
      <c r="G43" s="23"/>
    </row>
    <row r="44" spans="1:7" ht="21.75" customHeight="1" x14ac:dyDescent="0.3">
      <c r="A44" s="10"/>
      <c r="B44" s="10" t="s">
        <v>669</v>
      </c>
      <c r="C44" s="10"/>
      <c r="D44" s="95">
        <f>총괄내역서!D70</f>
        <v>10767078</v>
      </c>
      <c r="E44" s="111">
        <f>총괄내역서!D71</f>
        <v>11672434</v>
      </c>
      <c r="F44" s="113">
        <f t="shared" si="2"/>
        <v>905356</v>
      </c>
      <c r="G44" s="23"/>
    </row>
    <row r="45" spans="1:7" ht="21.75" customHeight="1" x14ac:dyDescent="0.3">
      <c r="A45" s="10" t="s">
        <v>672</v>
      </c>
      <c r="B45" s="10" t="s">
        <v>673</v>
      </c>
      <c r="C45" s="10"/>
      <c r="D45" s="95">
        <f>총괄내역서!D72</f>
        <v>128308015</v>
      </c>
      <c r="E45" s="111">
        <f>총괄내역서!D73</f>
        <v>122180915</v>
      </c>
      <c r="F45" s="112">
        <f t="shared" si="2"/>
        <v>-6127100</v>
      </c>
      <c r="G45" s="23"/>
    </row>
    <row r="46" spans="1:7" ht="21.75" customHeight="1" x14ac:dyDescent="0.3">
      <c r="A46" s="10"/>
      <c r="B46" s="10" t="s">
        <v>676</v>
      </c>
      <c r="C46" s="10"/>
      <c r="D46" s="95">
        <f>총괄내역서!D74</f>
        <v>5891985</v>
      </c>
      <c r="E46" s="111">
        <f>총괄내역서!D75</f>
        <v>4303085</v>
      </c>
      <c r="F46" s="112">
        <f t="shared" si="2"/>
        <v>-1588900</v>
      </c>
      <c r="G46" s="23"/>
    </row>
    <row r="47" spans="1:7" ht="21.75" customHeight="1" x14ac:dyDescent="0.3">
      <c r="A47" s="10" t="s">
        <v>679</v>
      </c>
      <c r="B47" s="10" t="s">
        <v>680</v>
      </c>
      <c r="C47" s="10"/>
      <c r="D47" s="95">
        <f>총괄내역서!D76</f>
        <v>134200000</v>
      </c>
      <c r="E47" s="111">
        <f>총괄내역서!D77</f>
        <v>126484000</v>
      </c>
      <c r="F47" s="112">
        <f t="shared" si="2"/>
        <v>-7716000</v>
      </c>
      <c r="G47" s="23"/>
    </row>
  </sheetData>
  <mergeCells count="13">
    <mergeCell ref="A9:B9"/>
    <mergeCell ref="A7:B7"/>
    <mergeCell ref="C7:E7"/>
    <mergeCell ref="F7:G7"/>
    <mergeCell ref="A8:B8"/>
    <mergeCell ref="C8:E8"/>
    <mergeCell ref="F8:G8"/>
    <mergeCell ref="A1:G1"/>
    <mergeCell ref="E3:G3"/>
    <mergeCell ref="E4:G4"/>
    <mergeCell ref="E5:G5"/>
    <mergeCell ref="A6:B6"/>
    <mergeCell ref="C6:G6"/>
  </mergeCells>
  <phoneticPr fontId="25" type="noConversion"/>
  <hyperlinks>
    <hyperlink ref="H1" r:id="rId1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59055118110236215" right="0.59055118110236215" top="0.78740157480314965" bottom="0.78740157480314965" header="0" footer="0.59055118110236227"/>
  <pageSetup paperSize="9" scale="80" fitToWidth="0" fitToHeight="0" orientation="portrait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3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6" width="10" style="6" customWidth="1"/>
    <col min="7" max="7" width="5.5" style="6" customWidth="1"/>
    <col min="8" max="10" width="11.5" style="6" customWidth="1"/>
    <col min="11" max="11" width="10" style="6" customWidth="1"/>
    <col min="12" max="12" width="9.125" style="18" hidden="1" customWidth="1"/>
    <col min="13" max="16384" width="9.125" style="6"/>
  </cols>
  <sheetData>
    <row r="1" spans="1:12" ht="24.95" customHeight="1" x14ac:dyDescent="0.3">
      <c r="A1" s="183" t="s">
        <v>747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9" t="s">
        <v>47</v>
      </c>
    </row>
    <row r="2" spans="1:12" ht="24.6" customHeight="1" x14ac:dyDescent="0.3">
      <c r="A2" s="1" t="s">
        <v>1</v>
      </c>
      <c r="L2" s="20" t="str">
        <f ca="1">MID(CELL("filename",$A$1),FIND("]",CELL("filename",$A$1))+1,LEN(CELL("filename",$A$1)))</f>
        <v>설계변경증감대비표</v>
      </c>
    </row>
    <row r="3" spans="1:12" ht="24.6" customHeight="1" x14ac:dyDescent="0.3">
      <c r="A3" s="206" t="s">
        <v>254</v>
      </c>
      <c r="B3" s="206" t="s">
        <v>3</v>
      </c>
      <c r="C3" s="206" t="s">
        <v>4</v>
      </c>
      <c r="D3" s="186" t="s">
        <v>255</v>
      </c>
      <c r="E3" s="187"/>
      <c r="F3" s="187"/>
      <c r="G3" s="225" t="s">
        <v>5</v>
      </c>
      <c r="H3" s="186" t="s">
        <v>256</v>
      </c>
      <c r="I3" s="187"/>
      <c r="J3" s="192"/>
      <c r="K3" s="186" t="s">
        <v>10</v>
      </c>
    </row>
    <row r="4" spans="1:12" ht="24.6" customHeight="1" x14ac:dyDescent="0.3">
      <c r="A4" s="192"/>
      <c r="B4" s="192"/>
      <c r="C4" s="192"/>
      <c r="D4" s="9" t="s">
        <v>748</v>
      </c>
      <c r="E4" s="9" t="s">
        <v>749</v>
      </c>
      <c r="F4" s="23" t="s">
        <v>750</v>
      </c>
      <c r="G4" s="226"/>
      <c r="H4" s="9" t="s">
        <v>748</v>
      </c>
      <c r="I4" s="9" t="s">
        <v>749</v>
      </c>
      <c r="J4" s="9" t="s">
        <v>750</v>
      </c>
      <c r="K4" s="187"/>
      <c r="L4" s="3" t="str">
        <f>HYPERLINK("#'〓 목 차 〓'!B2","목차 →")</f>
        <v>목차 →</v>
      </c>
    </row>
    <row r="5" spans="1:12" ht="24.6" customHeight="1" x14ac:dyDescent="0.3">
      <c r="A5" s="114"/>
      <c r="B5" s="114" t="s">
        <v>261</v>
      </c>
      <c r="C5" s="114" t="s">
        <v>262</v>
      </c>
      <c r="D5" s="115">
        <v>0</v>
      </c>
      <c r="E5" s="22">
        <v>0</v>
      </c>
      <c r="F5" s="118">
        <v>0</v>
      </c>
      <c r="G5" s="32"/>
      <c r="H5" s="115">
        <f>설계변경내역서!G5</f>
        <v>93027484</v>
      </c>
      <c r="I5" s="22">
        <f>설계변경내역서!G6</f>
        <v>85142041</v>
      </c>
      <c r="J5" s="112">
        <f t="shared" ref="J5:J36" si="0">I5-H5</f>
        <v>-7885443</v>
      </c>
      <c r="K5" s="23"/>
    </row>
    <row r="6" spans="1:12" ht="24.6" customHeight="1" x14ac:dyDescent="0.3">
      <c r="A6" s="10"/>
      <c r="B6" s="10"/>
      <c r="C6" s="10"/>
      <c r="D6" s="115">
        <v>0</v>
      </c>
      <c r="E6" s="22">
        <v>0</v>
      </c>
      <c r="F6" s="118">
        <v>0</v>
      </c>
      <c r="G6" s="32"/>
      <c r="H6" s="115">
        <f>설계변경내역서!G7</f>
        <v>0</v>
      </c>
      <c r="I6" s="22">
        <f>설계변경내역서!G8</f>
        <v>0</v>
      </c>
      <c r="J6" s="113">
        <f t="shared" si="0"/>
        <v>0</v>
      </c>
      <c r="K6" s="23"/>
    </row>
    <row r="7" spans="1:12" ht="24.6" customHeight="1" x14ac:dyDescent="0.3">
      <c r="A7" s="114" t="s">
        <v>273</v>
      </c>
      <c r="B7" s="114" t="s">
        <v>274</v>
      </c>
      <c r="C7" s="114"/>
      <c r="D7" s="115">
        <v>0</v>
      </c>
      <c r="E7" s="22">
        <v>0</v>
      </c>
      <c r="F7" s="118">
        <v>0</v>
      </c>
      <c r="G7" s="32"/>
      <c r="H7" s="115">
        <f>설계변경내역서!G9</f>
        <v>5682040</v>
      </c>
      <c r="I7" s="22">
        <f>설계변경내역서!G10</f>
        <v>3869055</v>
      </c>
      <c r="J7" s="112">
        <f t="shared" si="0"/>
        <v>-1812985</v>
      </c>
      <c r="K7" s="23"/>
    </row>
    <row r="8" spans="1:12" ht="24.6" customHeight="1" x14ac:dyDescent="0.3">
      <c r="A8" s="10"/>
      <c r="B8" s="10" t="s">
        <v>281</v>
      </c>
      <c r="C8" s="10" t="s">
        <v>282</v>
      </c>
      <c r="D8" s="115">
        <f>설계변경내역서!D11</f>
        <v>284</v>
      </c>
      <c r="E8" s="22">
        <f>설계변경내역서!D12</f>
        <v>262</v>
      </c>
      <c r="F8" s="119">
        <f t="shared" ref="F8:F15" si="1">E8-D8</f>
        <v>-22</v>
      </c>
      <c r="G8" s="32" t="s">
        <v>52</v>
      </c>
      <c r="H8" s="115">
        <f>설계변경내역서!G11</f>
        <v>635876</v>
      </c>
      <c r="I8" s="22">
        <f>설계변경내역서!G12</f>
        <v>586618</v>
      </c>
      <c r="J8" s="112">
        <f t="shared" si="0"/>
        <v>-49258</v>
      </c>
      <c r="K8" s="23" t="s">
        <v>283</v>
      </c>
    </row>
    <row r="9" spans="1:12" ht="24.6" customHeight="1" x14ac:dyDescent="0.3">
      <c r="A9" s="10"/>
      <c r="B9" s="10" t="s">
        <v>288</v>
      </c>
      <c r="C9" s="10" t="s">
        <v>289</v>
      </c>
      <c r="D9" s="115">
        <f>설계변경내역서!D13</f>
        <v>66</v>
      </c>
      <c r="E9" s="22">
        <f>설계변경내역서!D14</f>
        <v>22</v>
      </c>
      <c r="F9" s="119">
        <f t="shared" si="1"/>
        <v>-44</v>
      </c>
      <c r="G9" s="32" t="s">
        <v>52</v>
      </c>
      <c r="H9" s="115">
        <f>설계변경내역서!G13</f>
        <v>1552320</v>
      </c>
      <c r="I9" s="22">
        <f>설계변경내역서!G14</f>
        <v>517440</v>
      </c>
      <c r="J9" s="112">
        <f t="shared" si="0"/>
        <v>-1034880</v>
      </c>
      <c r="K9" s="23" t="s">
        <v>290</v>
      </c>
    </row>
    <row r="10" spans="1:12" ht="24.6" customHeight="1" x14ac:dyDescent="0.3">
      <c r="A10" s="10"/>
      <c r="B10" s="10" t="s">
        <v>295</v>
      </c>
      <c r="C10" s="10" t="s">
        <v>296</v>
      </c>
      <c r="D10" s="115">
        <f>설계변경내역서!D15</f>
        <v>231</v>
      </c>
      <c r="E10" s="22">
        <f>설계변경내역서!D16</f>
        <v>200</v>
      </c>
      <c r="F10" s="119">
        <f t="shared" si="1"/>
        <v>-31</v>
      </c>
      <c r="G10" s="32" t="s">
        <v>52</v>
      </c>
      <c r="H10" s="115">
        <f>설계변경내역서!G15</f>
        <v>1084776</v>
      </c>
      <c r="I10" s="22">
        <f>설계변경내역서!G16</f>
        <v>939200</v>
      </c>
      <c r="J10" s="112">
        <f t="shared" si="0"/>
        <v>-145576</v>
      </c>
      <c r="K10" s="23" t="s">
        <v>297</v>
      </c>
    </row>
    <row r="11" spans="1:12" ht="24.6" customHeight="1" x14ac:dyDescent="0.3">
      <c r="A11" s="10"/>
      <c r="B11" s="10" t="s">
        <v>302</v>
      </c>
      <c r="C11" s="10" t="s">
        <v>303</v>
      </c>
      <c r="D11" s="115">
        <f>설계변경내역서!D17</f>
        <v>35</v>
      </c>
      <c r="E11" s="22">
        <f>설계변경내역서!D18</f>
        <v>25</v>
      </c>
      <c r="F11" s="119">
        <f t="shared" si="1"/>
        <v>-10</v>
      </c>
      <c r="G11" s="32" t="s">
        <v>52</v>
      </c>
      <c r="H11" s="115">
        <f>설계변경내역서!G17</f>
        <v>1095990</v>
      </c>
      <c r="I11" s="22">
        <f>설계변경내역서!G18</f>
        <v>782850</v>
      </c>
      <c r="J11" s="112">
        <f t="shared" si="0"/>
        <v>-313140</v>
      </c>
      <c r="K11" s="23" t="s">
        <v>304</v>
      </c>
    </row>
    <row r="12" spans="1:12" ht="24.6" customHeight="1" x14ac:dyDescent="0.3">
      <c r="A12" s="10"/>
      <c r="B12" s="10" t="s">
        <v>309</v>
      </c>
      <c r="C12" s="10" t="s">
        <v>296</v>
      </c>
      <c r="D12" s="115">
        <f>설계변경내역서!D19</f>
        <v>199</v>
      </c>
      <c r="E12" s="22">
        <f>설계변경내역서!D20</f>
        <v>170</v>
      </c>
      <c r="F12" s="119">
        <f t="shared" si="1"/>
        <v>-29</v>
      </c>
      <c r="G12" s="32" t="s">
        <v>52</v>
      </c>
      <c r="H12" s="115">
        <f>설계변경내역서!G19</f>
        <v>591428</v>
      </c>
      <c r="I12" s="22">
        <f>설계변경내역서!G20</f>
        <v>505240</v>
      </c>
      <c r="J12" s="112">
        <f t="shared" si="0"/>
        <v>-86188</v>
      </c>
      <c r="K12" s="23" t="s">
        <v>310</v>
      </c>
    </row>
    <row r="13" spans="1:12" ht="24.6" customHeight="1" x14ac:dyDescent="0.3">
      <c r="A13" s="10"/>
      <c r="B13" s="10" t="s">
        <v>315</v>
      </c>
      <c r="C13" s="10" t="s">
        <v>282</v>
      </c>
      <c r="D13" s="115">
        <f>설계변경내역서!D21</f>
        <v>297</v>
      </c>
      <c r="E13" s="22">
        <f>설계변경내역서!D22</f>
        <v>256</v>
      </c>
      <c r="F13" s="119">
        <f t="shared" si="1"/>
        <v>-41</v>
      </c>
      <c r="G13" s="32" t="s">
        <v>52</v>
      </c>
      <c r="H13" s="115">
        <f>설계변경내역서!G21</f>
        <v>469260</v>
      </c>
      <c r="I13" s="22">
        <f>설계변경내역서!G22</f>
        <v>404480</v>
      </c>
      <c r="J13" s="112">
        <f t="shared" si="0"/>
        <v>-64780</v>
      </c>
      <c r="K13" s="23" t="s">
        <v>316</v>
      </c>
    </row>
    <row r="14" spans="1:12" ht="24.6" customHeight="1" x14ac:dyDescent="0.3">
      <c r="A14" s="10"/>
      <c r="B14" s="10" t="s">
        <v>321</v>
      </c>
      <c r="C14" s="10" t="s">
        <v>322</v>
      </c>
      <c r="D14" s="115">
        <f>설계변경내역서!D23</f>
        <v>3</v>
      </c>
      <c r="E14" s="22">
        <f>설계변경내역서!D24</f>
        <v>0</v>
      </c>
      <c r="F14" s="119">
        <f t="shared" si="1"/>
        <v>-3</v>
      </c>
      <c r="G14" s="32" t="s">
        <v>52</v>
      </c>
      <c r="H14" s="115">
        <f>설계변경내역서!G23</f>
        <v>7158</v>
      </c>
      <c r="I14" s="22">
        <f>설계변경내역서!G24</f>
        <v>0</v>
      </c>
      <c r="J14" s="112">
        <f t="shared" si="0"/>
        <v>-7158</v>
      </c>
      <c r="K14" s="23" t="s">
        <v>323</v>
      </c>
    </row>
    <row r="15" spans="1:12" ht="24.6" customHeight="1" x14ac:dyDescent="0.3">
      <c r="A15" s="10"/>
      <c r="B15" s="10" t="s">
        <v>328</v>
      </c>
      <c r="C15" s="10" t="s">
        <v>329</v>
      </c>
      <c r="D15" s="115">
        <f>설계변경내역서!D25</f>
        <v>208</v>
      </c>
      <c r="E15" s="22">
        <f>설계변경내역서!D26</f>
        <v>113</v>
      </c>
      <c r="F15" s="119">
        <f t="shared" si="1"/>
        <v>-95</v>
      </c>
      <c r="G15" s="32" t="s">
        <v>52</v>
      </c>
      <c r="H15" s="115">
        <f>설계변경내역서!G25</f>
        <v>245232</v>
      </c>
      <c r="I15" s="22">
        <f>설계변경내역서!G26</f>
        <v>133227</v>
      </c>
      <c r="J15" s="112">
        <f t="shared" si="0"/>
        <v>-112005</v>
      </c>
      <c r="K15" s="23" t="s">
        <v>330</v>
      </c>
    </row>
    <row r="16" spans="1:12" ht="24.6" customHeight="1" x14ac:dyDescent="0.3">
      <c r="A16" s="10"/>
      <c r="B16" s="10"/>
      <c r="C16" s="10"/>
      <c r="D16" s="115">
        <v>0</v>
      </c>
      <c r="E16" s="22">
        <v>0</v>
      </c>
      <c r="F16" s="118">
        <v>0</v>
      </c>
      <c r="G16" s="32"/>
      <c r="H16" s="115">
        <f>설계변경내역서!G27</f>
        <v>0</v>
      </c>
      <c r="I16" s="22">
        <f>설계변경내역서!G28</f>
        <v>0</v>
      </c>
      <c r="J16" s="113">
        <f t="shared" si="0"/>
        <v>0</v>
      </c>
      <c r="K16" s="23"/>
    </row>
    <row r="17" spans="1:11" ht="24.6" customHeight="1" x14ac:dyDescent="0.3">
      <c r="A17" s="114" t="s">
        <v>331</v>
      </c>
      <c r="B17" s="114" t="s">
        <v>332</v>
      </c>
      <c r="C17" s="114" t="s">
        <v>333</v>
      </c>
      <c r="D17" s="115">
        <v>0</v>
      </c>
      <c r="E17" s="22">
        <v>0</v>
      </c>
      <c r="F17" s="118">
        <v>0</v>
      </c>
      <c r="G17" s="32"/>
      <c r="H17" s="115">
        <f>설계변경내역서!G29</f>
        <v>1097772</v>
      </c>
      <c r="I17" s="22">
        <f>설계변경내역서!G30</f>
        <v>1135219</v>
      </c>
      <c r="J17" s="113">
        <f t="shared" si="0"/>
        <v>37447</v>
      </c>
      <c r="K17" s="23"/>
    </row>
    <row r="18" spans="1:11" ht="24.6" customHeight="1" x14ac:dyDescent="0.3">
      <c r="A18" s="114" t="s">
        <v>338</v>
      </c>
      <c r="B18" s="114" t="s">
        <v>339</v>
      </c>
      <c r="C18" s="114" t="s">
        <v>340</v>
      </c>
      <c r="D18" s="115">
        <v>0</v>
      </c>
      <c r="E18" s="22">
        <v>0</v>
      </c>
      <c r="F18" s="118">
        <v>0</v>
      </c>
      <c r="G18" s="32"/>
      <c r="H18" s="115">
        <f>설계변경내역서!G31</f>
        <v>587642</v>
      </c>
      <c r="I18" s="22">
        <f>설계변경내역서!G32</f>
        <v>415300</v>
      </c>
      <c r="J18" s="112">
        <f t="shared" si="0"/>
        <v>-172342</v>
      </c>
      <c r="K18" s="23"/>
    </row>
    <row r="19" spans="1:11" ht="24.6" customHeight="1" x14ac:dyDescent="0.3">
      <c r="A19" s="10"/>
      <c r="B19" s="10" t="s">
        <v>347</v>
      </c>
      <c r="C19" s="10" t="s">
        <v>348</v>
      </c>
      <c r="D19" s="116">
        <f>설계변경내역서!D33</f>
        <v>2.12</v>
      </c>
      <c r="E19" s="22">
        <f>설계변경내역서!D34</f>
        <v>0</v>
      </c>
      <c r="F19" s="119">
        <f t="shared" ref="F19:F28" si="2">E19-D19</f>
        <v>-2.12</v>
      </c>
      <c r="G19" s="32" t="s">
        <v>52</v>
      </c>
      <c r="H19" s="115">
        <f>설계변경내역서!G33</f>
        <v>14839</v>
      </c>
      <c r="I19" s="22">
        <f>설계변경내역서!G34</f>
        <v>0</v>
      </c>
      <c r="J19" s="112">
        <f t="shared" si="0"/>
        <v>-14839</v>
      </c>
      <c r="K19" s="23" t="s">
        <v>349</v>
      </c>
    </row>
    <row r="20" spans="1:11" ht="24.6" customHeight="1" x14ac:dyDescent="0.3">
      <c r="A20" s="10"/>
      <c r="B20" s="10" t="s">
        <v>354</v>
      </c>
      <c r="C20" s="10" t="s">
        <v>355</v>
      </c>
      <c r="D20" s="116">
        <f>설계변경내역서!D35</f>
        <v>4.78</v>
      </c>
      <c r="E20" s="22">
        <f>설계변경내역서!D36</f>
        <v>0</v>
      </c>
      <c r="F20" s="119">
        <f t="shared" si="2"/>
        <v>-4.78</v>
      </c>
      <c r="G20" s="32" t="s">
        <v>167</v>
      </c>
      <c r="H20" s="115">
        <f>설계변경내역서!G35</f>
        <v>8039</v>
      </c>
      <c r="I20" s="22">
        <f>설계변경내역서!G36</f>
        <v>0</v>
      </c>
      <c r="J20" s="112">
        <f t="shared" si="0"/>
        <v>-8039</v>
      </c>
      <c r="K20" s="23" t="s">
        <v>356</v>
      </c>
    </row>
    <row r="21" spans="1:11" ht="24.6" customHeight="1" x14ac:dyDescent="0.3">
      <c r="A21" s="10"/>
      <c r="B21" s="10" t="s">
        <v>361</v>
      </c>
      <c r="C21" s="10" t="s">
        <v>362</v>
      </c>
      <c r="D21" s="116">
        <f>설계변경내역서!D37</f>
        <v>0.1</v>
      </c>
      <c r="E21" s="22">
        <f>설계변경내역서!D38</f>
        <v>0</v>
      </c>
      <c r="F21" s="119">
        <f t="shared" si="2"/>
        <v>-0.1</v>
      </c>
      <c r="G21" s="32" t="s">
        <v>52</v>
      </c>
      <c r="H21" s="115">
        <f>설계변경내역서!G37</f>
        <v>9862</v>
      </c>
      <c r="I21" s="22">
        <f>설계변경내역서!G38</f>
        <v>0</v>
      </c>
      <c r="J21" s="112">
        <f t="shared" si="0"/>
        <v>-9862</v>
      </c>
      <c r="K21" s="23" t="s">
        <v>363</v>
      </c>
    </row>
    <row r="22" spans="1:11" ht="24.6" customHeight="1" x14ac:dyDescent="0.3">
      <c r="A22" s="10"/>
      <c r="B22" s="10" t="s">
        <v>368</v>
      </c>
      <c r="C22" s="10" t="s">
        <v>369</v>
      </c>
      <c r="D22" s="116">
        <f>설계변경내역서!D39</f>
        <v>10.62</v>
      </c>
      <c r="E22" s="22">
        <f>설계변경내역서!D40</f>
        <v>0</v>
      </c>
      <c r="F22" s="119">
        <f t="shared" si="2"/>
        <v>-10.62</v>
      </c>
      <c r="G22" s="32" t="s">
        <v>14</v>
      </c>
      <c r="H22" s="115">
        <f>설계변경내역서!G39</f>
        <v>0</v>
      </c>
      <c r="I22" s="22">
        <f>설계변경내역서!G40</f>
        <v>0</v>
      </c>
      <c r="J22" s="113">
        <f t="shared" si="0"/>
        <v>0</v>
      </c>
      <c r="K22" s="23" t="s">
        <v>370</v>
      </c>
    </row>
    <row r="23" spans="1:11" ht="24.6" customHeight="1" x14ac:dyDescent="0.3">
      <c r="A23" s="10"/>
      <c r="B23" s="10" t="s">
        <v>60</v>
      </c>
      <c r="C23" s="10" t="s">
        <v>61</v>
      </c>
      <c r="D23" s="115">
        <f>설계변경내역서!D41</f>
        <v>0</v>
      </c>
      <c r="E23" s="117">
        <f>설계변경내역서!D42</f>
        <v>5.31</v>
      </c>
      <c r="F23" s="118">
        <f t="shared" si="2"/>
        <v>5.31</v>
      </c>
      <c r="G23" s="32" t="s">
        <v>14</v>
      </c>
      <c r="H23" s="115">
        <f>설계변경내역서!G41</f>
        <v>0</v>
      </c>
      <c r="I23" s="22">
        <f>설계변경내역서!G42</f>
        <v>95058</v>
      </c>
      <c r="J23" s="113">
        <f t="shared" si="0"/>
        <v>95058</v>
      </c>
      <c r="K23" s="23" t="s">
        <v>375</v>
      </c>
    </row>
    <row r="24" spans="1:11" ht="24.6" customHeight="1" x14ac:dyDescent="0.3">
      <c r="A24" s="10"/>
      <c r="B24" s="10" t="s">
        <v>17</v>
      </c>
      <c r="C24" s="10" t="s">
        <v>380</v>
      </c>
      <c r="D24" s="116">
        <f>설계변경내역서!D43</f>
        <v>10.62</v>
      </c>
      <c r="E24" s="22">
        <f>설계변경내역서!D44</f>
        <v>0</v>
      </c>
      <c r="F24" s="119">
        <f t="shared" si="2"/>
        <v>-10.62</v>
      </c>
      <c r="G24" s="32" t="s">
        <v>14</v>
      </c>
      <c r="H24" s="115">
        <f>설계변경내역서!G43</f>
        <v>507093</v>
      </c>
      <c r="I24" s="22">
        <f>설계변경내역서!G44</f>
        <v>0</v>
      </c>
      <c r="J24" s="112">
        <f t="shared" si="0"/>
        <v>-507093</v>
      </c>
      <c r="K24" s="23" t="s">
        <v>381</v>
      </c>
    </row>
    <row r="25" spans="1:11" ht="24.6" customHeight="1" x14ac:dyDescent="0.3">
      <c r="A25" s="10"/>
      <c r="B25" s="10" t="s">
        <v>17</v>
      </c>
      <c r="C25" s="10" t="s">
        <v>18</v>
      </c>
      <c r="D25" s="115">
        <f>설계변경내역서!D45</f>
        <v>0</v>
      </c>
      <c r="E25" s="117">
        <f>설계변경내역서!D46</f>
        <v>5.31</v>
      </c>
      <c r="F25" s="118">
        <f t="shared" si="2"/>
        <v>5.31</v>
      </c>
      <c r="G25" s="32" t="s">
        <v>14</v>
      </c>
      <c r="H25" s="115">
        <f>설계변경내역서!G45</f>
        <v>0</v>
      </c>
      <c r="I25" s="22">
        <f>설계변경내역서!G46</f>
        <v>296339</v>
      </c>
      <c r="J25" s="113">
        <f t="shared" si="0"/>
        <v>296339</v>
      </c>
      <c r="K25" s="23" t="s">
        <v>386</v>
      </c>
    </row>
    <row r="26" spans="1:11" ht="24.6" customHeight="1" x14ac:dyDescent="0.3">
      <c r="A26" s="10"/>
      <c r="B26" s="10" t="s">
        <v>50</v>
      </c>
      <c r="C26" s="10" t="s">
        <v>51</v>
      </c>
      <c r="D26" s="116">
        <f>설계변경내역서!D47</f>
        <v>1.6</v>
      </c>
      <c r="E26" s="117">
        <f>설계변경내역서!D48</f>
        <v>0.8</v>
      </c>
      <c r="F26" s="119">
        <f t="shared" si="2"/>
        <v>-0.8</v>
      </c>
      <c r="G26" s="32" t="s">
        <v>52</v>
      </c>
      <c r="H26" s="115">
        <f>설계변경내역서!G47</f>
        <v>29281</v>
      </c>
      <c r="I26" s="22">
        <f>설계변경내역서!G48</f>
        <v>14640</v>
      </c>
      <c r="J26" s="112">
        <f t="shared" si="0"/>
        <v>-14641</v>
      </c>
      <c r="K26" s="23" t="s">
        <v>391</v>
      </c>
    </row>
    <row r="27" spans="1:11" ht="24.6" customHeight="1" x14ac:dyDescent="0.3">
      <c r="A27" s="10"/>
      <c r="B27" s="10" t="s">
        <v>396</v>
      </c>
      <c r="C27" s="10" t="s">
        <v>369</v>
      </c>
      <c r="D27" s="116">
        <f>설계변경내역서!D49</f>
        <v>2.2799999999999998</v>
      </c>
      <c r="E27" s="117">
        <f>설계변경내역서!D50</f>
        <v>1.1399999999999999</v>
      </c>
      <c r="F27" s="119">
        <f t="shared" si="2"/>
        <v>-1.1399999999999999</v>
      </c>
      <c r="G27" s="32" t="s">
        <v>181</v>
      </c>
      <c r="H27" s="115">
        <f>설계변경내역서!G49</f>
        <v>0</v>
      </c>
      <c r="I27" s="22">
        <f>설계변경내역서!G50</f>
        <v>0</v>
      </c>
      <c r="J27" s="113">
        <f t="shared" si="0"/>
        <v>0</v>
      </c>
      <c r="K27" s="23" t="s">
        <v>397</v>
      </c>
    </row>
    <row r="28" spans="1:11" ht="24.6" customHeight="1" x14ac:dyDescent="0.3">
      <c r="A28" s="10"/>
      <c r="B28" s="10" t="s">
        <v>56</v>
      </c>
      <c r="C28" s="10" t="s">
        <v>57</v>
      </c>
      <c r="D28" s="116">
        <f>설계변경내역서!D51</f>
        <v>2.2799999999999998</v>
      </c>
      <c r="E28" s="117">
        <f>설계변경내역서!D52</f>
        <v>1.1399999999999999</v>
      </c>
      <c r="F28" s="119">
        <f t="shared" si="2"/>
        <v>-1.1399999999999999</v>
      </c>
      <c r="G28" s="32" t="s">
        <v>52</v>
      </c>
      <c r="H28" s="115">
        <f>설계변경내역서!G51</f>
        <v>18528</v>
      </c>
      <c r="I28" s="22">
        <f>설계변경내역서!G52</f>
        <v>9263</v>
      </c>
      <c r="J28" s="112">
        <f t="shared" si="0"/>
        <v>-9265</v>
      </c>
      <c r="K28" s="23" t="s">
        <v>402</v>
      </c>
    </row>
    <row r="29" spans="1:11" ht="24.6" customHeight="1" x14ac:dyDescent="0.3">
      <c r="A29" s="114" t="s">
        <v>403</v>
      </c>
      <c r="B29" s="114" t="s">
        <v>404</v>
      </c>
      <c r="C29" s="114" t="s">
        <v>405</v>
      </c>
      <c r="D29" s="115">
        <v>0</v>
      </c>
      <c r="E29" s="22">
        <v>0</v>
      </c>
      <c r="F29" s="118">
        <v>0</v>
      </c>
      <c r="G29" s="32"/>
      <c r="H29" s="115">
        <f>설계변경내역서!G53</f>
        <v>510130</v>
      </c>
      <c r="I29" s="22">
        <f>설계변경내역서!G54</f>
        <v>719919</v>
      </c>
      <c r="J29" s="113">
        <f t="shared" si="0"/>
        <v>209789</v>
      </c>
      <c r="K29" s="23"/>
    </row>
    <row r="30" spans="1:11" ht="24.6" customHeight="1" x14ac:dyDescent="0.3">
      <c r="A30" s="10"/>
      <c r="B30" s="10" t="s">
        <v>347</v>
      </c>
      <c r="C30" s="10" t="s">
        <v>348</v>
      </c>
      <c r="D30" s="116">
        <f>설계변경내역서!D55</f>
        <v>1.83</v>
      </c>
      <c r="E30" s="22">
        <f>설계변경내역서!D56</f>
        <v>0</v>
      </c>
      <c r="F30" s="119">
        <f t="shared" ref="F30:F39" si="3">E30-D30</f>
        <v>-1.83</v>
      </c>
      <c r="G30" s="32" t="s">
        <v>52</v>
      </c>
      <c r="H30" s="115">
        <f>설계변경내역서!G55</f>
        <v>12808</v>
      </c>
      <c r="I30" s="22">
        <f>설계변경내역서!G56</f>
        <v>0</v>
      </c>
      <c r="J30" s="112">
        <f t="shared" si="0"/>
        <v>-12808</v>
      </c>
      <c r="K30" s="23" t="s">
        <v>349</v>
      </c>
    </row>
    <row r="31" spans="1:11" ht="24.6" customHeight="1" x14ac:dyDescent="0.3">
      <c r="A31" s="10"/>
      <c r="B31" s="10" t="s">
        <v>354</v>
      </c>
      <c r="C31" s="10" t="s">
        <v>355</v>
      </c>
      <c r="D31" s="116">
        <f>설계변경내역서!D57</f>
        <v>4.3499999999999996</v>
      </c>
      <c r="E31" s="22">
        <f>설계변경내역서!D58</f>
        <v>0</v>
      </c>
      <c r="F31" s="119">
        <f t="shared" si="3"/>
        <v>-4.3499999999999996</v>
      </c>
      <c r="G31" s="32" t="s">
        <v>167</v>
      </c>
      <c r="H31" s="115">
        <f>설계변경내역서!G57</f>
        <v>7316</v>
      </c>
      <c r="I31" s="22">
        <f>설계변경내역서!G58</f>
        <v>0</v>
      </c>
      <c r="J31" s="112">
        <f t="shared" si="0"/>
        <v>-7316</v>
      </c>
      <c r="K31" s="23" t="s">
        <v>356</v>
      </c>
    </row>
    <row r="32" spans="1:11" ht="24.6" customHeight="1" x14ac:dyDescent="0.3">
      <c r="A32" s="10"/>
      <c r="B32" s="10" t="s">
        <v>361</v>
      </c>
      <c r="C32" s="10" t="s">
        <v>362</v>
      </c>
      <c r="D32" s="116">
        <f>설계변경내역서!D59</f>
        <v>0.08</v>
      </c>
      <c r="E32" s="22">
        <f>설계변경내역서!D60</f>
        <v>0</v>
      </c>
      <c r="F32" s="119">
        <f t="shared" si="3"/>
        <v>-0.08</v>
      </c>
      <c r="G32" s="32" t="s">
        <v>52</v>
      </c>
      <c r="H32" s="115">
        <f>설계변경내역서!G59</f>
        <v>7889</v>
      </c>
      <c r="I32" s="22">
        <f>설계변경내역서!G60</f>
        <v>0</v>
      </c>
      <c r="J32" s="112">
        <f t="shared" si="0"/>
        <v>-7889</v>
      </c>
      <c r="K32" s="23" t="s">
        <v>363</v>
      </c>
    </row>
    <row r="33" spans="1:11" ht="24.6" customHeight="1" x14ac:dyDescent="0.3">
      <c r="A33" s="10"/>
      <c r="B33" s="10" t="s">
        <v>368</v>
      </c>
      <c r="C33" s="10" t="s">
        <v>369</v>
      </c>
      <c r="D33" s="116">
        <f>설계변경내역서!D61</f>
        <v>9.16</v>
      </c>
      <c r="E33" s="22">
        <f>설계변경내역서!D62</f>
        <v>0</v>
      </c>
      <c r="F33" s="119">
        <f t="shared" si="3"/>
        <v>-9.16</v>
      </c>
      <c r="G33" s="32" t="s">
        <v>14</v>
      </c>
      <c r="H33" s="115">
        <f>설계변경내역서!G61</f>
        <v>0</v>
      </c>
      <c r="I33" s="22">
        <f>설계변경내역서!G62</f>
        <v>0</v>
      </c>
      <c r="J33" s="113">
        <f t="shared" si="0"/>
        <v>0</v>
      </c>
      <c r="K33" s="23" t="s">
        <v>410</v>
      </c>
    </row>
    <row r="34" spans="1:11" ht="24.6" customHeight="1" x14ac:dyDescent="0.3">
      <c r="A34" s="10"/>
      <c r="B34" s="10" t="s">
        <v>60</v>
      </c>
      <c r="C34" s="10" t="s">
        <v>61</v>
      </c>
      <c r="D34" s="115">
        <f>설계변경내역서!D63</f>
        <v>0</v>
      </c>
      <c r="E34" s="117">
        <f>설계변경내역서!D64</f>
        <v>9.16</v>
      </c>
      <c r="F34" s="118">
        <f t="shared" si="3"/>
        <v>9.16</v>
      </c>
      <c r="G34" s="32" t="s">
        <v>14</v>
      </c>
      <c r="H34" s="115">
        <f>설계변경내역서!G63</f>
        <v>0</v>
      </c>
      <c r="I34" s="22">
        <f>설계변경내역서!G64</f>
        <v>163981</v>
      </c>
      <c r="J34" s="113">
        <f t="shared" si="0"/>
        <v>163981</v>
      </c>
      <c r="K34" s="23" t="s">
        <v>375</v>
      </c>
    </row>
    <row r="35" spans="1:11" ht="24.6" customHeight="1" x14ac:dyDescent="0.3">
      <c r="A35" s="10"/>
      <c r="B35" s="10" t="s">
        <v>17</v>
      </c>
      <c r="C35" s="10" t="s">
        <v>380</v>
      </c>
      <c r="D35" s="116">
        <f>설계변경내역서!D65</f>
        <v>9.16</v>
      </c>
      <c r="E35" s="22">
        <f>설계변경내역서!D66</f>
        <v>0</v>
      </c>
      <c r="F35" s="119">
        <f t="shared" si="3"/>
        <v>-9.16</v>
      </c>
      <c r="G35" s="32" t="s">
        <v>14</v>
      </c>
      <c r="H35" s="115">
        <f>설계변경내역서!G65</f>
        <v>437379</v>
      </c>
      <c r="I35" s="22">
        <f>설계변경내역서!G66</f>
        <v>0</v>
      </c>
      <c r="J35" s="112">
        <f t="shared" si="0"/>
        <v>-437379</v>
      </c>
      <c r="K35" s="23" t="s">
        <v>381</v>
      </c>
    </row>
    <row r="36" spans="1:11" ht="24.6" customHeight="1" x14ac:dyDescent="0.3">
      <c r="A36" s="10"/>
      <c r="B36" s="10" t="s">
        <v>17</v>
      </c>
      <c r="C36" s="10" t="s">
        <v>18</v>
      </c>
      <c r="D36" s="115">
        <f>설계변경내역서!D67</f>
        <v>0</v>
      </c>
      <c r="E36" s="117">
        <f>설계변경내역서!D68</f>
        <v>9.16</v>
      </c>
      <c r="F36" s="118">
        <f t="shared" si="3"/>
        <v>9.16</v>
      </c>
      <c r="G36" s="32" t="s">
        <v>14</v>
      </c>
      <c r="H36" s="115">
        <f>설계변경내역서!G67</f>
        <v>0</v>
      </c>
      <c r="I36" s="22">
        <f>설계변경내역서!G68</f>
        <v>511200</v>
      </c>
      <c r="J36" s="113">
        <f t="shared" si="0"/>
        <v>511200</v>
      </c>
      <c r="K36" s="23" t="s">
        <v>386</v>
      </c>
    </row>
    <row r="37" spans="1:11" ht="24.6" customHeight="1" x14ac:dyDescent="0.3">
      <c r="A37" s="10"/>
      <c r="B37" s="10" t="s">
        <v>50</v>
      </c>
      <c r="C37" s="10" t="s">
        <v>51</v>
      </c>
      <c r="D37" s="116">
        <f>설계변경내역서!D69</f>
        <v>1.37</v>
      </c>
      <c r="E37" s="117">
        <f>설계변경내역서!D70</f>
        <v>1.37</v>
      </c>
      <c r="F37" s="118">
        <f t="shared" si="3"/>
        <v>0</v>
      </c>
      <c r="G37" s="32" t="s">
        <v>52</v>
      </c>
      <c r="H37" s="115">
        <f>설계변경내역서!G69</f>
        <v>25073</v>
      </c>
      <c r="I37" s="22">
        <f>설계변경내역서!G70</f>
        <v>25073</v>
      </c>
      <c r="J37" s="113">
        <f t="shared" ref="J37:J68" si="4">I37-H37</f>
        <v>0</v>
      </c>
      <c r="K37" s="23" t="s">
        <v>391</v>
      </c>
    </row>
    <row r="38" spans="1:11" ht="24.6" customHeight="1" x14ac:dyDescent="0.3">
      <c r="A38" s="10"/>
      <c r="B38" s="10" t="s">
        <v>396</v>
      </c>
      <c r="C38" s="10" t="s">
        <v>369</v>
      </c>
      <c r="D38" s="116">
        <f>설계변경내역서!D71</f>
        <v>2.42</v>
      </c>
      <c r="E38" s="117">
        <f>설계변경내역서!D72</f>
        <v>2.42</v>
      </c>
      <c r="F38" s="118">
        <f t="shared" si="3"/>
        <v>0</v>
      </c>
      <c r="G38" s="32" t="s">
        <v>181</v>
      </c>
      <c r="H38" s="115">
        <f>설계변경내역서!G71</f>
        <v>0</v>
      </c>
      <c r="I38" s="22">
        <f>설계변경내역서!G72</f>
        <v>0</v>
      </c>
      <c r="J38" s="113">
        <f t="shared" si="4"/>
        <v>0</v>
      </c>
      <c r="K38" s="23" t="s">
        <v>397</v>
      </c>
    </row>
    <row r="39" spans="1:11" ht="24.6" customHeight="1" x14ac:dyDescent="0.3">
      <c r="A39" s="10"/>
      <c r="B39" s="10" t="s">
        <v>56</v>
      </c>
      <c r="C39" s="10" t="s">
        <v>57</v>
      </c>
      <c r="D39" s="116">
        <f>설계변경내역서!D73</f>
        <v>2.42</v>
      </c>
      <c r="E39" s="117">
        <f>설계변경내역서!D74</f>
        <v>2.42</v>
      </c>
      <c r="F39" s="118">
        <f t="shared" si="3"/>
        <v>0</v>
      </c>
      <c r="G39" s="32" t="s">
        <v>52</v>
      </c>
      <c r="H39" s="115">
        <f>설계변경내역서!G73</f>
        <v>19665</v>
      </c>
      <c r="I39" s="22">
        <f>설계변경내역서!G74</f>
        <v>19665</v>
      </c>
      <c r="J39" s="113">
        <f t="shared" si="4"/>
        <v>0</v>
      </c>
      <c r="K39" s="23" t="s">
        <v>402</v>
      </c>
    </row>
    <row r="40" spans="1:11" ht="24.6" customHeight="1" x14ac:dyDescent="0.3">
      <c r="A40" s="10"/>
      <c r="B40" s="10"/>
      <c r="C40" s="10"/>
      <c r="D40" s="115">
        <v>0</v>
      </c>
      <c r="E40" s="22">
        <v>0</v>
      </c>
      <c r="F40" s="118">
        <v>0</v>
      </c>
      <c r="G40" s="32"/>
      <c r="H40" s="115">
        <f>설계변경내역서!G75</f>
        <v>0</v>
      </c>
      <c r="I40" s="22">
        <f>설계변경내역서!G76</f>
        <v>0</v>
      </c>
      <c r="J40" s="113">
        <f t="shared" si="4"/>
        <v>0</v>
      </c>
      <c r="K40" s="23"/>
    </row>
    <row r="41" spans="1:11" ht="24.6" customHeight="1" x14ac:dyDescent="0.3">
      <c r="A41" s="114" t="s">
        <v>334</v>
      </c>
      <c r="B41" s="114" t="s">
        <v>335</v>
      </c>
      <c r="C41" s="114" t="s">
        <v>336</v>
      </c>
      <c r="D41" s="115">
        <v>0</v>
      </c>
      <c r="E41" s="22">
        <v>0</v>
      </c>
      <c r="F41" s="118">
        <v>0</v>
      </c>
      <c r="G41" s="32"/>
      <c r="H41" s="115">
        <f>설계변경내역서!G77</f>
        <v>30805166</v>
      </c>
      <c r="I41" s="22">
        <f>설계변경내역서!G78</f>
        <v>34227634</v>
      </c>
      <c r="J41" s="113">
        <f t="shared" si="4"/>
        <v>3422468</v>
      </c>
      <c r="K41" s="23"/>
    </row>
    <row r="42" spans="1:11" ht="24.6" customHeight="1" x14ac:dyDescent="0.3">
      <c r="A42" s="114" t="s">
        <v>414</v>
      </c>
      <c r="B42" s="114" t="s">
        <v>415</v>
      </c>
      <c r="C42" s="114" t="s">
        <v>416</v>
      </c>
      <c r="D42" s="115">
        <v>0</v>
      </c>
      <c r="E42" s="22">
        <v>0</v>
      </c>
      <c r="F42" s="118">
        <v>0</v>
      </c>
      <c r="G42" s="32"/>
      <c r="H42" s="115">
        <f>설계변경내역서!G79</f>
        <v>30805166</v>
      </c>
      <c r="I42" s="22">
        <f>설계변경내역서!G80</f>
        <v>9625211</v>
      </c>
      <c r="J42" s="112">
        <f t="shared" si="4"/>
        <v>-21179955</v>
      </c>
      <c r="K42" s="23"/>
    </row>
    <row r="43" spans="1:11" ht="24.6" customHeight="1" x14ac:dyDescent="0.3">
      <c r="A43" s="10"/>
      <c r="B43" s="10" t="s">
        <v>347</v>
      </c>
      <c r="C43" s="10" t="s">
        <v>348</v>
      </c>
      <c r="D43" s="116">
        <f>설계변경내역서!D81</f>
        <v>114.24</v>
      </c>
      <c r="E43" s="117">
        <f>설계변경내역서!D82</f>
        <v>20.8</v>
      </c>
      <c r="F43" s="119">
        <f t="shared" ref="F43:F52" si="5">E43-D43</f>
        <v>-93.44</v>
      </c>
      <c r="G43" s="32" t="s">
        <v>52</v>
      </c>
      <c r="H43" s="115">
        <f>설계변경내역서!G81</f>
        <v>799678</v>
      </c>
      <c r="I43" s="22">
        <f>설계변경내역서!G82</f>
        <v>145599</v>
      </c>
      <c r="J43" s="112">
        <f t="shared" si="4"/>
        <v>-654079</v>
      </c>
      <c r="K43" s="23" t="s">
        <v>349</v>
      </c>
    </row>
    <row r="44" spans="1:11" ht="24.6" customHeight="1" x14ac:dyDescent="0.3">
      <c r="A44" s="10"/>
      <c r="B44" s="10" t="s">
        <v>354</v>
      </c>
      <c r="C44" s="10" t="s">
        <v>355</v>
      </c>
      <c r="D44" s="116">
        <f>설계변경내역서!D83</f>
        <v>201.6</v>
      </c>
      <c r="E44" s="117">
        <f>설계변경내역서!D84</f>
        <v>62.4</v>
      </c>
      <c r="F44" s="119">
        <f t="shared" si="5"/>
        <v>-139.19999999999999</v>
      </c>
      <c r="G44" s="32" t="s">
        <v>167</v>
      </c>
      <c r="H44" s="115">
        <f>설계변경내역서!G83</f>
        <v>339091</v>
      </c>
      <c r="I44" s="22">
        <f>설계변경내역서!G84</f>
        <v>104956</v>
      </c>
      <c r="J44" s="112">
        <f t="shared" si="4"/>
        <v>-234135</v>
      </c>
      <c r="K44" s="23" t="s">
        <v>356</v>
      </c>
    </row>
    <row r="45" spans="1:11" ht="24.6" customHeight="1" x14ac:dyDescent="0.3">
      <c r="A45" s="10"/>
      <c r="B45" s="10" t="s">
        <v>361</v>
      </c>
      <c r="C45" s="10" t="s">
        <v>362</v>
      </c>
      <c r="D45" s="116">
        <f>설계변경내역서!D85</f>
        <v>5.04</v>
      </c>
      <c r="E45" s="117">
        <f>설계변경내역서!D86</f>
        <v>1.04</v>
      </c>
      <c r="F45" s="119">
        <f t="shared" si="5"/>
        <v>-4</v>
      </c>
      <c r="G45" s="32" t="s">
        <v>52</v>
      </c>
      <c r="H45" s="115">
        <f>설계변경내역서!G85</f>
        <v>497049</v>
      </c>
      <c r="I45" s="22">
        <f>설계변경내역서!G86</f>
        <v>102565</v>
      </c>
      <c r="J45" s="112">
        <f t="shared" si="4"/>
        <v>-394484</v>
      </c>
      <c r="K45" s="23" t="s">
        <v>363</v>
      </c>
    </row>
    <row r="46" spans="1:11" ht="24.6" customHeight="1" x14ac:dyDescent="0.3">
      <c r="A46" s="10"/>
      <c r="B46" s="10" t="s">
        <v>368</v>
      </c>
      <c r="C46" s="10" t="s">
        <v>369</v>
      </c>
      <c r="D46" s="116">
        <f>설계변경내역서!D87</f>
        <v>571.20000000000005</v>
      </c>
      <c r="E46" s="22">
        <f>설계변경내역서!D88</f>
        <v>0</v>
      </c>
      <c r="F46" s="119">
        <f t="shared" si="5"/>
        <v>-571.20000000000005</v>
      </c>
      <c r="G46" s="32" t="s">
        <v>14</v>
      </c>
      <c r="H46" s="115">
        <f>설계변경내역서!G87</f>
        <v>0</v>
      </c>
      <c r="I46" s="22">
        <f>설계변경내역서!G88</f>
        <v>0</v>
      </c>
      <c r="J46" s="113">
        <f t="shared" si="4"/>
        <v>0</v>
      </c>
      <c r="K46" s="23" t="s">
        <v>410</v>
      </c>
    </row>
    <row r="47" spans="1:11" ht="24.6" customHeight="1" x14ac:dyDescent="0.3">
      <c r="A47" s="10"/>
      <c r="B47" s="10" t="s">
        <v>17</v>
      </c>
      <c r="C47" s="10" t="s">
        <v>380</v>
      </c>
      <c r="D47" s="116">
        <f>설계변경내역서!D89</f>
        <v>403.2</v>
      </c>
      <c r="E47" s="117">
        <f>설계변경내역서!D90</f>
        <v>102.96</v>
      </c>
      <c r="F47" s="119">
        <f t="shared" si="5"/>
        <v>-300.24</v>
      </c>
      <c r="G47" s="32" t="s">
        <v>14</v>
      </c>
      <c r="H47" s="115">
        <f>설계변경내역서!G89</f>
        <v>19252395</v>
      </c>
      <c r="I47" s="22">
        <f>설계변경내역서!G90</f>
        <v>4916235</v>
      </c>
      <c r="J47" s="112">
        <f t="shared" si="4"/>
        <v>-14336160</v>
      </c>
      <c r="K47" s="23" t="s">
        <v>381</v>
      </c>
    </row>
    <row r="48" spans="1:11" ht="24.6" customHeight="1" x14ac:dyDescent="0.3">
      <c r="A48" s="10"/>
      <c r="B48" s="10" t="s">
        <v>12</v>
      </c>
      <c r="C48" s="10" t="s">
        <v>421</v>
      </c>
      <c r="D48" s="115">
        <f>설계변경내역서!D91</f>
        <v>168</v>
      </c>
      <c r="E48" s="22">
        <f>설계변경내역서!D92</f>
        <v>0</v>
      </c>
      <c r="F48" s="119">
        <f t="shared" si="5"/>
        <v>-168</v>
      </c>
      <c r="G48" s="32" t="s">
        <v>14</v>
      </c>
      <c r="H48" s="115">
        <f>설계변경내역서!G91</f>
        <v>8021160</v>
      </c>
      <c r="I48" s="22">
        <f>설계변경내역서!G92</f>
        <v>0</v>
      </c>
      <c r="J48" s="112">
        <f t="shared" si="4"/>
        <v>-8021160</v>
      </c>
      <c r="K48" s="23" t="s">
        <v>422</v>
      </c>
    </row>
    <row r="49" spans="1:11" ht="24.6" customHeight="1" x14ac:dyDescent="0.3">
      <c r="A49" s="10"/>
      <c r="B49" s="10" t="s">
        <v>12</v>
      </c>
      <c r="C49" s="10" t="s">
        <v>24</v>
      </c>
      <c r="D49" s="115">
        <f>설계변경내역서!D93</f>
        <v>0</v>
      </c>
      <c r="E49" s="117">
        <f>설계변경내역서!D94</f>
        <v>72.8</v>
      </c>
      <c r="F49" s="118">
        <f t="shared" si="5"/>
        <v>72.8</v>
      </c>
      <c r="G49" s="32" t="s">
        <v>14</v>
      </c>
      <c r="H49" s="115">
        <f>설계변경내역서!G93</f>
        <v>0</v>
      </c>
      <c r="I49" s="22">
        <f>설계변경내역서!G94</f>
        <v>3824037</v>
      </c>
      <c r="J49" s="113">
        <f t="shared" si="4"/>
        <v>3824037</v>
      </c>
      <c r="K49" s="23" t="s">
        <v>427</v>
      </c>
    </row>
    <row r="50" spans="1:11" ht="24.6" customHeight="1" x14ac:dyDescent="0.3">
      <c r="A50" s="10"/>
      <c r="B50" s="10" t="s">
        <v>50</v>
      </c>
      <c r="C50" s="10" t="s">
        <v>51</v>
      </c>
      <c r="D50" s="116">
        <f>설계변경내역서!D95</f>
        <v>85.68</v>
      </c>
      <c r="E50" s="117">
        <f>설계변경내역서!D96</f>
        <v>24.44</v>
      </c>
      <c r="F50" s="119">
        <f t="shared" si="5"/>
        <v>-61.240000000000009</v>
      </c>
      <c r="G50" s="32" t="s">
        <v>52</v>
      </c>
      <c r="H50" s="115">
        <f>설계변경내역서!G95</f>
        <v>1568114</v>
      </c>
      <c r="I50" s="22">
        <f>설계변경내역서!G96</f>
        <v>447300</v>
      </c>
      <c r="J50" s="112">
        <f t="shared" si="4"/>
        <v>-1120814</v>
      </c>
      <c r="K50" s="23" t="s">
        <v>391</v>
      </c>
    </row>
    <row r="51" spans="1:11" ht="24.6" customHeight="1" x14ac:dyDescent="0.3">
      <c r="A51" s="10"/>
      <c r="B51" s="10" t="s">
        <v>396</v>
      </c>
      <c r="C51" s="10" t="s">
        <v>369</v>
      </c>
      <c r="D51" s="116">
        <f>설계변경내역서!D97</f>
        <v>40.32</v>
      </c>
      <c r="E51" s="117">
        <f>설계변경내역서!D98</f>
        <v>10.4</v>
      </c>
      <c r="F51" s="119">
        <f t="shared" si="5"/>
        <v>-29.92</v>
      </c>
      <c r="G51" s="32" t="s">
        <v>181</v>
      </c>
      <c r="H51" s="115">
        <f>설계변경내역서!G97</f>
        <v>0</v>
      </c>
      <c r="I51" s="22">
        <f>설계변경내역서!G98</f>
        <v>0</v>
      </c>
      <c r="J51" s="113">
        <f t="shared" si="4"/>
        <v>0</v>
      </c>
      <c r="K51" s="23" t="s">
        <v>397</v>
      </c>
    </row>
    <row r="52" spans="1:11" ht="24.6" customHeight="1" x14ac:dyDescent="0.3">
      <c r="A52" s="10"/>
      <c r="B52" s="10" t="s">
        <v>56</v>
      </c>
      <c r="C52" s="10" t="s">
        <v>57</v>
      </c>
      <c r="D52" s="116">
        <f>설계변경내역서!D99</f>
        <v>40.32</v>
      </c>
      <c r="E52" s="117">
        <f>설계변경내역서!D100</f>
        <v>10.4</v>
      </c>
      <c r="F52" s="119">
        <f t="shared" si="5"/>
        <v>-29.92</v>
      </c>
      <c r="G52" s="32" t="s">
        <v>52</v>
      </c>
      <c r="H52" s="115">
        <f>설계변경내역서!G99</f>
        <v>327679</v>
      </c>
      <c r="I52" s="22">
        <f>설계변경내역서!G100</f>
        <v>84519</v>
      </c>
      <c r="J52" s="112">
        <f t="shared" si="4"/>
        <v>-243160</v>
      </c>
      <c r="K52" s="23" t="s">
        <v>402</v>
      </c>
    </row>
    <row r="53" spans="1:11" ht="24.6" customHeight="1" x14ac:dyDescent="0.3">
      <c r="A53" s="10"/>
      <c r="B53" s="10"/>
      <c r="C53" s="10"/>
      <c r="D53" s="115">
        <v>0</v>
      </c>
      <c r="E53" s="22">
        <v>0</v>
      </c>
      <c r="F53" s="118">
        <v>0</v>
      </c>
      <c r="G53" s="32"/>
      <c r="H53" s="115">
        <f>설계변경내역서!G101</f>
        <v>0</v>
      </c>
      <c r="I53" s="22">
        <f>설계변경내역서!G102</f>
        <v>0</v>
      </c>
      <c r="J53" s="113">
        <f t="shared" si="4"/>
        <v>0</v>
      </c>
      <c r="K53" s="23"/>
    </row>
    <row r="54" spans="1:11" ht="24.6" customHeight="1" x14ac:dyDescent="0.3">
      <c r="A54" s="114" t="s">
        <v>428</v>
      </c>
      <c r="B54" s="114" t="s">
        <v>429</v>
      </c>
      <c r="C54" s="114" t="s">
        <v>430</v>
      </c>
      <c r="D54" s="115">
        <v>0</v>
      </c>
      <c r="E54" s="22">
        <v>0</v>
      </c>
      <c r="F54" s="118">
        <v>0</v>
      </c>
      <c r="G54" s="32"/>
      <c r="H54" s="115">
        <f>설계변경내역서!G103</f>
        <v>0</v>
      </c>
      <c r="I54" s="22">
        <f>설계변경내역서!G104</f>
        <v>24602423</v>
      </c>
      <c r="J54" s="113">
        <f t="shared" si="4"/>
        <v>24602423</v>
      </c>
      <c r="K54" s="23"/>
    </row>
    <row r="55" spans="1:11" ht="24.6" customHeight="1" x14ac:dyDescent="0.3">
      <c r="A55" s="10"/>
      <c r="B55" s="10" t="s">
        <v>12</v>
      </c>
      <c r="C55" s="10" t="s">
        <v>21</v>
      </c>
      <c r="D55" s="115">
        <f>설계변경내역서!D105</f>
        <v>0</v>
      </c>
      <c r="E55" s="117">
        <f>설계변경내역서!D106</f>
        <v>155.4</v>
      </c>
      <c r="F55" s="118">
        <f t="shared" ref="F55:F60" si="6">E55-D55</f>
        <v>155.4</v>
      </c>
      <c r="G55" s="32" t="s">
        <v>14</v>
      </c>
      <c r="H55" s="115">
        <f>설계변경내역서!G105</f>
        <v>0</v>
      </c>
      <c r="I55" s="22">
        <f>설계변경내역서!G106</f>
        <v>9331302</v>
      </c>
      <c r="J55" s="113">
        <f t="shared" si="4"/>
        <v>9331302</v>
      </c>
      <c r="K55" s="23" t="s">
        <v>435</v>
      </c>
    </row>
    <row r="56" spans="1:11" ht="24.6" customHeight="1" x14ac:dyDescent="0.3">
      <c r="A56" s="10"/>
      <c r="B56" s="10" t="s">
        <v>17</v>
      </c>
      <c r="C56" s="10" t="s">
        <v>18</v>
      </c>
      <c r="D56" s="115">
        <f>설계변경내역서!D107</f>
        <v>0</v>
      </c>
      <c r="E56" s="117">
        <f>설계변경내역서!D108</f>
        <v>219.78</v>
      </c>
      <c r="F56" s="118">
        <f t="shared" si="6"/>
        <v>219.78</v>
      </c>
      <c r="G56" s="32" t="s">
        <v>14</v>
      </c>
      <c r="H56" s="115">
        <f>설계변경내역서!G107</f>
        <v>0</v>
      </c>
      <c r="I56" s="22">
        <f>설계변경내역서!G108</f>
        <v>12265480</v>
      </c>
      <c r="J56" s="113">
        <f t="shared" si="4"/>
        <v>12265480</v>
      </c>
      <c r="K56" s="23" t="s">
        <v>386</v>
      </c>
    </row>
    <row r="57" spans="1:11" ht="24.6" customHeight="1" x14ac:dyDescent="0.3">
      <c r="A57" s="10"/>
      <c r="B57" s="10" t="s">
        <v>60</v>
      </c>
      <c r="C57" s="10" t="s">
        <v>64</v>
      </c>
      <c r="D57" s="115">
        <f>설계변경내역서!D109</f>
        <v>0</v>
      </c>
      <c r="E57" s="117">
        <f>설계변경내역서!D110</f>
        <v>41.96</v>
      </c>
      <c r="F57" s="118">
        <f t="shared" si="6"/>
        <v>41.96</v>
      </c>
      <c r="G57" s="32" t="s">
        <v>14</v>
      </c>
      <c r="H57" s="115">
        <f>설계변경내역서!G109</f>
        <v>0</v>
      </c>
      <c r="I57" s="22">
        <f>설계변경내역서!G110</f>
        <v>808106</v>
      </c>
      <c r="J57" s="113">
        <f t="shared" si="4"/>
        <v>808106</v>
      </c>
      <c r="K57" s="23" t="s">
        <v>440</v>
      </c>
    </row>
    <row r="58" spans="1:11" ht="24.6" customHeight="1" x14ac:dyDescent="0.3">
      <c r="A58" s="10"/>
      <c r="B58" s="10" t="s">
        <v>60</v>
      </c>
      <c r="C58" s="10" t="s">
        <v>61</v>
      </c>
      <c r="D58" s="115">
        <f>설계변경내역서!D111</f>
        <v>0</v>
      </c>
      <c r="E58" s="117">
        <f>설계변경내역서!D112</f>
        <v>59.34</v>
      </c>
      <c r="F58" s="118">
        <f t="shared" si="6"/>
        <v>59.34</v>
      </c>
      <c r="G58" s="32" t="s">
        <v>14</v>
      </c>
      <c r="H58" s="115">
        <f>설계변경내역서!G111</f>
        <v>0</v>
      </c>
      <c r="I58" s="22">
        <f>설계변경내역서!G112</f>
        <v>1062304</v>
      </c>
      <c r="J58" s="113">
        <f t="shared" si="4"/>
        <v>1062304</v>
      </c>
      <c r="K58" s="23" t="s">
        <v>375</v>
      </c>
    </row>
    <row r="59" spans="1:11" ht="24.6" customHeight="1" x14ac:dyDescent="0.3">
      <c r="A59" s="10"/>
      <c r="B59" s="10" t="s">
        <v>50</v>
      </c>
      <c r="C59" s="10" t="s">
        <v>51</v>
      </c>
      <c r="D59" s="115">
        <f>설계변경내역서!D113</f>
        <v>0</v>
      </c>
      <c r="E59" s="117">
        <f>설계변경내역서!D114</f>
        <v>52.17</v>
      </c>
      <c r="F59" s="118">
        <f t="shared" si="6"/>
        <v>52.17</v>
      </c>
      <c r="G59" s="32" t="s">
        <v>52</v>
      </c>
      <c r="H59" s="115">
        <f>설계변경내역서!G113</f>
        <v>0</v>
      </c>
      <c r="I59" s="22">
        <f>설계변경내역서!G114</f>
        <v>954813</v>
      </c>
      <c r="J59" s="113">
        <f t="shared" si="4"/>
        <v>954813</v>
      </c>
      <c r="K59" s="23" t="s">
        <v>391</v>
      </c>
    </row>
    <row r="60" spans="1:11" ht="24.6" customHeight="1" x14ac:dyDescent="0.3">
      <c r="A60" s="10"/>
      <c r="B60" s="10" t="s">
        <v>56</v>
      </c>
      <c r="C60" s="10" t="s">
        <v>57</v>
      </c>
      <c r="D60" s="115">
        <f>설계변경내역서!D115</f>
        <v>0</v>
      </c>
      <c r="E60" s="117">
        <f>설계변경내역서!D116</f>
        <v>22.2</v>
      </c>
      <c r="F60" s="118">
        <f t="shared" si="6"/>
        <v>22.2</v>
      </c>
      <c r="G60" s="32" t="s">
        <v>52</v>
      </c>
      <c r="H60" s="115">
        <f>설계변경내역서!G115</f>
        <v>0</v>
      </c>
      <c r="I60" s="22">
        <f>설계변경내역서!G116</f>
        <v>180418</v>
      </c>
      <c r="J60" s="113">
        <f t="shared" si="4"/>
        <v>180418</v>
      </c>
      <c r="K60" s="23" t="s">
        <v>402</v>
      </c>
    </row>
    <row r="61" spans="1:11" ht="24.6" customHeight="1" x14ac:dyDescent="0.3">
      <c r="A61" s="10"/>
      <c r="B61" s="10"/>
      <c r="C61" s="10"/>
      <c r="D61" s="115">
        <v>0</v>
      </c>
      <c r="E61" s="22">
        <v>0</v>
      </c>
      <c r="F61" s="118">
        <v>0</v>
      </c>
      <c r="G61" s="32"/>
      <c r="H61" s="115">
        <f>설계변경내역서!G117</f>
        <v>0</v>
      </c>
      <c r="I61" s="22">
        <f>설계변경내역서!G118</f>
        <v>0</v>
      </c>
      <c r="J61" s="113">
        <f t="shared" si="4"/>
        <v>0</v>
      </c>
      <c r="K61" s="23"/>
    </row>
    <row r="62" spans="1:11" ht="24.6" customHeight="1" x14ac:dyDescent="0.3">
      <c r="A62" s="114" t="s">
        <v>337</v>
      </c>
      <c r="B62" s="114" t="s">
        <v>411</v>
      </c>
      <c r="C62" s="114" t="s">
        <v>412</v>
      </c>
      <c r="D62" s="115">
        <v>0</v>
      </c>
      <c r="E62" s="22">
        <v>0</v>
      </c>
      <c r="F62" s="118">
        <v>0</v>
      </c>
      <c r="G62" s="32"/>
      <c r="H62" s="115">
        <f>설계변경내역서!G119</f>
        <v>431643</v>
      </c>
      <c r="I62" s="22">
        <f>설계변경내역서!G120</f>
        <v>1951709</v>
      </c>
      <c r="J62" s="113">
        <f t="shared" si="4"/>
        <v>1520066</v>
      </c>
      <c r="K62" s="23"/>
    </row>
    <row r="63" spans="1:11" ht="24.6" customHeight="1" x14ac:dyDescent="0.3">
      <c r="A63" s="114" t="s">
        <v>444</v>
      </c>
      <c r="B63" s="114" t="s">
        <v>445</v>
      </c>
      <c r="C63" s="114" t="s">
        <v>446</v>
      </c>
      <c r="D63" s="115">
        <v>0</v>
      </c>
      <c r="E63" s="22">
        <v>0</v>
      </c>
      <c r="F63" s="118">
        <v>0</v>
      </c>
      <c r="G63" s="32"/>
      <c r="H63" s="115">
        <f>설계변경내역서!G121</f>
        <v>431643</v>
      </c>
      <c r="I63" s="22">
        <f>설계변경내역서!G122</f>
        <v>1951709</v>
      </c>
      <c r="J63" s="113">
        <f t="shared" si="4"/>
        <v>1520066</v>
      </c>
      <c r="K63" s="23"/>
    </row>
    <row r="64" spans="1:11" ht="24.6" customHeight="1" x14ac:dyDescent="0.3">
      <c r="A64" s="10"/>
      <c r="B64" s="10" t="s">
        <v>347</v>
      </c>
      <c r="C64" s="10" t="s">
        <v>348</v>
      </c>
      <c r="D64" s="116">
        <f>설계변경내역서!D123</f>
        <v>1.65</v>
      </c>
      <c r="E64" s="22">
        <f>설계변경내역서!D124</f>
        <v>0</v>
      </c>
      <c r="F64" s="119">
        <f t="shared" ref="F64:F72" si="7">E64-D64</f>
        <v>-1.65</v>
      </c>
      <c r="G64" s="32" t="s">
        <v>52</v>
      </c>
      <c r="H64" s="115">
        <f>설계변경내역서!G123</f>
        <v>11549</v>
      </c>
      <c r="I64" s="22">
        <f>설계변경내역서!G124</f>
        <v>0</v>
      </c>
      <c r="J64" s="112">
        <f t="shared" si="4"/>
        <v>-11549</v>
      </c>
      <c r="K64" s="23" t="s">
        <v>349</v>
      </c>
    </row>
    <row r="65" spans="1:11" ht="24.6" customHeight="1" x14ac:dyDescent="0.3">
      <c r="A65" s="10"/>
      <c r="B65" s="10" t="s">
        <v>354</v>
      </c>
      <c r="C65" s="10" t="s">
        <v>355</v>
      </c>
      <c r="D65" s="116">
        <f>설계변경내역서!D125</f>
        <v>2.5299999999999998</v>
      </c>
      <c r="E65" s="22">
        <f>설계변경내역서!D126</f>
        <v>0</v>
      </c>
      <c r="F65" s="119">
        <f t="shared" si="7"/>
        <v>-2.5299999999999998</v>
      </c>
      <c r="G65" s="32" t="s">
        <v>167</v>
      </c>
      <c r="H65" s="115">
        <f>설계변경내역서!G125</f>
        <v>4255</v>
      </c>
      <c r="I65" s="22">
        <f>설계변경내역서!G126</f>
        <v>0</v>
      </c>
      <c r="J65" s="112">
        <f t="shared" si="4"/>
        <v>-4255</v>
      </c>
      <c r="K65" s="23" t="s">
        <v>356</v>
      </c>
    </row>
    <row r="66" spans="1:11" ht="24.6" customHeight="1" x14ac:dyDescent="0.3">
      <c r="A66" s="10"/>
      <c r="B66" s="10" t="s">
        <v>361</v>
      </c>
      <c r="C66" s="10" t="s">
        <v>362</v>
      </c>
      <c r="D66" s="116">
        <f>설계변경내역서!D127</f>
        <v>7.6999999999999999E-2</v>
      </c>
      <c r="E66" s="22">
        <f>설계변경내역서!D128</f>
        <v>0</v>
      </c>
      <c r="F66" s="119">
        <f t="shared" si="7"/>
        <v>-7.6999999999999999E-2</v>
      </c>
      <c r="G66" s="32" t="s">
        <v>52</v>
      </c>
      <c r="H66" s="115">
        <f>설계변경내역서!G127</f>
        <v>7593</v>
      </c>
      <c r="I66" s="22">
        <f>설계변경내역서!G128</f>
        <v>0</v>
      </c>
      <c r="J66" s="112">
        <f t="shared" si="4"/>
        <v>-7593</v>
      </c>
      <c r="K66" s="23" t="s">
        <v>363</v>
      </c>
    </row>
    <row r="67" spans="1:11" ht="24.6" customHeight="1" x14ac:dyDescent="0.3">
      <c r="A67" s="10"/>
      <c r="B67" s="10" t="s">
        <v>368</v>
      </c>
      <c r="C67" s="10" t="s">
        <v>369</v>
      </c>
      <c r="D67" s="116">
        <f>설계변경내역서!D129</f>
        <v>8.0299999999999994</v>
      </c>
      <c r="E67" s="22">
        <f>설계변경내역서!D130</f>
        <v>0</v>
      </c>
      <c r="F67" s="119">
        <f t="shared" si="7"/>
        <v>-8.0299999999999994</v>
      </c>
      <c r="G67" s="32" t="s">
        <v>14</v>
      </c>
      <c r="H67" s="115">
        <f>설계변경내역서!G129</f>
        <v>0</v>
      </c>
      <c r="I67" s="22">
        <f>설계변경내역서!G130</f>
        <v>0</v>
      </c>
      <c r="J67" s="113">
        <f t="shared" si="4"/>
        <v>0</v>
      </c>
      <c r="K67" s="23" t="s">
        <v>410</v>
      </c>
    </row>
    <row r="68" spans="1:11" ht="24.6" customHeight="1" x14ac:dyDescent="0.3">
      <c r="A68" s="10"/>
      <c r="B68" s="10" t="s">
        <v>17</v>
      </c>
      <c r="C68" s="10" t="s">
        <v>380</v>
      </c>
      <c r="D68" s="116">
        <f>설계변경내역서!D131</f>
        <v>8.0299999999999994</v>
      </c>
      <c r="E68" s="22">
        <f>설계변경내역서!D132</f>
        <v>0</v>
      </c>
      <c r="F68" s="119">
        <f t="shared" si="7"/>
        <v>-8.0299999999999994</v>
      </c>
      <c r="G68" s="32" t="s">
        <v>14</v>
      </c>
      <c r="H68" s="115">
        <f>설계변경내역서!G131</f>
        <v>383423</v>
      </c>
      <c r="I68" s="22">
        <f>설계변경내역서!G132</f>
        <v>0</v>
      </c>
      <c r="J68" s="112">
        <f t="shared" si="4"/>
        <v>-383423</v>
      </c>
      <c r="K68" s="23" t="s">
        <v>381</v>
      </c>
    </row>
    <row r="69" spans="1:11" ht="24.6" customHeight="1" x14ac:dyDescent="0.3">
      <c r="A69" s="10"/>
      <c r="B69" s="10" t="s">
        <v>17</v>
      </c>
      <c r="C69" s="10" t="s">
        <v>18</v>
      </c>
      <c r="D69" s="115">
        <f>설계변경내역서!D133</f>
        <v>0</v>
      </c>
      <c r="E69" s="117">
        <f>설계변경내역서!D134</f>
        <v>31.35</v>
      </c>
      <c r="F69" s="118">
        <f t="shared" si="7"/>
        <v>31.35</v>
      </c>
      <c r="G69" s="32" t="s">
        <v>14</v>
      </c>
      <c r="H69" s="115">
        <f>설계변경내역서!G133</f>
        <v>0</v>
      </c>
      <c r="I69" s="22">
        <f>설계변경내역서!G134</f>
        <v>1749579</v>
      </c>
      <c r="J69" s="113">
        <f t="shared" ref="J69:J100" si="8">I69-H69</f>
        <v>1749579</v>
      </c>
      <c r="K69" s="23" t="s">
        <v>386</v>
      </c>
    </row>
    <row r="70" spans="1:11" ht="24.6" customHeight="1" x14ac:dyDescent="0.3">
      <c r="A70" s="10"/>
      <c r="B70" s="10" t="s">
        <v>50</v>
      </c>
      <c r="C70" s="10" t="s">
        <v>51</v>
      </c>
      <c r="D70" s="116">
        <f>설계변경내역서!D135</f>
        <v>1.21</v>
      </c>
      <c r="E70" s="117">
        <f>설계변경내역서!D136</f>
        <v>4.6500000000000004</v>
      </c>
      <c r="F70" s="118">
        <f t="shared" si="7"/>
        <v>3.4400000000000004</v>
      </c>
      <c r="G70" s="32" t="s">
        <v>52</v>
      </c>
      <c r="H70" s="115">
        <f>설계변경내역서!G135</f>
        <v>22143</v>
      </c>
      <c r="I70" s="22">
        <f>설계변경내역서!G136</f>
        <v>85103</v>
      </c>
      <c r="J70" s="113">
        <f t="shared" si="8"/>
        <v>62960</v>
      </c>
      <c r="K70" s="23" t="s">
        <v>391</v>
      </c>
    </row>
    <row r="71" spans="1:11" ht="24.6" customHeight="1" x14ac:dyDescent="0.3">
      <c r="A71" s="10"/>
      <c r="B71" s="10" t="s">
        <v>396</v>
      </c>
      <c r="C71" s="10" t="s">
        <v>369</v>
      </c>
      <c r="D71" s="116">
        <f>설계변경내역서!D137</f>
        <v>0.33</v>
      </c>
      <c r="E71" s="117">
        <f>설계변경내역서!D138</f>
        <v>14.4</v>
      </c>
      <c r="F71" s="118">
        <f t="shared" si="7"/>
        <v>14.07</v>
      </c>
      <c r="G71" s="32" t="s">
        <v>181</v>
      </c>
      <c r="H71" s="115">
        <f>설계변경내역서!G137</f>
        <v>0</v>
      </c>
      <c r="I71" s="22">
        <f>설계변경내역서!G138</f>
        <v>0</v>
      </c>
      <c r="J71" s="113">
        <f t="shared" si="8"/>
        <v>0</v>
      </c>
      <c r="K71" s="23" t="s">
        <v>397</v>
      </c>
    </row>
    <row r="72" spans="1:11" ht="24.6" customHeight="1" x14ac:dyDescent="0.3">
      <c r="A72" s="10"/>
      <c r="B72" s="10" t="s">
        <v>56</v>
      </c>
      <c r="C72" s="10" t="s">
        <v>57</v>
      </c>
      <c r="D72" s="116">
        <f>설계변경내역서!D139</f>
        <v>0.33</v>
      </c>
      <c r="E72" s="117">
        <f>설계변경내역서!D140</f>
        <v>14.4</v>
      </c>
      <c r="F72" s="118">
        <f t="shared" si="7"/>
        <v>14.07</v>
      </c>
      <c r="G72" s="32" t="s">
        <v>52</v>
      </c>
      <c r="H72" s="115">
        <f>설계변경내역서!G139</f>
        <v>2680</v>
      </c>
      <c r="I72" s="22">
        <f>설계변경내역서!G140</f>
        <v>117027</v>
      </c>
      <c r="J72" s="113">
        <f t="shared" si="8"/>
        <v>114347</v>
      </c>
      <c r="K72" s="23" t="s">
        <v>402</v>
      </c>
    </row>
    <row r="73" spans="1:11" ht="24.6" customHeight="1" x14ac:dyDescent="0.3">
      <c r="A73" s="10"/>
      <c r="B73" s="10"/>
      <c r="C73" s="10"/>
      <c r="D73" s="115">
        <v>0</v>
      </c>
      <c r="E73" s="22">
        <v>0</v>
      </c>
      <c r="F73" s="118">
        <v>0</v>
      </c>
      <c r="G73" s="32"/>
      <c r="H73" s="115">
        <f>설계변경내역서!G141</f>
        <v>0</v>
      </c>
      <c r="I73" s="22">
        <f>설계변경내역서!G142</f>
        <v>0</v>
      </c>
      <c r="J73" s="113">
        <f t="shared" si="8"/>
        <v>0</v>
      </c>
      <c r="K73" s="23"/>
    </row>
    <row r="74" spans="1:11" ht="24.6" customHeight="1" x14ac:dyDescent="0.3">
      <c r="A74" s="114" t="s">
        <v>443</v>
      </c>
      <c r="B74" s="114" t="s">
        <v>442</v>
      </c>
      <c r="C74" s="114" t="s">
        <v>441</v>
      </c>
      <c r="D74" s="115">
        <v>0</v>
      </c>
      <c r="E74" s="22">
        <v>0</v>
      </c>
      <c r="F74" s="118">
        <v>0</v>
      </c>
      <c r="G74" s="32"/>
      <c r="H74" s="115">
        <f>설계변경내역서!G143</f>
        <v>2256728</v>
      </c>
      <c r="I74" s="22">
        <f>설계변경내역서!G144</f>
        <v>0</v>
      </c>
      <c r="J74" s="112">
        <f t="shared" si="8"/>
        <v>-2256728</v>
      </c>
      <c r="K74" s="23"/>
    </row>
    <row r="75" spans="1:11" ht="24.6" customHeight="1" x14ac:dyDescent="0.3">
      <c r="A75" s="114" t="s">
        <v>450</v>
      </c>
      <c r="B75" s="114" t="s">
        <v>451</v>
      </c>
      <c r="C75" s="114" t="s">
        <v>452</v>
      </c>
      <c r="D75" s="115">
        <v>0</v>
      </c>
      <c r="E75" s="22">
        <v>0</v>
      </c>
      <c r="F75" s="118">
        <v>0</v>
      </c>
      <c r="G75" s="32"/>
      <c r="H75" s="115">
        <f>설계변경내역서!G145</f>
        <v>2256728</v>
      </c>
      <c r="I75" s="22">
        <f>설계변경내역서!G146</f>
        <v>0</v>
      </c>
      <c r="J75" s="112">
        <f t="shared" si="8"/>
        <v>-2256728</v>
      </c>
      <c r="K75" s="23"/>
    </row>
    <row r="76" spans="1:11" ht="24.6" customHeight="1" x14ac:dyDescent="0.3">
      <c r="A76" s="10"/>
      <c r="B76" s="10" t="s">
        <v>347</v>
      </c>
      <c r="C76" s="10" t="s">
        <v>348</v>
      </c>
      <c r="D76" s="116">
        <f>설계변경내역서!D147</f>
        <v>8.5399999999999991</v>
      </c>
      <c r="E76" s="22">
        <f>설계변경내역서!D148</f>
        <v>0</v>
      </c>
      <c r="F76" s="119">
        <f t="shared" ref="F76:F82" si="9">E76-D76</f>
        <v>-8.5399999999999991</v>
      </c>
      <c r="G76" s="32" t="s">
        <v>52</v>
      </c>
      <c r="H76" s="115">
        <f>설계변경내역서!G147</f>
        <v>59779</v>
      </c>
      <c r="I76" s="22">
        <f>설계변경내역서!G148</f>
        <v>0</v>
      </c>
      <c r="J76" s="112">
        <f t="shared" si="8"/>
        <v>-59779</v>
      </c>
      <c r="K76" s="23" t="s">
        <v>349</v>
      </c>
    </row>
    <row r="77" spans="1:11" ht="24.6" customHeight="1" x14ac:dyDescent="0.3">
      <c r="A77" s="10"/>
      <c r="B77" s="10" t="s">
        <v>361</v>
      </c>
      <c r="C77" s="10" t="s">
        <v>362</v>
      </c>
      <c r="D77" s="116">
        <f>설계변경내역서!D149</f>
        <v>0.35</v>
      </c>
      <c r="E77" s="22">
        <f>설계변경내역서!D150</f>
        <v>0</v>
      </c>
      <c r="F77" s="119">
        <f t="shared" si="9"/>
        <v>-0.35</v>
      </c>
      <c r="G77" s="32" t="s">
        <v>52</v>
      </c>
      <c r="H77" s="115">
        <f>설계변경내역서!G149</f>
        <v>34517</v>
      </c>
      <c r="I77" s="22">
        <f>설계변경내역서!G150</f>
        <v>0</v>
      </c>
      <c r="J77" s="112">
        <f t="shared" si="8"/>
        <v>-34517</v>
      </c>
      <c r="K77" s="23" t="s">
        <v>363</v>
      </c>
    </row>
    <row r="78" spans="1:11" ht="24.6" customHeight="1" x14ac:dyDescent="0.3">
      <c r="A78" s="10"/>
      <c r="B78" s="10" t="s">
        <v>368</v>
      </c>
      <c r="C78" s="10" t="s">
        <v>369</v>
      </c>
      <c r="D78" s="116">
        <f>설계변경내역서!D151</f>
        <v>42.56</v>
      </c>
      <c r="E78" s="22">
        <f>설계변경내역서!D152</f>
        <v>0</v>
      </c>
      <c r="F78" s="119">
        <f t="shared" si="9"/>
        <v>-42.56</v>
      </c>
      <c r="G78" s="32" t="s">
        <v>14</v>
      </c>
      <c r="H78" s="115">
        <f>설계변경내역서!G151</f>
        <v>0</v>
      </c>
      <c r="I78" s="22">
        <f>설계변경내역서!G152</f>
        <v>0</v>
      </c>
      <c r="J78" s="113">
        <f t="shared" si="8"/>
        <v>0</v>
      </c>
      <c r="K78" s="23" t="s">
        <v>410</v>
      </c>
    </row>
    <row r="79" spans="1:11" ht="24.6" customHeight="1" x14ac:dyDescent="0.3">
      <c r="A79" s="10"/>
      <c r="B79" s="10" t="s">
        <v>17</v>
      </c>
      <c r="C79" s="10" t="s">
        <v>380</v>
      </c>
      <c r="D79" s="116">
        <f>설계변경내역서!D153</f>
        <v>42.56</v>
      </c>
      <c r="E79" s="22">
        <f>설계변경내역서!D154</f>
        <v>0</v>
      </c>
      <c r="F79" s="119">
        <f t="shared" si="9"/>
        <v>-42.56</v>
      </c>
      <c r="G79" s="32" t="s">
        <v>14</v>
      </c>
      <c r="H79" s="115">
        <f>설계변경내역서!G153</f>
        <v>2032197</v>
      </c>
      <c r="I79" s="22">
        <f>설계변경내역서!G154</f>
        <v>0</v>
      </c>
      <c r="J79" s="112">
        <f t="shared" si="8"/>
        <v>-2032197</v>
      </c>
      <c r="K79" s="23" t="s">
        <v>381</v>
      </c>
    </row>
    <row r="80" spans="1:11" ht="24.6" customHeight="1" x14ac:dyDescent="0.3">
      <c r="A80" s="10"/>
      <c r="B80" s="10" t="s">
        <v>50</v>
      </c>
      <c r="C80" s="10" t="s">
        <v>51</v>
      </c>
      <c r="D80" s="116">
        <f>설계변경내역서!D155</f>
        <v>6.37</v>
      </c>
      <c r="E80" s="22">
        <f>설계변경내역서!D156</f>
        <v>0</v>
      </c>
      <c r="F80" s="119">
        <f t="shared" si="9"/>
        <v>-6.37</v>
      </c>
      <c r="G80" s="32" t="s">
        <v>52</v>
      </c>
      <c r="H80" s="115">
        <f>설계변경내역서!G155</f>
        <v>116583</v>
      </c>
      <c r="I80" s="22">
        <f>설계변경내역서!G156</f>
        <v>0</v>
      </c>
      <c r="J80" s="112">
        <f t="shared" si="8"/>
        <v>-116583</v>
      </c>
      <c r="K80" s="23" t="s">
        <v>391</v>
      </c>
    </row>
    <row r="81" spans="1:11" ht="24.6" customHeight="1" x14ac:dyDescent="0.3">
      <c r="A81" s="10"/>
      <c r="B81" s="10" t="s">
        <v>396</v>
      </c>
      <c r="C81" s="10" t="s">
        <v>369</v>
      </c>
      <c r="D81" s="116">
        <f>설계변경내역서!D157</f>
        <v>1.68</v>
      </c>
      <c r="E81" s="22">
        <f>설계변경내역서!D158</f>
        <v>0</v>
      </c>
      <c r="F81" s="119">
        <f t="shared" si="9"/>
        <v>-1.68</v>
      </c>
      <c r="G81" s="32" t="s">
        <v>181</v>
      </c>
      <c r="H81" s="115">
        <f>설계변경내역서!G157</f>
        <v>0</v>
      </c>
      <c r="I81" s="22">
        <f>설계변경내역서!G158</f>
        <v>0</v>
      </c>
      <c r="J81" s="113">
        <f t="shared" si="8"/>
        <v>0</v>
      </c>
      <c r="K81" s="23" t="s">
        <v>397</v>
      </c>
    </row>
    <row r="82" spans="1:11" ht="24.6" customHeight="1" x14ac:dyDescent="0.3">
      <c r="A82" s="10"/>
      <c r="B82" s="10" t="s">
        <v>56</v>
      </c>
      <c r="C82" s="10" t="s">
        <v>57</v>
      </c>
      <c r="D82" s="116">
        <f>설계변경내역서!D159</f>
        <v>1.68</v>
      </c>
      <c r="E82" s="22">
        <f>설계변경내역서!D160</f>
        <v>0</v>
      </c>
      <c r="F82" s="119">
        <f t="shared" si="9"/>
        <v>-1.68</v>
      </c>
      <c r="G82" s="32" t="s">
        <v>52</v>
      </c>
      <c r="H82" s="115">
        <f>설계변경내역서!G159</f>
        <v>13652</v>
      </c>
      <c r="I82" s="22">
        <f>설계변경내역서!G160</f>
        <v>0</v>
      </c>
      <c r="J82" s="112">
        <f t="shared" si="8"/>
        <v>-13652</v>
      </c>
      <c r="K82" s="23" t="s">
        <v>402</v>
      </c>
    </row>
    <row r="83" spans="1:11" ht="24.6" customHeight="1" x14ac:dyDescent="0.3">
      <c r="A83" s="10"/>
      <c r="B83" s="10"/>
      <c r="C83" s="10"/>
      <c r="D83" s="115">
        <v>0</v>
      </c>
      <c r="E83" s="22">
        <v>0</v>
      </c>
      <c r="F83" s="118">
        <v>0</v>
      </c>
      <c r="G83" s="32"/>
      <c r="H83" s="115">
        <f>설계변경내역서!G161</f>
        <v>0</v>
      </c>
      <c r="I83" s="22">
        <f>설계변경내역서!G162</f>
        <v>0</v>
      </c>
      <c r="J83" s="113">
        <f t="shared" si="8"/>
        <v>0</v>
      </c>
      <c r="K83" s="23"/>
    </row>
    <row r="84" spans="1:11" ht="24.6" customHeight="1" x14ac:dyDescent="0.3">
      <c r="A84" s="114" t="s">
        <v>449</v>
      </c>
      <c r="B84" s="114" t="s">
        <v>448</v>
      </c>
      <c r="C84" s="114"/>
      <c r="D84" s="115">
        <v>0</v>
      </c>
      <c r="E84" s="22">
        <v>0</v>
      </c>
      <c r="F84" s="118">
        <v>0</v>
      </c>
      <c r="G84" s="32"/>
      <c r="H84" s="115">
        <f>설계변경내역서!G163</f>
        <v>1249551</v>
      </c>
      <c r="I84" s="22">
        <f>설계변경내역서!G164</f>
        <v>10851415</v>
      </c>
      <c r="J84" s="113">
        <f t="shared" si="8"/>
        <v>9601864</v>
      </c>
      <c r="K84" s="23"/>
    </row>
    <row r="85" spans="1:11" ht="24.6" customHeight="1" x14ac:dyDescent="0.3">
      <c r="A85" s="114" t="s">
        <v>455</v>
      </c>
      <c r="B85" s="114" t="s">
        <v>456</v>
      </c>
      <c r="C85" s="114" t="s">
        <v>457</v>
      </c>
      <c r="D85" s="115">
        <v>0</v>
      </c>
      <c r="E85" s="22">
        <v>0</v>
      </c>
      <c r="F85" s="118">
        <v>0</v>
      </c>
      <c r="G85" s="32"/>
      <c r="H85" s="115">
        <f>설계변경내역서!G165</f>
        <v>0</v>
      </c>
      <c r="I85" s="22">
        <f>설계변경내역서!G166</f>
        <v>2520850</v>
      </c>
      <c r="J85" s="113">
        <f t="shared" si="8"/>
        <v>2520850</v>
      </c>
      <c r="K85" s="23"/>
    </row>
    <row r="86" spans="1:11" ht="24.6" customHeight="1" x14ac:dyDescent="0.3">
      <c r="A86" s="10"/>
      <c r="B86" s="10" t="s">
        <v>12</v>
      </c>
      <c r="C86" s="10" t="s">
        <v>21</v>
      </c>
      <c r="D86" s="115">
        <f>설계변경내역서!D167</f>
        <v>0</v>
      </c>
      <c r="E86" s="117">
        <f>설계변경내역서!D168</f>
        <v>40.5</v>
      </c>
      <c r="F86" s="118">
        <f>E86-D86</f>
        <v>40.5</v>
      </c>
      <c r="G86" s="32" t="s">
        <v>14</v>
      </c>
      <c r="H86" s="115">
        <f>설계변경내역서!G167</f>
        <v>0</v>
      </c>
      <c r="I86" s="22">
        <f>설계변경내역서!G168</f>
        <v>2431903</v>
      </c>
      <c r="J86" s="113">
        <f t="shared" si="8"/>
        <v>2431903</v>
      </c>
      <c r="K86" s="23" t="s">
        <v>435</v>
      </c>
    </row>
    <row r="87" spans="1:11" ht="24.6" customHeight="1" x14ac:dyDescent="0.3">
      <c r="A87" s="10"/>
      <c r="B87" s="10" t="s">
        <v>50</v>
      </c>
      <c r="C87" s="10" t="s">
        <v>51</v>
      </c>
      <c r="D87" s="115">
        <f>설계변경내역서!D169</f>
        <v>0</v>
      </c>
      <c r="E87" s="117">
        <f>설계변경내역서!D170</f>
        <v>4.8600000000000003</v>
      </c>
      <c r="F87" s="118">
        <f>E87-D87</f>
        <v>4.8600000000000003</v>
      </c>
      <c r="G87" s="32" t="s">
        <v>52</v>
      </c>
      <c r="H87" s="115">
        <f>설계변경내역서!G169</f>
        <v>0</v>
      </c>
      <c r="I87" s="22">
        <f>설계변경내역서!G170</f>
        <v>88947</v>
      </c>
      <c r="J87" s="113">
        <f t="shared" si="8"/>
        <v>88947</v>
      </c>
      <c r="K87" s="23" t="s">
        <v>391</v>
      </c>
    </row>
    <row r="88" spans="1:11" ht="24.6" customHeight="1" x14ac:dyDescent="0.3">
      <c r="A88" s="114" t="s">
        <v>458</v>
      </c>
      <c r="B88" s="114" t="s">
        <v>459</v>
      </c>
      <c r="C88" s="114" t="s">
        <v>460</v>
      </c>
      <c r="D88" s="115">
        <v>0</v>
      </c>
      <c r="E88" s="22">
        <v>0</v>
      </c>
      <c r="F88" s="118">
        <v>0</v>
      </c>
      <c r="G88" s="32"/>
      <c r="H88" s="115">
        <f>설계변경내역서!G171</f>
        <v>1249551</v>
      </c>
      <c r="I88" s="22">
        <f>설계변경내역서!G172</f>
        <v>1682297</v>
      </c>
      <c r="J88" s="113">
        <f t="shared" si="8"/>
        <v>432746</v>
      </c>
      <c r="K88" s="23"/>
    </row>
    <row r="89" spans="1:11" ht="24.6" customHeight="1" x14ac:dyDescent="0.3">
      <c r="A89" s="10"/>
      <c r="B89" s="10" t="s">
        <v>347</v>
      </c>
      <c r="C89" s="10" t="s">
        <v>348</v>
      </c>
      <c r="D89" s="116">
        <f>설계변경내역서!D173</f>
        <v>6.6</v>
      </c>
      <c r="E89" s="22">
        <f>설계변경내역서!D174</f>
        <v>0</v>
      </c>
      <c r="F89" s="119">
        <f t="shared" ref="F89:F96" si="10">E89-D89</f>
        <v>-6.6</v>
      </c>
      <c r="G89" s="32" t="s">
        <v>52</v>
      </c>
      <c r="H89" s="115">
        <f>설계변경내역서!G173</f>
        <v>46199</v>
      </c>
      <c r="I89" s="22">
        <f>설계변경내역서!G174</f>
        <v>0</v>
      </c>
      <c r="J89" s="112">
        <f t="shared" si="8"/>
        <v>-46199</v>
      </c>
      <c r="K89" s="23" t="s">
        <v>349</v>
      </c>
    </row>
    <row r="90" spans="1:11" ht="24.6" customHeight="1" x14ac:dyDescent="0.3">
      <c r="A90" s="10"/>
      <c r="B90" s="10" t="s">
        <v>361</v>
      </c>
      <c r="C90" s="10" t="s">
        <v>362</v>
      </c>
      <c r="D90" s="116">
        <f>설계변경내역서!D175</f>
        <v>0.3</v>
      </c>
      <c r="E90" s="22">
        <f>설계변경내역서!D176</f>
        <v>0</v>
      </c>
      <c r="F90" s="119">
        <f t="shared" si="10"/>
        <v>-0.3</v>
      </c>
      <c r="G90" s="32" t="s">
        <v>52</v>
      </c>
      <c r="H90" s="115">
        <f>설계변경내역서!G175</f>
        <v>29586</v>
      </c>
      <c r="I90" s="22">
        <f>설계변경내역서!G176</f>
        <v>0</v>
      </c>
      <c r="J90" s="112">
        <f t="shared" si="8"/>
        <v>-29586</v>
      </c>
      <c r="K90" s="23" t="s">
        <v>363</v>
      </c>
    </row>
    <row r="91" spans="1:11" ht="24.6" customHeight="1" x14ac:dyDescent="0.3">
      <c r="A91" s="10"/>
      <c r="B91" s="10" t="s">
        <v>368</v>
      </c>
      <c r="C91" s="10" t="s">
        <v>369</v>
      </c>
      <c r="D91" s="116">
        <f>설계변경내역서!D177</f>
        <v>16.5</v>
      </c>
      <c r="E91" s="22">
        <f>설계변경내역서!D178</f>
        <v>0</v>
      </c>
      <c r="F91" s="119">
        <f t="shared" si="10"/>
        <v>-16.5</v>
      </c>
      <c r="G91" s="32" t="s">
        <v>14</v>
      </c>
      <c r="H91" s="115">
        <f>설계변경내역서!G177</f>
        <v>0</v>
      </c>
      <c r="I91" s="22">
        <f>설계변경내역서!G178</f>
        <v>0</v>
      </c>
      <c r="J91" s="113">
        <f t="shared" si="8"/>
        <v>0</v>
      </c>
      <c r="K91" s="23" t="s">
        <v>410</v>
      </c>
    </row>
    <row r="92" spans="1:11" ht="24.6" customHeight="1" x14ac:dyDescent="0.3">
      <c r="A92" s="10"/>
      <c r="B92" s="10" t="s">
        <v>60</v>
      </c>
      <c r="C92" s="10" t="s">
        <v>61</v>
      </c>
      <c r="D92" s="116">
        <f>설계변경내역서!D179</f>
        <v>16.5</v>
      </c>
      <c r="E92" s="22">
        <f>설계변경내역서!D180</f>
        <v>0</v>
      </c>
      <c r="F92" s="119">
        <f t="shared" si="10"/>
        <v>-16.5</v>
      </c>
      <c r="G92" s="32" t="s">
        <v>14</v>
      </c>
      <c r="H92" s="115">
        <f>설계변경내역서!G179</f>
        <v>295382</v>
      </c>
      <c r="I92" s="22">
        <f>설계변경내역서!G180</f>
        <v>0</v>
      </c>
      <c r="J92" s="112">
        <f t="shared" si="8"/>
        <v>-295382</v>
      </c>
      <c r="K92" s="23" t="s">
        <v>375</v>
      </c>
    </row>
    <row r="93" spans="1:11" ht="24.6" customHeight="1" x14ac:dyDescent="0.3">
      <c r="A93" s="10"/>
      <c r="B93" s="10" t="s">
        <v>12</v>
      </c>
      <c r="C93" s="10" t="s">
        <v>421</v>
      </c>
      <c r="D93" s="116">
        <f>설계변경내역서!D181</f>
        <v>16.5</v>
      </c>
      <c r="E93" s="22">
        <f>설계변경내역서!D182</f>
        <v>0</v>
      </c>
      <c r="F93" s="119">
        <f t="shared" si="10"/>
        <v>-16.5</v>
      </c>
      <c r="G93" s="32" t="s">
        <v>14</v>
      </c>
      <c r="H93" s="115">
        <f>설계변경내역서!G181</f>
        <v>787791</v>
      </c>
      <c r="I93" s="22">
        <f>설계변경내역서!G182</f>
        <v>0</v>
      </c>
      <c r="J93" s="112">
        <f t="shared" si="8"/>
        <v>-787791</v>
      </c>
      <c r="K93" s="23" t="s">
        <v>422</v>
      </c>
    </row>
    <row r="94" spans="1:11" ht="24.6" customHeight="1" x14ac:dyDescent="0.3">
      <c r="A94" s="10"/>
      <c r="B94" s="10" t="s">
        <v>12</v>
      </c>
      <c r="C94" s="10" t="s">
        <v>13</v>
      </c>
      <c r="D94" s="115">
        <f>설계변경내역서!D183</f>
        <v>0</v>
      </c>
      <c r="E94" s="22">
        <f>설계변경내역서!D184</f>
        <v>29</v>
      </c>
      <c r="F94" s="118">
        <f t="shared" si="10"/>
        <v>29</v>
      </c>
      <c r="G94" s="32" t="s">
        <v>14</v>
      </c>
      <c r="H94" s="115">
        <f>설계변경내역서!G183</f>
        <v>0</v>
      </c>
      <c r="I94" s="22">
        <f>설계변경내역서!G184</f>
        <v>1602685</v>
      </c>
      <c r="J94" s="113">
        <f t="shared" si="8"/>
        <v>1602685</v>
      </c>
      <c r="K94" s="23" t="s">
        <v>465</v>
      </c>
    </row>
    <row r="95" spans="1:11" ht="24.6" customHeight="1" x14ac:dyDescent="0.3">
      <c r="A95" s="10"/>
      <c r="B95" s="10" t="s">
        <v>50</v>
      </c>
      <c r="C95" s="10" t="s">
        <v>51</v>
      </c>
      <c r="D95" s="116">
        <f>설계변경내역서!D185</f>
        <v>4.95</v>
      </c>
      <c r="E95" s="117">
        <f>설계변경내역서!D186</f>
        <v>4.3499999999999996</v>
      </c>
      <c r="F95" s="119">
        <f t="shared" si="10"/>
        <v>-0.60000000000000053</v>
      </c>
      <c r="G95" s="32" t="s">
        <v>52</v>
      </c>
      <c r="H95" s="115">
        <f>설계변경내역서!G185</f>
        <v>90593</v>
      </c>
      <c r="I95" s="22">
        <f>설계변경내역서!G186</f>
        <v>79612</v>
      </c>
      <c r="J95" s="112">
        <f t="shared" si="8"/>
        <v>-10981</v>
      </c>
      <c r="K95" s="23" t="s">
        <v>391</v>
      </c>
    </row>
    <row r="96" spans="1:11" ht="24.6" customHeight="1" x14ac:dyDescent="0.3">
      <c r="A96" s="10"/>
      <c r="B96" s="10" t="s">
        <v>60</v>
      </c>
      <c r="C96" s="10" t="s">
        <v>64</v>
      </c>
      <c r="D96" s="115">
        <f>설계변경내역서!D187</f>
        <v>0</v>
      </c>
      <c r="E96" s="22">
        <f>설계변경내역서!D188</f>
        <v>0</v>
      </c>
      <c r="F96" s="118">
        <f t="shared" si="10"/>
        <v>0</v>
      </c>
      <c r="G96" s="32" t="s">
        <v>14</v>
      </c>
      <c r="H96" s="115">
        <f>설계변경내역서!G187</f>
        <v>0</v>
      </c>
      <c r="I96" s="22">
        <f>설계변경내역서!G188</f>
        <v>0</v>
      </c>
      <c r="J96" s="113">
        <f t="shared" si="8"/>
        <v>0</v>
      </c>
      <c r="K96" s="23" t="s">
        <v>440</v>
      </c>
    </row>
    <row r="97" spans="1:11" ht="24.6" customHeight="1" x14ac:dyDescent="0.3">
      <c r="A97" s="114" t="s">
        <v>466</v>
      </c>
      <c r="B97" s="114" t="s">
        <v>467</v>
      </c>
      <c r="C97" s="114"/>
      <c r="D97" s="115">
        <v>0</v>
      </c>
      <c r="E97" s="22">
        <v>0</v>
      </c>
      <c r="F97" s="118">
        <v>0</v>
      </c>
      <c r="G97" s="32"/>
      <c r="H97" s="115">
        <f>설계변경내역서!G189</f>
        <v>0</v>
      </c>
      <c r="I97" s="22">
        <f>설계변경내역서!G190</f>
        <v>6648268</v>
      </c>
      <c r="J97" s="113">
        <f t="shared" si="8"/>
        <v>6648268</v>
      </c>
      <c r="K97" s="23"/>
    </row>
    <row r="98" spans="1:11" ht="24.6" customHeight="1" x14ac:dyDescent="0.3">
      <c r="A98" s="10"/>
      <c r="B98" s="10" t="s">
        <v>71</v>
      </c>
      <c r="C98" s="10"/>
      <c r="D98" s="115">
        <f>설계변경내역서!D191</f>
        <v>0</v>
      </c>
      <c r="E98" s="22">
        <f>설계변경내역서!D192</f>
        <v>350</v>
      </c>
      <c r="F98" s="118">
        <f>E98-D98</f>
        <v>350</v>
      </c>
      <c r="G98" s="32" t="s">
        <v>14</v>
      </c>
      <c r="H98" s="115">
        <f>설계변경내역서!G191</f>
        <v>0</v>
      </c>
      <c r="I98" s="22">
        <f>설계변경내역서!G192</f>
        <v>47950</v>
      </c>
      <c r="J98" s="113">
        <f t="shared" si="8"/>
        <v>47950</v>
      </c>
      <c r="K98" s="23" t="s">
        <v>472</v>
      </c>
    </row>
    <row r="99" spans="1:11" ht="24.6" customHeight="1" x14ac:dyDescent="0.3">
      <c r="A99" s="10"/>
      <c r="B99" s="10" t="s">
        <v>27</v>
      </c>
      <c r="C99" s="10" t="s">
        <v>28</v>
      </c>
      <c r="D99" s="115">
        <f>설계변경내역서!D193</f>
        <v>0</v>
      </c>
      <c r="E99" s="22">
        <f>설계변경내역서!D194</f>
        <v>46</v>
      </c>
      <c r="F99" s="118">
        <f>E99-D99</f>
        <v>46</v>
      </c>
      <c r="G99" s="32" t="s">
        <v>29</v>
      </c>
      <c r="H99" s="115">
        <f>설계변경내역서!G193</f>
        <v>0</v>
      </c>
      <c r="I99" s="22">
        <f>설계변경내역서!G194</f>
        <v>577576</v>
      </c>
      <c r="J99" s="113">
        <f t="shared" si="8"/>
        <v>577576</v>
      </c>
      <c r="K99" s="23" t="s">
        <v>477</v>
      </c>
    </row>
    <row r="100" spans="1:11" ht="24.6" customHeight="1" x14ac:dyDescent="0.3">
      <c r="A100" s="10"/>
      <c r="B100" s="10" t="s">
        <v>35</v>
      </c>
      <c r="C100" s="10" t="s">
        <v>36</v>
      </c>
      <c r="D100" s="115">
        <f>설계변경내역서!D195</f>
        <v>0</v>
      </c>
      <c r="E100" s="22">
        <f>설계변경내역서!D196</f>
        <v>150</v>
      </c>
      <c r="F100" s="118">
        <f>E100-D100</f>
        <v>150</v>
      </c>
      <c r="G100" s="32" t="s">
        <v>37</v>
      </c>
      <c r="H100" s="115">
        <f>설계변경내역서!G195</f>
        <v>0</v>
      </c>
      <c r="I100" s="22">
        <f>설계변경내역서!G196</f>
        <v>5554350</v>
      </c>
      <c r="J100" s="113">
        <f t="shared" si="8"/>
        <v>5554350</v>
      </c>
      <c r="K100" s="23" t="s">
        <v>482</v>
      </c>
    </row>
    <row r="101" spans="1:11" ht="24.6" customHeight="1" x14ac:dyDescent="0.3">
      <c r="A101" s="10"/>
      <c r="B101" s="10" t="s">
        <v>78</v>
      </c>
      <c r="C101" s="10"/>
      <c r="D101" s="115">
        <f>설계변경내역서!D197</f>
        <v>0</v>
      </c>
      <c r="E101" s="22">
        <f>설계변경내역서!D198</f>
        <v>270</v>
      </c>
      <c r="F101" s="118">
        <f>E101-D101</f>
        <v>270</v>
      </c>
      <c r="G101" s="32" t="s">
        <v>29</v>
      </c>
      <c r="H101" s="115">
        <f>설계변경내역서!G197</f>
        <v>0</v>
      </c>
      <c r="I101" s="22">
        <f>설계변경내역서!G198</f>
        <v>300780</v>
      </c>
      <c r="J101" s="113">
        <f t="shared" ref="J101:J132" si="11">I101-H101</f>
        <v>300780</v>
      </c>
      <c r="K101" s="23" t="s">
        <v>487</v>
      </c>
    </row>
    <row r="102" spans="1:11" ht="24.6" customHeight="1" x14ac:dyDescent="0.3">
      <c r="A102" s="10"/>
      <c r="B102" s="10" t="s">
        <v>74</v>
      </c>
      <c r="C102" s="10" t="s">
        <v>75</v>
      </c>
      <c r="D102" s="115">
        <f>설계변경내역서!D199</f>
        <v>0</v>
      </c>
      <c r="E102" s="117">
        <f>설계변경내역서!D200</f>
        <v>30.8</v>
      </c>
      <c r="F102" s="118">
        <f>E102-D102</f>
        <v>30.8</v>
      </c>
      <c r="G102" s="32" t="s">
        <v>52</v>
      </c>
      <c r="H102" s="115">
        <f>설계변경내역서!G199</f>
        <v>0</v>
      </c>
      <c r="I102" s="22">
        <f>설계변경내역서!G200</f>
        <v>167612</v>
      </c>
      <c r="J102" s="113">
        <f t="shared" si="11"/>
        <v>167612</v>
      </c>
      <c r="K102" s="23" t="s">
        <v>492</v>
      </c>
    </row>
    <row r="103" spans="1:11" ht="24.6" customHeight="1" x14ac:dyDescent="0.3">
      <c r="A103" s="10"/>
      <c r="B103" s="10"/>
      <c r="C103" s="10"/>
      <c r="D103" s="115">
        <v>0</v>
      </c>
      <c r="E103" s="22">
        <v>0</v>
      </c>
      <c r="F103" s="118">
        <v>0</v>
      </c>
      <c r="G103" s="32"/>
      <c r="H103" s="115">
        <f>설계변경내역서!G201</f>
        <v>0</v>
      </c>
      <c r="I103" s="22">
        <f>설계변경내역서!G202</f>
        <v>0</v>
      </c>
      <c r="J103" s="113">
        <f t="shared" si="11"/>
        <v>0</v>
      </c>
      <c r="K103" s="23"/>
    </row>
    <row r="104" spans="1:11" ht="24.6" customHeight="1" x14ac:dyDescent="0.3">
      <c r="A104" s="114" t="s">
        <v>466</v>
      </c>
      <c r="B104" s="114" t="s">
        <v>454</v>
      </c>
      <c r="C104" s="114"/>
      <c r="D104" s="115">
        <v>0</v>
      </c>
      <c r="E104" s="22">
        <v>0</v>
      </c>
      <c r="F104" s="118">
        <v>0</v>
      </c>
      <c r="G104" s="32"/>
      <c r="H104" s="115">
        <f>설계변경내역서!G203</f>
        <v>2426970</v>
      </c>
      <c r="I104" s="22">
        <f>설계변경내역서!G204</f>
        <v>1584800</v>
      </c>
      <c r="J104" s="112">
        <f t="shared" si="11"/>
        <v>-842170</v>
      </c>
      <c r="K104" s="23"/>
    </row>
    <row r="105" spans="1:11" ht="24.6" customHeight="1" x14ac:dyDescent="0.3">
      <c r="A105" s="10"/>
      <c r="B105" s="10" t="s">
        <v>494</v>
      </c>
      <c r="C105" s="10" t="s">
        <v>495</v>
      </c>
      <c r="D105" s="115">
        <f>설계변경내역서!D205</f>
        <v>350</v>
      </c>
      <c r="E105" s="22">
        <f>설계변경내역서!D206</f>
        <v>0</v>
      </c>
      <c r="F105" s="119">
        <f>E105-D105</f>
        <v>-350</v>
      </c>
      <c r="G105" s="32" t="s">
        <v>29</v>
      </c>
      <c r="H105" s="115">
        <f>설계변경내역서!G205</f>
        <v>792750</v>
      </c>
      <c r="I105" s="22">
        <f>설계변경내역서!G206</f>
        <v>0</v>
      </c>
      <c r="J105" s="112">
        <f t="shared" si="11"/>
        <v>-792750</v>
      </c>
      <c r="K105" s="23" t="s">
        <v>496</v>
      </c>
    </row>
    <row r="106" spans="1:11" ht="24.6" customHeight="1" x14ac:dyDescent="0.3">
      <c r="A106" s="10"/>
      <c r="B106" s="10" t="s">
        <v>501</v>
      </c>
      <c r="C106" s="10" t="s">
        <v>502</v>
      </c>
      <c r="D106" s="115">
        <f>설계변경내역서!D207</f>
        <v>30</v>
      </c>
      <c r="E106" s="22">
        <f>설계변경내역서!D208</f>
        <v>50</v>
      </c>
      <c r="F106" s="118">
        <f>E106-D106</f>
        <v>20</v>
      </c>
      <c r="G106" s="32" t="s">
        <v>14</v>
      </c>
      <c r="H106" s="115">
        <f>설계변경내역서!G207</f>
        <v>169920</v>
      </c>
      <c r="I106" s="22">
        <f>설계변경내역서!G208</f>
        <v>283200</v>
      </c>
      <c r="J106" s="113">
        <f t="shared" si="11"/>
        <v>113280</v>
      </c>
      <c r="K106" s="23" t="s">
        <v>503</v>
      </c>
    </row>
    <row r="107" spans="1:11" ht="24.6" customHeight="1" x14ac:dyDescent="0.3">
      <c r="A107" s="10"/>
      <c r="B107" s="10" t="s">
        <v>508</v>
      </c>
      <c r="C107" s="10" t="s">
        <v>509</v>
      </c>
      <c r="D107" s="115">
        <f>설계변경내역서!D209</f>
        <v>900</v>
      </c>
      <c r="E107" s="22">
        <f>설계변경내역서!D210</f>
        <v>800</v>
      </c>
      <c r="F107" s="119">
        <f>E107-D107</f>
        <v>-100</v>
      </c>
      <c r="G107" s="32" t="s">
        <v>29</v>
      </c>
      <c r="H107" s="115">
        <f>설계변경내역서!G209</f>
        <v>1464300</v>
      </c>
      <c r="I107" s="22">
        <f>설계변경내역서!G210</f>
        <v>1301600</v>
      </c>
      <c r="J107" s="112">
        <f t="shared" si="11"/>
        <v>-162700</v>
      </c>
      <c r="K107" s="23" t="s">
        <v>510</v>
      </c>
    </row>
    <row r="108" spans="1:11" ht="24.6" customHeight="1" x14ac:dyDescent="0.3">
      <c r="A108" s="10"/>
      <c r="B108" s="10"/>
      <c r="C108" s="10"/>
      <c r="D108" s="115">
        <v>0</v>
      </c>
      <c r="E108" s="22">
        <v>0</v>
      </c>
      <c r="F108" s="118">
        <v>0</v>
      </c>
      <c r="G108" s="32"/>
      <c r="H108" s="115">
        <f>설계변경내역서!G211</f>
        <v>0</v>
      </c>
      <c r="I108" s="22">
        <f>설계변경내역서!G212</f>
        <v>0</v>
      </c>
      <c r="J108" s="113">
        <f t="shared" si="11"/>
        <v>0</v>
      </c>
      <c r="K108" s="23"/>
    </row>
    <row r="109" spans="1:11" ht="24.6" customHeight="1" x14ac:dyDescent="0.3">
      <c r="A109" s="114" t="s">
        <v>511</v>
      </c>
      <c r="B109" s="114" t="s">
        <v>512</v>
      </c>
      <c r="C109" s="114"/>
      <c r="D109" s="115">
        <v>0</v>
      </c>
      <c r="E109" s="22">
        <v>0</v>
      </c>
      <c r="F109" s="118">
        <v>0</v>
      </c>
      <c r="G109" s="32"/>
      <c r="H109" s="115">
        <f>설계변경내역서!G213</f>
        <v>13508318</v>
      </c>
      <c r="I109" s="22">
        <f>설계변경내역서!G214</f>
        <v>9644676</v>
      </c>
      <c r="J109" s="112">
        <f t="shared" si="11"/>
        <v>-3863642</v>
      </c>
      <c r="K109" s="23"/>
    </row>
    <row r="110" spans="1:11" ht="24.6" customHeight="1" x14ac:dyDescent="0.3">
      <c r="A110" s="10"/>
      <c r="B110" s="10" t="s">
        <v>517</v>
      </c>
      <c r="C110" s="10" t="s">
        <v>518</v>
      </c>
      <c r="D110" s="115">
        <f>설계변경내역서!D215</f>
        <v>1</v>
      </c>
      <c r="E110" s="22">
        <f>설계변경내역서!D216</f>
        <v>1</v>
      </c>
      <c r="F110" s="118">
        <f t="shared" ref="F110:F122" si="12">E110-D110</f>
        <v>0</v>
      </c>
      <c r="G110" s="32" t="s">
        <v>519</v>
      </c>
      <c r="H110" s="115">
        <f>설계변경내역서!G215</f>
        <v>510083</v>
      </c>
      <c r="I110" s="22">
        <f>설계변경내역서!G216</f>
        <v>510083</v>
      </c>
      <c r="J110" s="113">
        <f t="shared" si="11"/>
        <v>0</v>
      </c>
      <c r="K110" s="23" t="s">
        <v>520</v>
      </c>
    </row>
    <row r="111" spans="1:11" ht="24.6" customHeight="1" x14ac:dyDescent="0.3">
      <c r="A111" s="10"/>
      <c r="B111" s="10" t="s">
        <v>525</v>
      </c>
      <c r="C111" s="10" t="s">
        <v>518</v>
      </c>
      <c r="D111" s="115">
        <f>설계변경내역서!D217</f>
        <v>1</v>
      </c>
      <c r="E111" s="22">
        <f>설계변경내역서!D218</f>
        <v>1</v>
      </c>
      <c r="F111" s="118">
        <f t="shared" si="12"/>
        <v>0</v>
      </c>
      <c r="G111" s="32" t="s">
        <v>519</v>
      </c>
      <c r="H111" s="115">
        <f>설계변경내역서!G217</f>
        <v>71263</v>
      </c>
      <c r="I111" s="22">
        <f>설계변경내역서!G218</f>
        <v>71263</v>
      </c>
      <c r="J111" s="113">
        <f t="shared" si="11"/>
        <v>0</v>
      </c>
      <c r="K111" s="23" t="s">
        <v>526</v>
      </c>
    </row>
    <row r="112" spans="1:11" ht="24.6" customHeight="1" x14ac:dyDescent="0.3">
      <c r="A112" s="10"/>
      <c r="B112" s="10" t="s">
        <v>531</v>
      </c>
      <c r="C112" s="10" t="s">
        <v>68</v>
      </c>
      <c r="D112" s="115">
        <f>설계변경내역서!D219</f>
        <v>79</v>
      </c>
      <c r="E112" s="22">
        <f>설계변경내역서!D220</f>
        <v>13</v>
      </c>
      <c r="F112" s="119">
        <f t="shared" si="12"/>
        <v>-66</v>
      </c>
      <c r="G112" s="32" t="s">
        <v>52</v>
      </c>
      <c r="H112" s="115">
        <f>설계변경내역서!G219</f>
        <v>1227107</v>
      </c>
      <c r="I112" s="22">
        <f>설계변경내역서!G220</f>
        <v>201929</v>
      </c>
      <c r="J112" s="112">
        <f t="shared" si="11"/>
        <v>-1025178</v>
      </c>
      <c r="K112" s="23" t="s">
        <v>532</v>
      </c>
    </row>
    <row r="113" spans="1:11" ht="24.6" customHeight="1" x14ac:dyDescent="0.3">
      <c r="A113" s="10"/>
      <c r="B113" s="10" t="s">
        <v>537</v>
      </c>
      <c r="C113" s="10" t="s">
        <v>68</v>
      </c>
      <c r="D113" s="115">
        <f>설계변경내역서!D221</f>
        <v>91</v>
      </c>
      <c r="E113" s="22">
        <f>설계변경내역서!D222</f>
        <v>14</v>
      </c>
      <c r="F113" s="119">
        <f t="shared" si="12"/>
        <v>-77</v>
      </c>
      <c r="G113" s="32" t="s">
        <v>52</v>
      </c>
      <c r="H113" s="115">
        <f>설계변경내역서!G221</f>
        <v>1607788</v>
      </c>
      <c r="I113" s="22">
        <f>설계변경내역서!G222</f>
        <v>247352</v>
      </c>
      <c r="J113" s="112">
        <f t="shared" si="11"/>
        <v>-1360436</v>
      </c>
      <c r="K113" s="23" t="s">
        <v>538</v>
      </c>
    </row>
    <row r="114" spans="1:11" ht="24.6" customHeight="1" x14ac:dyDescent="0.3">
      <c r="A114" s="10"/>
      <c r="B114" s="10" t="s">
        <v>543</v>
      </c>
      <c r="C114" s="10" t="s">
        <v>68</v>
      </c>
      <c r="D114" s="115">
        <f>설계변경내역서!D223</f>
        <v>49</v>
      </c>
      <c r="E114" s="22">
        <f>설계변경내역서!D224</f>
        <v>53</v>
      </c>
      <c r="F114" s="118">
        <f t="shared" si="12"/>
        <v>4</v>
      </c>
      <c r="G114" s="32" t="s">
        <v>52</v>
      </c>
      <c r="H114" s="115">
        <f>설계변경내역서!G223</f>
        <v>790517</v>
      </c>
      <c r="I114" s="22">
        <f>설계변경내역서!G224</f>
        <v>855049</v>
      </c>
      <c r="J114" s="113">
        <f t="shared" si="11"/>
        <v>64532</v>
      </c>
      <c r="K114" s="23" t="s">
        <v>544</v>
      </c>
    </row>
    <row r="115" spans="1:11" ht="24.6" customHeight="1" x14ac:dyDescent="0.3">
      <c r="A115" s="10"/>
      <c r="B115" s="10" t="s">
        <v>67</v>
      </c>
      <c r="C115" s="10" t="s">
        <v>68</v>
      </c>
      <c r="D115" s="115">
        <f>설계변경내역서!D225</f>
        <v>0</v>
      </c>
      <c r="E115" s="22">
        <f>설계변경내역서!D226</f>
        <v>32</v>
      </c>
      <c r="F115" s="118">
        <f t="shared" si="12"/>
        <v>32</v>
      </c>
      <c r="G115" s="32" t="s">
        <v>52</v>
      </c>
      <c r="H115" s="115">
        <f>설계변경내역서!G225</f>
        <v>0</v>
      </c>
      <c r="I115" s="22">
        <f>설계변경내역서!G226</f>
        <v>530176</v>
      </c>
      <c r="J115" s="113">
        <f t="shared" si="11"/>
        <v>530176</v>
      </c>
      <c r="K115" s="23" t="s">
        <v>549</v>
      </c>
    </row>
    <row r="116" spans="1:11" ht="24.6" customHeight="1" x14ac:dyDescent="0.3">
      <c r="A116" s="10"/>
      <c r="B116" s="10" t="s">
        <v>554</v>
      </c>
      <c r="C116" s="10" t="s">
        <v>518</v>
      </c>
      <c r="D116" s="115">
        <f>설계변경내역서!D227</f>
        <v>1190</v>
      </c>
      <c r="E116" s="22">
        <f>설계변경내역서!D228</f>
        <v>181</v>
      </c>
      <c r="F116" s="119">
        <f t="shared" si="12"/>
        <v>-1009</v>
      </c>
      <c r="G116" s="32" t="s">
        <v>519</v>
      </c>
      <c r="H116" s="115">
        <f>설계변경내역서!G227</f>
        <v>2880990</v>
      </c>
      <c r="I116" s="22">
        <f>설계변경내역서!G228</f>
        <v>438201</v>
      </c>
      <c r="J116" s="112">
        <f t="shared" si="11"/>
        <v>-2442789</v>
      </c>
      <c r="K116" s="23" t="s">
        <v>555</v>
      </c>
    </row>
    <row r="117" spans="1:11" ht="24.6" customHeight="1" x14ac:dyDescent="0.3">
      <c r="A117" s="10"/>
      <c r="B117" s="10" t="s">
        <v>560</v>
      </c>
      <c r="C117" s="10" t="s">
        <v>68</v>
      </c>
      <c r="D117" s="115">
        <f>설계변경내역서!D229</f>
        <v>606</v>
      </c>
      <c r="E117" s="22">
        <f>설계변경내역서!D230</f>
        <v>460</v>
      </c>
      <c r="F117" s="119">
        <f t="shared" si="12"/>
        <v>-146</v>
      </c>
      <c r="G117" s="32" t="s">
        <v>92</v>
      </c>
      <c r="H117" s="115">
        <f>설계변경내역서!G229</f>
        <v>6420570</v>
      </c>
      <c r="I117" s="22">
        <f>설계변경내역서!G230</f>
        <v>4873700</v>
      </c>
      <c r="J117" s="112">
        <f t="shared" si="11"/>
        <v>-1546870</v>
      </c>
      <c r="K117" s="23" t="s">
        <v>561</v>
      </c>
    </row>
    <row r="118" spans="1:11" ht="24.6" customHeight="1" x14ac:dyDescent="0.3">
      <c r="A118" s="10"/>
      <c r="B118" s="10" t="s">
        <v>81</v>
      </c>
      <c r="C118" s="10" t="s">
        <v>82</v>
      </c>
      <c r="D118" s="115">
        <f>설계변경내역서!D231</f>
        <v>0</v>
      </c>
      <c r="E118" s="22">
        <f>설계변경내역서!D232</f>
        <v>13</v>
      </c>
      <c r="F118" s="118">
        <f t="shared" si="12"/>
        <v>13</v>
      </c>
      <c r="G118" s="32" t="s">
        <v>52</v>
      </c>
      <c r="H118" s="115">
        <f>설계변경내역서!G231</f>
        <v>0</v>
      </c>
      <c r="I118" s="22">
        <f>설계변경내역서!G232</f>
        <v>42484</v>
      </c>
      <c r="J118" s="113">
        <f t="shared" si="11"/>
        <v>42484</v>
      </c>
      <c r="K118" s="23" t="s">
        <v>566</v>
      </c>
    </row>
    <row r="119" spans="1:11" ht="24.6" customHeight="1" x14ac:dyDescent="0.3">
      <c r="A119" s="10"/>
      <c r="B119" s="10" t="s">
        <v>85</v>
      </c>
      <c r="C119" s="10" t="s">
        <v>82</v>
      </c>
      <c r="D119" s="115">
        <f>설계변경내역서!D233</f>
        <v>0</v>
      </c>
      <c r="E119" s="22">
        <f>설계변경내역서!D234</f>
        <v>14</v>
      </c>
      <c r="F119" s="118">
        <f t="shared" si="12"/>
        <v>14</v>
      </c>
      <c r="G119" s="32" t="s">
        <v>52</v>
      </c>
      <c r="H119" s="115">
        <f>설계변경내역서!G233</f>
        <v>0</v>
      </c>
      <c r="I119" s="22">
        <f>설계변경내역서!G234</f>
        <v>49154</v>
      </c>
      <c r="J119" s="113">
        <f t="shared" si="11"/>
        <v>49154</v>
      </c>
      <c r="K119" s="23" t="s">
        <v>571</v>
      </c>
    </row>
    <row r="120" spans="1:11" ht="24.6" customHeight="1" x14ac:dyDescent="0.3">
      <c r="A120" s="10"/>
      <c r="B120" s="10" t="s">
        <v>88</v>
      </c>
      <c r="C120" s="10" t="s">
        <v>82</v>
      </c>
      <c r="D120" s="115">
        <f>설계변경내역서!D235</f>
        <v>0</v>
      </c>
      <c r="E120" s="22">
        <f>설계변경내역서!D236</f>
        <v>53</v>
      </c>
      <c r="F120" s="118">
        <f t="shared" si="12"/>
        <v>53</v>
      </c>
      <c r="G120" s="32" t="s">
        <v>52</v>
      </c>
      <c r="H120" s="115">
        <f>설계변경내역서!G235</f>
        <v>0</v>
      </c>
      <c r="I120" s="22">
        <f>설계변경내역서!G236</f>
        <v>232193</v>
      </c>
      <c r="J120" s="113">
        <f t="shared" si="11"/>
        <v>232193</v>
      </c>
      <c r="K120" s="23" t="s">
        <v>576</v>
      </c>
    </row>
    <row r="121" spans="1:11" ht="24.6" customHeight="1" x14ac:dyDescent="0.3">
      <c r="A121" s="10"/>
      <c r="B121" s="10" t="s">
        <v>99</v>
      </c>
      <c r="C121" s="10" t="s">
        <v>82</v>
      </c>
      <c r="D121" s="115">
        <f>설계변경내역서!D237</f>
        <v>0</v>
      </c>
      <c r="E121" s="22">
        <f>설계변경내역서!D238</f>
        <v>32</v>
      </c>
      <c r="F121" s="118">
        <f t="shared" si="12"/>
        <v>32</v>
      </c>
      <c r="G121" s="32" t="s">
        <v>52</v>
      </c>
      <c r="H121" s="115">
        <f>설계변경내역서!G237</f>
        <v>0</v>
      </c>
      <c r="I121" s="22">
        <f>설계변경내역서!G238</f>
        <v>112352</v>
      </c>
      <c r="J121" s="113">
        <f t="shared" si="11"/>
        <v>112352</v>
      </c>
      <c r="K121" s="23" t="s">
        <v>581</v>
      </c>
    </row>
    <row r="122" spans="1:11" ht="24.6" customHeight="1" x14ac:dyDescent="0.3">
      <c r="A122" s="10"/>
      <c r="B122" s="10" t="s">
        <v>91</v>
      </c>
      <c r="C122" s="10" t="s">
        <v>82</v>
      </c>
      <c r="D122" s="115">
        <f>설계변경내역서!D239</f>
        <v>0</v>
      </c>
      <c r="E122" s="22">
        <f>설계변경내역서!D240</f>
        <v>460</v>
      </c>
      <c r="F122" s="118">
        <f t="shared" si="12"/>
        <v>460</v>
      </c>
      <c r="G122" s="32" t="s">
        <v>92</v>
      </c>
      <c r="H122" s="115">
        <f>설계변경내역서!G239</f>
        <v>0</v>
      </c>
      <c r="I122" s="22">
        <f>설계변경내역서!G240</f>
        <v>1480740</v>
      </c>
      <c r="J122" s="113">
        <f t="shared" si="11"/>
        <v>1480740</v>
      </c>
      <c r="K122" s="23" t="s">
        <v>586</v>
      </c>
    </row>
    <row r="123" spans="1:11" ht="24.6" customHeight="1" x14ac:dyDescent="0.3">
      <c r="A123" s="10"/>
      <c r="B123" s="10"/>
      <c r="C123" s="10"/>
      <c r="D123" s="115">
        <v>0</v>
      </c>
      <c r="E123" s="22">
        <v>0</v>
      </c>
      <c r="F123" s="118">
        <v>0</v>
      </c>
      <c r="G123" s="32"/>
      <c r="H123" s="115">
        <f>설계변경내역서!G241</f>
        <v>0</v>
      </c>
      <c r="I123" s="22">
        <f>설계변경내역서!G242</f>
        <v>0</v>
      </c>
      <c r="J123" s="113">
        <f t="shared" si="11"/>
        <v>0</v>
      </c>
      <c r="K123" s="23"/>
    </row>
    <row r="124" spans="1:11" ht="24.6" customHeight="1" x14ac:dyDescent="0.3">
      <c r="A124" s="114" t="s">
        <v>587</v>
      </c>
      <c r="B124" s="114" t="s">
        <v>588</v>
      </c>
      <c r="C124" s="114"/>
      <c r="D124" s="115">
        <v>0</v>
      </c>
      <c r="E124" s="22">
        <v>0</v>
      </c>
      <c r="F124" s="118">
        <v>0</v>
      </c>
      <c r="G124" s="32"/>
      <c r="H124" s="115">
        <f>설계변경내역서!G243</f>
        <v>35569296</v>
      </c>
      <c r="I124" s="22">
        <f>설계변경내역서!G244</f>
        <v>21877533</v>
      </c>
      <c r="J124" s="112">
        <f t="shared" si="11"/>
        <v>-13691763</v>
      </c>
      <c r="K124" s="23"/>
    </row>
    <row r="125" spans="1:11" ht="24.6" customHeight="1" x14ac:dyDescent="0.3">
      <c r="A125" s="10"/>
      <c r="B125" s="10" t="s">
        <v>593</v>
      </c>
      <c r="C125" s="10" t="s">
        <v>180</v>
      </c>
      <c r="D125" s="115">
        <f>설계변경내역서!D245</f>
        <v>79</v>
      </c>
      <c r="E125" s="22">
        <f>설계변경내역서!D246</f>
        <v>13</v>
      </c>
      <c r="F125" s="119">
        <f t="shared" ref="F125:F131" si="13">E125-D125</f>
        <v>-66</v>
      </c>
      <c r="G125" s="32" t="s">
        <v>181</v>
      </c>
      <c r="H125" s="115">
        <f>설계변경내역서!G245</f>
        <v>1897896</v>
      </c>
      <c r="I125" s="22">
        <f>설계변경내역서!G246</f>
        <v>312312</v>
      </c>
      <c r="J125" s="112">
        <f t="shared" si="11"/>
        <v>-1585584</v>
      </c>
      <c r="K125" s="23" t="s">
        <v>594</v>
      </c>
    </row>
    <row r="126" spans="1:11" ht="24.6" customHeight="1" x14ac:dyDescent="0.3">
      <c r="A126" s="10"/>
      <c r="B126" s="10" t="s">
        <v>599</v>
      </c>
      <c r="C126" s="10" t="s">
        <v>180</v>
      </c>
      <c r="D126" s="115">
        <f>설계변경내역서!D247</f>
        <v>91</v>
      </c>
      <c r="E126" s="22">
        <f>설계변경내역서!D248</f>
        <v>14</v>
      </c>
      <c r="F126" s="119">
        <f t="shared" si="13"/>
        <v>-77</v>
      </c>
      <c r="G126" s="32" t="s">
        <v>181</v>
      </c>
      <c r="H126" s="115">
        <f>설계변경내역서!G247</f>
        <v>1769768</v>
      </c>
      <c r="I126" s="22">
        <f>설계변경내역서!G248</f>
        <v>272272</v>
      </c>
      <c r="J126" s="112">
        <f t="shared" si="11"/>
        <v>-1497496</v>
      </c>
      <c r="K126" s="23" t="s">
        <v>600</v>
      </c>
    </row>
    <row r="127" spans="1:11" ht="24.6" customHeight="1" x14ac:dyDescent="0.3">
      <c r="A127" s="10"/>
      <c r="B127" s="10" t="s">
        <v>396</v>
      </c>
      <c r="C127" s="10" t="s">
        <v>180</v>
      </c>
      <c r="D127" s="115">
        <f>설계변경내역서!D249</f>
        <v>49</v>
      </c>
      <c r="E127" s="22">
        <f>설계변경내역서!D250</f>
        <v>53</v>
      </c>
      <c r="F127" s="118">
        <f t="shared" si="13"/>
        <v>4</v>
      </c>
      <c r="G127" s="32" t="s">
        <v>181</v>
      </c>
      <c r="H127" s="115">
        <f>설계변경내역서!G249</f>
        <v>1233232</v>
      </c>
      <c r="I127" s="22">
        <f>설계변경내역서!G250</f>
        <v>1333904</v>
      </c>
      <c r="J127" s="113">
        <f t="shared" si="11"/>
        <v>100672</v>
      </c>
      <c r="K127" s="23" t="s">
        <v>605</v>
      </c>
    </row>
    <row r="128" spans="1:11" ht="24.6" customHeight="1" x14ac:dyDescent="0.3">
      <c r="A128" s="10"/>
      <c r="B128" s="10" t="s">
        <v>179</v>
      </c>
      <c r="C128" s="10" t="s">
        <v>180</v>
      </c>
      <c r="D128" s="115">
        <f>설계변경내역서!D251</f>
        <v>0</v>
      </c>
      <c r="E128" s="22">
        <f>설계변경내역서!D252</f>
        <v>32</v>
      </c>
      <c r="F128" s="118">
        <f t="shared" si="13"/>
        <v>32</v>
      </c>
      <c r="G128" s="32" t="s">
        <v>181</v>
      </c>
      <c r="H128" s="115">
        <f>설계변경내역서!G251</f>
        <v>0</v>
      </c>
      <c r="I128" s="22">
        <f>설계변경내역서!G252</f>
        <v>549120</v>
      </c>
      <c r="J128" s="113">
        <f t="shared" si="11"/>
        <v>549120</v>
      </c>
      <c r="K128" s="23" t="s">
        <v>610</v>
      </c>
    </row>
    <row r="129" spans="1:11" ht="24.6" customHeight="1" x14ac:dyDescent="0.3">
      <c r="A129" s="10"/>
      <c r="B129" s="10" t="s">
        <v>615</v>
      </c>
      <c r="C129" s="10" t="s">
        <v>616</v>
      </c>
      <c r="D129" s="115">
        <f>설계변경내역서!D253</f>
        <v>1190</v>
      </c>
      <c r="E129" s="22">
        <f>설계변경내역서!D254</f>
        <v>185</v>
      </c>
      <c r="F129" s="119">
        <f t="shared" si="13"/>
        <v>-1005</v>
      </c>
      <c r="G129" s="32" t="s">
        <v>519</v>
      </c>
      <c r="H129" s="115">
        <f>설계변경내역서!G253</f>
        <v>5539450</v>
      </c>
      <c r="I129" s="22">
        <f>설계변경내역서!G254</f>
        <v>861175</v>
      </c>
      <c r="J129" s="112">
        <f t="shared" si="11"/>
        <v>-4678275</v>
      </c>
      <c r="K129" s="23" t="s">
        <v>617</v>
      </c>
    </row>
    <row r="130" spans="1:11" ht="24.6" customHeight="1" x14ac:dyDescent="0.3">
      <c r="A130" s="10"/>
      <c r="B130" s="10" t="s">
        <v>622</v>
      </c>
      <c r="C130" s="10" t="s">
        <v>180</v>
      </c>
      <c r="D130" s="115">
        <f>설계변경내역서!D255</f>
        <v>606</v>
      </c>
      <c r="E130" s="22">
        <f>설계변경내역서!D256</f>
        <v>460</v>
      </c>
      <c r="F130" s="119">
        <f t="shared" si="13"/>
        <v>-146</v>
      </c>
      <c r="G130" s="32" t="s">
        <v>92</v>
      </c>
      <c r="H130" s="115">
        <f>설계변경내역서!G255</f>
        <v>23997600</v>
      </c>
      <c r="I130" s="22">
        <f>설계변경내역서!G256</f>
        <v>18216000</v>
      </c>
      <c r="J130" s="112">
        <f t="shared" si="11"/>
        <v>-5781600</v>
      </c>
      <c r="K130" s="23" t="s">
        <v>623</v>
      </c>
    </row>
    <row r="131" spans="1:11" ht="24.6" customHeight="1" x14ac:dyDescent="0.3">
      <c r="A131" s="10"/>
      <c r="B131" s="10" t="s">
        <v>628</v>
      </c>
      <c r="C131" s="10"/>
      <c r="D131" s="115">
        <f>설계변경내역서!D257</f>
        <v>187</v>
      </c>
      <c r="E131" s="22">
        <f>설계변경내역서!D258</f>
        <v>55</v>
      </c>
      <c r="F131" s="119">
        <f t="shared" si="13"/>
        <v>-132</v>
      </c>
      <c r="G131" s="32" t="s">
        <v>14</v>
      </c>
      <c r="H131" s="115">
        <f>설계변경내역서!G257</f>
        <v>1131350</v>
      </c>
      <c r="I131" s="22">
        <f>설계변경내역서!G258</f>
        <v>332750</v>
      </c>
      <c r="J131" s="112">
        <f t="shared" si="11"/>
        <v>-798600</v>
      </c>
      <c r="K131" s="23" t="s">
        <v>629</v>
      </c>
    </row>
    <row r="132" spans="1:11" ht="24.6" customHeight="1" x14ac:dyDescent="0.3">
      <c r="A132" s="10"/>
      <c r="B132" s="10"/>
      <c r="C132" s="10"/>
      <c r="D132" s="115">
        <v>0</v>
      </c>
      <c r="E132" s="22">
        <v>0</v>
      </c>
      <c r="F132" s="118">
        <v>0</v>
      </c>
      <c r="G132" s="32"/>
      <c r="H132" s="115">
        <f>설계변경내역서!G259</f>
        <v>0</v>
      </c>
      <c r="I132" s="22">
        <f>설계변경내역서!G260</f>
        <v>0</v>
      </c>
      <c r="J132" s="113">
        <f t="shared" si="11"/>
        <v>0</v>
      </c>
      <c r="K132" s="23"/>
    </row>
    <row r="133" spans="1:11" ht="24.6" customHeight="1" x14ac:dyDescent="0.3">
      <c r="A133" s="10"/>
      <c r="B133" s="10"/>
      <c r="C133" s="10"/>
      <c r="D133" s="115">
        <v>0</v>
      </c>
      <c r="E133" s="22">
        <v>0</v>
      </c>
      <c r="F133" s="118">
        <v>0</v>
      </c>
      <c r="G133" s="32"/>
      <c r="H133" s="115">
        <f>설계변경내역서!G261</f>
        <v>0</v>
      </c>
      <c r="I133" s="22">
        <f>설계변경내역서!G262</f>
        <v>0</v>
      </c>
      <c r="J133" s="113">
        <f t="shared" ref="J133:J164" si="14">I133-H133</f>
        <v>0</v>
      </c>
      <c r="K133" s="23"/>
    </row>
  </sheetData>
  <mergeCells count="8">
    <mergeCell ref="A1:K1"/>
    <mergeCell ref="A3:A4"/>
    <mergeCell ref="B3:B4"/>
    <mergeCell ref="C3:C4"/>
    <mergeCell ref="D3:F3"/>
    <mergeCell ref="G3:G4"/>
    <mergeCell ref="H3:J3"/>
    <mergeCell ref="K3:K4"/>
  </mergeCells>
  <phoneticPr fontId="25" type="noConversion"/>
  <hyperlinks>
    <hyperlink ref="L1" r:id="rId1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85" fitToWidth="0" fitToHeight="0" orientation="landscape" r:id="rId2"/>
  <headerFooter alignWithMargins="0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8" width="11.5" style="6" customWidth="1"/>
    <col min="9" max="9" width="10" style="6" customWidth="1"/>
    <col min="10" max="10" width="9.125" style="16" hidden="1" customWidth="1"/>
    <col min="11" max="11" width="9.125" style="18" customWidth="1"/>
    <col min="12" max="16384" width="9.125" style="6"/>
  </cols>
  <sheetData>
    <row r="1" spans="1:11" ht="24.95" customHeight="1" x14ac:dyDescent="0.3">
      <c r="A1" s="183" t="s">
        <v>0</v>
      </c>
      <c r="B1" s="182"/>
      <c r="C1" s="182"/>
      <c r="D1" s="182"/>
      <c r="E1" s="182"/>
      <c r="F1" s="182"/>
      <c r="G1" s="182"/>
      <c r="H1" s="182"/>
      <c r="I1" s="182"/>
      <c r="J1" s="5" t="s">
        <v>47</v>
      </c>
      <c r="K1" s="19" t="s">
        <v>47</v>
      </c>
    </row>
    <row r="2" spans="1:11" ht="22.35" customHeight="1" x14ac:dyDescent="0.3">
      <c r="A2" s="1" t="s">
        <v>1</v>
      </c>
      <c r="J2" s="20" t="str">
        <f ca="1">MID(CELL("filename",$A$1),FIND("]",CELL("filename",$A$1))+1,LEN(CELL("filename",$A$1)))</f>
        <v>일위대가목록표</v>
      </c>
    </row>
    <row r="3" spans="1:11" ht="22.3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K3" s="3" t="str">
        <f>HYPERLINK("#'〓 목 차 〓'!B2","목차 →")</f>
        <v>목차 →</v>
      </c>
    </row>
    <row r="4" spans="1:11" ht="22.35" customHeight="1" x14ac:dyDescent="0.3">
      <c r="A4" s="9" t="s">
        <v>11</v>
      </c>
      <c r="B4" s="10" t="s">
        <v>12</v>
      </c>
      <c r="C4" s="10" t="s">
        <v>13</v>
      </c>
      <c r="D4" s="9" t="s">
        <v>14</v>
      </c>
      <c r="E4" s="99">
        <f>일위대가표!F12</f>
        <v>55265</v>
      </c>
      <c r="F4" s="121">
        <f>일위대가표!H12</f>
        <v>44652</v>
      </c>
      <c r="G4" s="120">
        <f>일위대가표!J12</f>
        <v>3830</v>
      </c>
      <c r="H4" s="99">
        <f>일위대가표!L12</f>
        <v>6783</v>
      </c>
      <c r="I4" s="15" t="s">
        <v>11</v>
      </c>
      <c r="J4" s="17" t="str">
        <f>"_x0007_`COD|B01092_x0005_`QTY1|1_x0005_`BQC|품_x0005_`EQC|수해1호_x0005_`JDC|_x0005_`WQC|_x0005_`EDT|_x0005_`ADJ|F_x0005_`NAG|88_x0005_`UC|T_x0005_`DET|"&amp;ROW(일위대가표!A5)&amp;"_x0005_`"</f>
        <v>_x0007_`COD|B01092_x0005_`QTY1|1_x0005_`BQC|품_x0005_`EQC|수해1호_x0005_`JDC|_x0005_`WQC|_x0005_`EDT|_x0005_`ADJ|F_x0005_`NAG|88_x0005_`UC|T_x0005_`DET|5_x0005_`</v>
      </c>
      <c r="K4" s="3" t="str">
        <f ca="1">HYPERLINK("#"&amp;일위대가표!N2&amp;"!A"&amp;ROW(일위대가표!A5),"B01092 →")</f>
        <v>B01092 →</v>
      </c>
    </row>
    <row r="5" spans="1:11" ht="22.35" customHeight="1" x14ac:dyDescent="0.3">
      <c r="A5" s="9" t="s">
        <v>16</v>
      </c>
      <c r="B5" s="10" t="s">
        <v>17</v>
      </c>
      <c r="C5" s="10" t="s">
        <v>18</v>
      </c>
      <c r="D5" s="9" t="s">
        <v>14</v>
      </c>
      <c r="E5" s="99">
        <f>일위대가표!F22</f>
        <v>55808</v>
      </c>
      <c r="F5" s="121">
        <f>일위대가표!H22</f>
        <v>41082</v>
      </c>
      <c r="G5" s="120">
        <f>일위대가표!J22</f>
        <v>5314</v>
      </c>
      <c r="H5" s="99">
        <f>일위대가표!L22</f>
        <v>9412</v>
      </c>
      <c r="I5" s="15" t="s">
        <v>16</v>
      </c>
      <c r="J5" s="17" t="str">
        <f>"_x0007_`COD|B01093_x0005_`QTY1|1_x0005_`BQC|품_x0005_`EQC|2019_x0005_`JDC|_x0005_`WQC|_x0005_`EDT|_x0005_`ADJ|F_x0005_`NAG|88_x0005_`UC|T_x0005_`DET|"&amp;ROW(일위대가표!A13)&amp;"_x0005_`"</f>
        <v>_x0007_`COD|B01093_x0005_`QTY1|1_x0005_`BQC|품_x0005_`EQC|2019_x0005_`JDC|_x0005_`WQC|_x0005_`EDT|_x0005_`ADJ|F_x0005_`NAG|88_x0005_`UC|T_x0005_`DET|13_x0005_`</v>
      </c>
      <c r="K5" s="3" t="str">
        <f ca="1">HYPERLINK("#"&amp;일위대가표!N2&amp;"!A"&amp;ROW(일위대가표!A13),"B01093 →")</f>
        <v>B01093 →</v>
      </c>
    </row>
    <row r="6" spans="1:11" ht="22.35" customHeight="1" x14ac:dyDescent="0.3">
      <c r="A6" s="9" t="s">
        <v>20</v>
      </c>
      <c r="B6" s="10" t="s">
        <v>12</v>
      </c>
      <c r="C6" s="10" t="s">
        <v>21</v>
      </c>
      <c r="D6" s="9" t="s">
        <v>14</v>
      </c>
      <c r="E6" s="99">
        <f>일위대가표!F30</f>
        <v>60047</v>
      </c>
      <c r="F6" s="121">
        <f>일위대가표!H30</f>
        <v>48992</v>
      </c>
      <c r="G6" s="120">
        <f>일위대가표!J30</f>
        <v>3989</v>
      </c>
      <c r="H6" s="99">
        <f>일위대가표!L30</f>
        <v>7066</v>
      </c>
      <c r="I6" s="15" t="s">
        <v>20</v>
      </c>
      <c r="J6" s="17" t="str">
        <f>"_x0007_`COD|B01094_x0005_`QTY1|1_x0005_`BQC|품_x0005_`EQC|수해1호_x0005_`JDC|_x0005_`WQC|_x0005_`EDT|_x0005_`ADJ|F_x0005_`NAG|88_x0005_`UC|T_x0005_`DET|"&amp;ROW(일위대가표!A23)&amp;"_x0005_`"</f>
        <v>_x0007_`COD|B01094_x0005_`QTY1|1_x0005_`BQC|품_x0005_`EQC|수해1호_x0005_`JDC|_x0005_`WQC|_x0005_`EDT|_x0005_`ADJ|F_x0005_`NAG|88_x0005_`UC|T_x0005_`DET|23_x0005_`</v>
      </c>
      <c r="K6" s="3" t="str">
        <f ca="1">HYPERLINK("#"&amp;일위대가표!N2&amp;"!A"&amp;ROW(일위대가표!A23),"B01094 →")</f>
        <v>B01094 →</v>
      </c>
    </row>
    <row r="7" spans="1:11" ht="22.35" customHeight="1" x14ac:dyDescent="0.3">
      <c r="A7" s="9" t="s">
        <v>23</v>
      </c>
      <c r="B7" s="10" t="s">
        <v>12</v>
      </c>
      <c r="C7" s="10" t="s">
        <v>24</v>
      </c>
      <c r="D7" s="9" t="s">
        <v>14</v>
      </c>
      <c r="E7" s="99">
        <f>일위대가표!F38</f>
        <v>52528</v>
      </c>
      <c r="F7" s="121">
        <f>일위대가표!H38</f>
        <v>42799</v>
      </c>
      <c r="G7" s="120">
        <f>일위대가표!J38</f>
        <v>3511</v>
      </c>
      <c r="H7" s="99">
        <f>일위대가표!L38</f>
        <v>6218</v>
      </c>
      <c r="I7" s="15" t="s">
        <v>23</v>
      </c>
      <c r="J7" s="17" t="str">
        <f>"_x0007_`COD|B01095_x0005_`QTY1|1_x0005_`BQC|품_x0005_`EQC|수해1호_x0005_`JDC|_x0005_`WQC|_x0005_`EDT|_x0005_`ADJ|F_x0005_`NAG|88_x0005_`UC|T_x0005_`DET|"&amp;ROW(일위대가표!A31)&amp;"_x0005_`"</f>
        <v>_x0007_`COD|B01095_x0005_`QTY1|1_x0005_`BQC|품_x0005_`EQC|수해1호_x0005_`JDC|_x0005_`WQC|_x0005_`EDT|_x0005_`ADJ|F_x0005_`NAG|88_x0005_`UC|T_x0005_`DET|31_x0005_`</v>
      </c>
      <c r="K7" s="3" t="str">
        <f ca="1">HYPERLINK("#"&amp;일위대가표!N2&amp;"!A"&amp;ROW(일위대가표!A31),"B01095 →")</f>
        <v>B01095 →</v>
      </c>
    </row>
    <row r="8" spans="1:11" ht="22.35" customHeight="1" x14ac:dyDescent="0.3">
      <c r="A8" s="9" t="s">
        <v>26</v>
      </c>
      <c r="B8" s="10" t="s">
        <v>27</v>
      </c>
      <c r="C8" s="10" t="s">
        <v>28</v>
      </c>
      <c r="D8" s="9" t="s">
        <v>29</v>
      </c>
      <c r="E8" s="99">
        <f>일위대가표!F45</f>
        <v>12556</v>
      </c>
      <c r="F8" s="121">
        <f>일위대가표!H45</f>
        <v>9348</v>
      </c>
      <c r="G8" s="120">
        <f>일위대가표!J45</f>
        <v>1154</v>
      </c>
      <c r="H8" s="99">
        <f>일위대가표!L45</f>
        <v>2054</v>
      </c>
      <c r="I8" s="15" t="s">
        <v>26</v>
      </c>
      <c r="J8" s="17" t="str">
        <f>"_x0007_`COD|B01097_x0005_`QTY1|1_x0005_`BQC|_x0005_`EQC|_x0005_`JDC|_x0005_`WQC|_x0005_`EDT|_x0005_`ADJ|F_x0005_`NAG|88_x0005_`UC|T_x0005_`DET|"&amp;ROW(일위대가표!A39)&amp;"_x0005_`"</f>
        <v>_x0007_`COD|B01097_x0005_`QTY1|1_x0005_`BQC|_x0005_`EQC|_x0005_`JDC|_x0005_`WQC|_x0005_`EDT|_x0005_`ADJ|F_x0005_`NAG|88_x0005_`UC|T_x0005_`DET|39_x0005_`</v>
      </c>
      <c r="K8" s="3" t="str">
        <f ca="1">HYPERLINK("#"&amp;일위대가표!N2&amp;"!A"&amp;ROW(일위대가표!A39),"B01097 →")</f>
        <v>B01097 →</v>
      </c>
    </row>
    <row r="9" spans="1:11" ht="22.35" customHeight="1" x14ac:dyDescent="0.3">
      <c r="A9" s="9" t="s">
        <v>31</v>
      </c>
      <c r="B9" s="10" t="s">
        <v>32</v>
      </c>
      <c r="C9" s="10" t="s">
        <v>28</v>
      </c>
      <c r="D9" s="9" t="s">
        <v>14</v>
      </c>
      <c r="E9" s="99">
        <f>일위대가표!F54</f>
        <v>69277</v>
      </c>
      <c r="F9" s="121">
        <f>일위대가표!H54</f>
        <v>51637</v>
      </c>
      <c r="G9" s="120">
        <f>일위대가표!J54</f>
        <v>6366</v>
      </c>
      <c r="H9" s="99">
        <f>일위대가표!L54</f>
        <v>11274</v>
      </c>
      <c r="I9" s="15" t="s">
        <v>31</v>
      </c>
      <c r="J9" s="17" t="str">
        <f>"_x0007_`COD|B01098_x0005_`QTY1|1_x0005_`BQC|품_x0005_`EQC|2019_x0005_`JDC|_x0005_`WQC|_x0005_`EDT|_x0005_`ADJ|F_x0005_`NAG|0_x0005_`UC|F_x0005_`DET|"&amp;ROW(일위대가표!A46)&amp;"_x0005_`"</f>
        <v>_x0007_`COD|B01098_x0005_`QTY1|1_x0005_`BQC|품_x0005_`EQC|2019_x0005_`JDC|_x0005_`WQC|_x0005_`EDT|_x0005_`ADJ|F_x0005_`NAG|0_x0005_`UC|F_x0005_`DET|46_x0005_`</v>
      </c>
      <c r="K9" s="3" t="str">
        <f ca="1">HYPERLINK("#"&amp;일위대가표!N2&amp;"!A"&amp;ROW(일위대가표!A46),"B01098 →")</f>
        <v>B01098 →</v>
      </c>
    </row>
    <row r="10" spans="1:11" ht="22.35" customHeight="1" x14ac:dyDescent="0.3">
      <c r="A10" s="9" t="s">
        <v>34</v>
      </c>
      <c r="B10" s="10" t="s">
        <v>35</v>
      </c>
      <c r="C10" s="10" t="s">
        <v>36</v>
      </c>
      <c r="D10" s="9" t="s">
        <v>37</v>
      </c>
      <c r="E10" s="99">
        <f>일위대가표!F62</f>
        <v>37029</v>
      </c>
      <c r="F10" s="121">
        <f>일위대가표!H62</f>
        <v>36537</v>
      </c>
      <c r="G10" s="120">
        <f>일위대가표!J62</f>
        <v>492</v>
      </c>
      <c r="H10" s="99">
        <f>일위대가표!L62</f>
        <v>0</v>
      </c>
      <c r="I10" s="15" t="s">
        <v>34</v>
      </c>
      <c r="J10" s="17" t="str">
        <f>"_x0007_`COD|B01099_x0005_`QTY1|1_x0005_`BQC|_x0005_`EQC|_x0005_`JDC|_x0005_`WQC|_x0005_`EDT|_x0005_`ADJ|F_x0005_`NAG|88_x0005_`UC|T_x0005_`DET|"&amp;ROW(일위대가표!A55)&amp;"_x0005_`"</f>
        <v>_x0007_`COD|B01099_x0005_`QTY1|1_x0005_`BQC|_x0005_`EQC|_x0005_`JDC|_x0005_`WQC|_x0005_`EDT|_x0005_`ADJ|F_x0005_`NAG|88_x0005_`UC|T_x0005_`DET|55_x0005_`</v>
      </c>
      <c r="K10" s="3" t="str">
        <f ca="1">HYPERLINK("#"&amp;일위대가표!N2&amp;"!A"&amp;ROW(일위대가표!A55),"B01099 →")</f>
        <v>B01099 →</v>
      </c>
    </row>
    <row r="11" spans="1:11" ht="22.35" customHeight="1" x14ac:dyDescent="0.3">
      <c r="A11" s="9" t="s">
        <v>39</v>
      </c>
      <c r="B11" s="10" t="s">
        <v>40</v>
      </c>
      <c r="C11" s="10" t="s">
        <v>41</v>
      </c>
      <c r="D11" s="9" t="s">
        <v>42</v>
      </c>
      <c r="E11" s="99">
        <f>일위대가표!F71</f>
        <v>3783</v>
      </c>
      <c r="F11" s="121">
        <f>일위대가표!H71</f>
        <v>3643</v>
      </c>
      <c r="G11" s="120">
        <f>일위대가표!J71</f>
        <v>140</v>
      </c>
      <c r="H11" s="99">
        <f>일위대가표!L71</f>
        <v>0</v>
      </c>
      <c r="I11" s="15" t="s">
        <v>39</v>
      </c>
      <c r="J11" s="17" t="str">
        <f>"_x0007_`COD|B01107_x0005_`QTY1|1_x0005_`BQC|_x0005_`EQC|_x0005_`JDC|_x0005_`WQC|_x0005_`EDT|_x0005_`ADJ|F_x0005_`NAG|0_x0005_`UC|F_x0005_`DET|"&amp;ROW(일위대가표!A63)&amp;"_x0005_`"</f>
        <v>_x0007_`COD|B01107_x0005_`QTY1|1_x0005_`BQC|_x0005_`EQC|_x0005_`JDC|_x0005_`WQC|_x0005_`EDT|_x0005_`ADJ|F_x0005_`NAG|0_x0005_`UC|F_x0005_`DET|63_x0005_`</v>
      </c>
      <c r="K11" s="3" t="str">
        <f ca="1">HYPERLINK("#"&amp;일위대가표!N2&amp;"!A"&amp;ROW(일위대가표!A63),"B01107 →")</f>
        <v>B01107 →</v>
      </c>
    </row>
    <row r="12" spans="1:11" ht="22.35" customHeight="1" x14ac:dyDescent="0.3">
      <c r="A12" s="9" t="s">
        <v>44</v>
      </c>
      <c r="B12" s="10" t="s">
        <v>45</v>
      </c>
      <c r="C12" s="10" t="s">
        <v>41</v>
      </c>
      <c r="D12" s="9" t="s">
        <v>42</v>
      </c>
      <c r="E12" s="99">
        <f>일위대가표!F76</f>
        <v>6737</v>
      </c>
      <c r="F12" s="121">
        <f>일위대가표!H76</f>
        <v>6737</v>
      </c>
      <c r="G12" s="120">
        <f>일위대가표!J76</f>
        <v>0</v>
      </c>
      <c r="H12" s="99">
        <f>일위대가표!L76</f>
        <v>0</v>
      </c>
      <c r="I12" s="15" t="s">
        <v>44</v>
      </c>
      <c r="J12" s="17" t="str">
        <f>"_x0007_`COD|B01109_x0005_`QTY1|1_x0005_`BQC|_x0005_`EQC|_x0005_`JDC|_x0005_`WQC|_x0005_`EDT|_x0005_`ADJ|F_x0005_`NAG|0_x0005_`UC|F_x0005_`DET|"&amp;ROW(일위대가표!A72)&amp;"_x0005_`"</f>
        <v>_x0007_`COD|B01109_x0005_`QTY1|1_x0005_`BQC|_x0005_`EQC|_x0005_`JDC|_x0005_`WQC|_x0005_`EDT|_x0005_`ADJ|F_x0005_`NAG|0_x0005_`UC|F_x0005_`DET|72_x0005_`</v>
      </c>
      <c r="K12" s="3" t="str">
        <f ca="1">HYPERLINK("#"&amp;일위대가표!N2&amp;"!A"&amp;ROW(일위대가표!A72),"B01109 →")</f>
        <v>B01109 →</v>
      </c>
    </row>
  </sheetData>
  <mergeCells count="1">
    <mergeCell ref="A1:I1"/>
  </mergeCells>
  <phoneticPr fontId="25" type="noConversion"/>
  <hyperlinks>
    <hyperlink ref="K1" r:id="rId1" tooltip="설계예산시스템(STmate w25.05)으로 작성 하였으며,_x000a_엑셀 인쇄품질 600 dpi에 최적화 되어 있습니다._x000a_경영정보(주) http://www.stma.co.kr_x000a_Tel) 070-4350-0040_x000a_Fax) 0505-300-3948"/>
    <hyperlink ref="J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6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2" width="24.25" style="6" customWidth="1"/>
    <col min="3" max="3" width="10" style="6" customWidth="1"/>
    <col min="4" max="4" width="5.5" style="6" customWidth="1"/>
    <col min="5" max="5" width="10" style="6" customWidth="1"/>
    <col min="6" max="6" width="11.5" style="6" customWidth="1"/>
    <col min="7" max="7" width="10" style="6" customWidth="1"/>
    <col min="8" max="8" width="11.5" style="6" customWidth="1"/>
    <col min="9" max="9" width="10" style="6" customWidth="1"/>
    <col min="10" max="10" width="11.5" style="6" customWidth="1"/>
    <col min="11" max="11" width="10" style="6" customWidth="1"/>
    <col min="12" max="13" width="11.5" style="6" customWidth="1"/>
    <col min="14" max="14" width="9.125" style="140" hidden="1" customWidth="1"/>
    <col min="15" max="25" width="2.125" style="6" customWidth="1"/>
    <col min="26" max="26" width="9.125" style="18" customWidth="1"/>
    <col min="27" max="16384" width="9.125" style="6"/>
  </cols>
  <sheetData>
    <row r="1" spans="1:26" ht="24.95" customHeight="1" x14ac:dyDescent="0.3">
      <c r="A1" s="183" t="s">
        <v>751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5" t="s">
        <v>47</v>
      </c>
      <c r="Z1" s="19" t="s">
        <v>47</v>
      </c>
    </row>
    <row r="2" spans="1:26" ht="28.7" customHeight="1" x14ac:dyDescent="0.3">
      <c r="A2" s="1" t="s">
        <v>1</v>
      </c>
      <c r="N2" s="20" t="str">
        <f ca="1">MID(CELL("filename",$A$1),FIND("]",CELL("filename",$A$1))+1,LEN(CELL("filename",$A$1)))</f>
        <v>일위대가표</v>
      </c>
    </row>
    <row r="3" spans="1:26" ht="28.7" customHeight="1" x14ac:dyDescent="0.3">
      <c r="A3" s="206" t="s">
        <v>3</v>
      </c>
      <c r="B3" s="206" t="s">
        <v>4</v>
      </c>
      <c r="C3" s="206" t="s">
        <v>255</v>
      </c>
      <c r="D3" s="206" t="s">
        <v>5</v>
      </c>
      <c r="E3" s="186" t="s">
        <v>6</v>
      </c>
      <c r="F3" s="192"/>
      <c r="G3" s="186" t="s">
        <v>7</v>
      </c>
      <c r="H3" s="192"/>
      <c r="I3" s="186" t="s">
        <v>8</v>
      </c>
      <c r="J3" s="192"/>
      <c r="K3" s="186" t="s">
        <v>9</v>
      </c>
      <c r="L3" s="192"/>
      <c r="M3" s="186" t="s">
        <v>10</v>
      </c>
    </row>
    <row r="4" spans="1:26" ht="28.7" customHeight="1" x14ac:dyDescent="0.3">
      <c r="A4" s="192"/>
      <c r="B4" s="192"/>
      <c r="C4" s="192"/>
      <c r="D4" s="192"/>
      <c r="E4" s="9" t="s">
        <v>156</v>
      </c>
      <c r="F4" s="9" t="s">
        <v>256</v>
      </c>
      <c r="G4" s="9" t="s">
        <v>156</v>
      </c>
      <c r="H4" s="9" t="s">
        <v>256</v>
      </c>
      <c r="I4" s="9" t="s">
        <v>156</v>
      </c>
      <c r="J4" s="9" t="s">
        <v>256</v>
      </c>
      <c r="K4" s="9" t="s">
        <v>156</v>
      </c>
      <c r="L4" s="9" t="s">
        <v>256</v>
      </c>
      <c r="M4" s="187"/>
      <c r="Z4" s="3" t="str">
        <f>HYPERLINK("#'〓 목 차 〓'!B2","목차 →")</f>
        <v>목차 →</v>
      </c>
    </row>
    <row r="5" spans="1:26" ht="28.7" customHeight="1" x14ac:dyDescent="0.3">
      <c r="A5" s="39" t="s">
        <v>752</v>
      </c>
      <c r="B5" s="39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41" t="str">
        <f>HYPERLINK("#N"&amp;ROW(N10),"_x0005_`BDCOD|B01092_x0007_`POSS|"&amp;ROW(N7)&amp;"_x0007_`POSE|"&amp;ROW(N10)&amp;"_x0007_`")</f>
        <v>_x0005_`BDCOD|B01092_x0007_`POSS|7_x0007_`POSE|10_x0007_`</v>
      </c>
    </row>
    <row r="6" spans="1:26" ht="28.7" customHeight="1" x14ac:dyDescent="0.3">
      <c r="A6" s="122" t="s">
        <v>12</v>
      </c>
      <c r="B6" s="122" t="s">
        <v>13</v>
      </c>
      <c r="C6" s="125"/>
      <c r="D6" s="128" t="s">
        <v>14</v>
      </c>
      <c r="E6" s="125"/>
      <c r="F6" s="125"/>
      <c r="G6" s="125"/>
      <c r="H6" s="125"/>
      <c r="I6" s="125"/>
      <c r="J6" s="125"/>
      <c r="K6" s="125"/>
      <c r="L6" s="125"/>
      <c r="M6" s="128" t="s">
        <v>753</v>
      </c>
      <c r="O6" s="7" t="s">
        <v>753</v>
      </c>
    </row>
    <row r="7" spans="1:26" ht="28.7" customHeight="1" x14ac:dyDescent="0.3">
      <c r="A7" s="10" t="s">
        <v>754</v>
      </c>
      <c r="B7" s="10" t="s">
        <v>755</v>
      </c>
      <c r="C7" s="126">
        <v>0</v>
      </c>
      <c r="D7" s="32"/>
      <c r="E7" s="22">
        <v>0</v>
      </c>
      <c r="F7" s="11">
        <v>0</v>
      </c>
      <c r="G7" s="133"/>
      <c r="H7" s="11">
        <v>0</v>
      </c>
      <c r="I7" s="133"/>
      <c r="J7" s="22">
        <v>0</v>
      </c>
      <c r="K7" s="139"/>
      <c r="L7" s="22">
        <v>0</v>
      </c>
      <c r="M7" s="23" t="s">
        <v>758</v>
      </c>
      <c r="N7" s="17" t="s">
        <v>756</v>
      </c>
      <c r="O7" s="7" t="s">
        <v>757</v>
      </c>
      <c r="P7" s="7" t="s">
        <v>757</v>
      </c>
    </row>
    <row r="8" spans="1:26" ht="28.7" customHeight="1" x14ac:dyDescent="0.3">
      <c r="A8" s="10" t="s">
        <v>189</v>
      </c>
      <c r="B8" s="10"/>
      <c r="C8" s="126">
        <v>0.12</v>
      </c>
      <c r="D8" s="32" t="s">
        <v>185</v>
      </c>
      <c r="E8" s="129">
        <f t="shared" ref="E8:F10" si="0">I8+G8+K8</f>
        <v>266246</v>
      </c>
      <c r="F8" s="131">
        <f t="shared" si="0"/>
        <v>31949.5</v>
      </c>
      <c r="G8" s="134">
        <f>노무비목록표!E6</f>
        <v>266246</v>
      </c>
      <c r="H8" s="137">
        <f>IF(C8=0,0,ROUNDDOWN(G8*C8,1))</f>
        <v>31949.5</v>
      </c>
      <c r="I8" s="135">
        <v>0</v>
      </c>
      <c r="J8" s="132">
        <f>IF(C8=0,0,ROUNDDOWN(I8*C8,1))</f>
        <v>0</v>
      </c>
      <c r="K8" s="135">
        <v>0</v>
      </c>
      <c r="L8" s="131">
        <f>IF(C8=0,0,ROUNDDOWN(K8*C8,1))</f>
        <v>0</v>
      </c>
      <c r="M8" s="23" t="s">
        <v>761</v>
      </c>
      <c r="N8" s="17" t="s">
        <v>759</v>
      </c>
      <c r="O8" s="7" t="s">
        <v>760</v>
      </c>
      <c r="P8" s="7" t="s">
        <v>768</v>
      </c>
      <c r="Z8" s="3" t="str">
        <f ca="1">HYPERLINK("#"&amp;노무비목록표!G2&amp;"!A"&amp;ROW(노무비목록표!A6),"L00019 →")</f>
        <v>L00019 →</v>
      </c>
    </row>
    <row r="9" spans="1:26" ht="28.7" customHeight="1" x14ac:dyDescent="0.3">
      <c r="A9" s="10" t="s">
        <v>184</v>
      </c>
      <c r="B9" s="10"/>
      <c r="C9" s="126">
        <v>0.03</v>
      </c>
      <c r="D9" s="32" t="s">
        <v>185</v>
      </c>
      <c r="E9" s="129">
        <f t="shared" si="0"/>
        <v>169804</v>
      </c>
      <c r="F9" s="131">
        <f t="shared" si="0"/>
        <v>5094.1000000000004</v>
      </c>
      <c r="G9" s="134">
        <f>노무비목록표!E4</f>
        <v>169804</v>
      </c>
      <c r="H9" s="137">
        <f>IF(C9=0,0,ROUNDDOWN(G9*C9,1))</f>
        <v>5094.1000000000004</v>
      </c>
      <c r="I9" s="135">
        <v>0</v>
      </c>
      <c r="J9" s="132">
        <f>IF(C9=0,0,ROUNDDOWN(I9*C9,1))</f>
        <v>0</v>
      </c>
      <c r="K9" s="135">
        <v>0</v>
      </c>
      <c r="L9" s="131">
        <f>IF(C9=0,0,ROUNDDOWN(K9*C9,1))</f>
        <v>0</v>
      </c>
      <c r="M9" s="23" t="s">
        <v>764</v>
      </c>
      <c r="N9" s="17" t="s">
        <v>762</v>
      </c>
      <c r="O9" s="7" t="s">
        <v>763</v>
      </c>
      <c r="P9" s="7" t="s">
        <v>768</v>
      </c>
      <c r="Z9" s="3" t="str">
        <f ca="1">HYPERLINK("#"&amp;노무비목록표!G2&amp;"!A"&amp;ROW(노무비목록표!A4),"L00002 →")</f>
        <v>L00002 →</v>
      </c>
    </row>
    <row r="10" spans="1:26" ht="28.7" customHeight="1" x14ac:dyDescent="0.3">
      <c r="A10" s="10" t="s">
        <v>137</v>
      </c>
      <c r="B10" s="10" t="s">
        <v>138</v>
      </c>
      <c r="C10" s="126">
        <v>0.24</v>
      </c>
      <c r="D10" s="32" t="s">
        <v>105</v>
      </c>
      <c r="E10" s="129">
        <f t="shared" si="0"/>
        <v>107336</v>
      </c>
      <c r="F10" s="131">
        <f t="shared" si="0"/>
        <v>25760.5</v>
      </c>
      <c r="G10" s="134">
        <f>중기목록표!F14</f>
        <v>57077</v>
      </c>
      <c r="H10" s="138">
        <f>IF(C10=0,0,ROUNDDOWN(G10*C10,1))</f>
        <v>13698.4</v>
      </c>
      <c r="I10" s="134">
        <f>중기목록표!G14</f>
        <v>18138</v>
      </c>
      <c r="J10" s="138">
        <f>IF(C10=0,0,ROUNDDOWN(I10*C10,1))</f>
        <v>4353.1000000000004</v>
      </c>
      <c r="K10" s="134">
        <f>중기목록표!H14</f>
        <v>32121</v>
      </c>
      <c r="L10" s="138">
        <f>IF(C10=0,0,ROUNDDOWN(K10*C10,1))</f>
        <v>7709</v>
      </c>
      <c r="M10" s="23" t="s">
        <v>767</v>
      </c>
      <c r="N10" s="17" t="s">
        <v>765</v>
      </c>
      <c r="O10" s="7" t="s">
        <v>766</v>
      </c>
      <c r="P10" s="7" t="s">
        <v>768</v>
      </c>
      <c r="Z10" s="3" t="str">
        <f ca="1">HYPERLINK("#"&amp;중기목록표!J2&amp;"!A"&amp;ROW(중기목록표!A14),"X00087 →")</f>
        <v>X00087 →</v>
      </c>
    </row>
    <row r="11" spans="1:26" ht="28.7" customHeight="1" x14ac:dyDescent="0.3">
      <c r="A11" s="23" t="s">
        <v>769</v>
      </c>
      <c r="B11" s="123"/>
      <c r="C11" s="123"/>
      <c r="D11" s="123"/>
      <c r="E11" s="123"/>
      <c r="F11" s="99">
        <f>J11+H11+L11</f>
        <v>62804</v>
      </c>
      <c r="G11" s="123"/>
      <c r="H11" s="99">
        <f>ROUNDDOWN(SUMIF(P7:P10,O11,H7:H10),0)</f>
        <v>50742</v>
      </c>
      <c r="I11" s="123"/>
      <c r="J11" s="99">
        <f>ROUNDDOWN(SUMIF(P7:P10,O11,J7:J10),0)</f>
        <v>4353</v>
      </c>
      <c r="K11" s="123"/>
      <c r="L11" s="99">
        <f>ROUNDDOWN(SUMIF(P7:P10,O11,L7:L10),0)</f>
        <v>7709</v>
      </c>
      <c r="M11" s="123"/>
      <c r="O11" s="7" t="s">
        <v>768</v>
      </c>
      <c r="P11" s="7" t="s">
        <v>770</v>
      </c>
    </row>
    <row r="12" spans="1:26" ht="28.7" customHeight="1" x14ac:dyDescent="0.3">
      <c r="A12" s="14" t="s">
        <v>771</v>
      </c>
      <c r="B12" s="14"/>
      <c r="C12" s="127">
        <v>88</v>
      </c>
      <c r="D12" s="14"/>
      <c r="E12" s="130"/>
      <c r="F12" s="98">
        <f>J12+H12+L12</f>
        <v>55265</v>
      </c>
      <c r="G12" s="130"/>
      <c r="H12" s="98">
        <f>ROUNDDOWN(H11*C12/100,0)</f>
        <v>44652</v>
      </c>
      <c r="I12" s="130"/>
      <c r="J12" s="98">
        <f>ROUNDDOWN(J11*C12/100,0)</f>
        <v>3830</v>
      </c>
      <c r="K12" s="130"/>
      <c r="L12" s="98">
        <f>ROUNDDOWN(L11*C12/100,0)</f>
        <v>6783</v>
      </c>
      <c r="M12" s="130"/>
      <c r="O12" s="7" t="s">
        <v>770</v>
      </c>
    </row>
    <row r="13" spans="1:26" ht="28.7" customHeight="1" x14ac:dyDescent="0.3">
      <c r="A13" s="39" t="s">
        <v>15</v>
      </c>
      <c r="B13" s="39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41" t="str">
        <f>HYPERLINK("#N"&amp;ROW(N20),"_x0005_`BDCOD|B01093_x0007_`POSS|"&amp;ROW(N15)&amp;"_x0007_`POSE|"&amp;ROW(N20)&amp;"_x0007_`")</f>
        <v>_x0005_`BDCOD|B01093_x0007_`POSS|15_x0007_`POSE|20_x0007_`</v>
      </c>
    </row>
    <row r="14" spans="1:26" ht="28.7" customHeight="1" x14ac:dyDescent="0.3">
      <c r="A14" s="122" t="s">
        <v>17</v>
      </c>
      <c r="B14" s="122" t="s">
        <v>18</v>
      </c>
      <c r="C14" s="125"/>
      <c r="D14" s="128" t="s">
        <v>14</v>
      </c>
      <c r="E14" s="125"/>
      <c r="F14" s="125"/>
      <c r="G14" s="125"/>
      <c r="H14" s="125"/>
      <c r="I14" s="125"/>
      <c r="J14" s="125"/>
      <c r="K14" s="125"/>
      <c r="L14" s="125"/>
      <c r="M14" s="128" t="s">
        <v>772</v>
      </c>
      <c r="O14" s="7" t="s">
        <v>772</v>
      </c>
    </row>
    <row r="15" spans="1:26" ht="28.7" customHeight="1" x14ac:dyDescent="0.3">
      <c r="A15" s="10" t="s">
        <v>754</v>
      </c>
      <c r="B15" s="10" t="s">
        <v>773</v>
      </c>
      <c r="C15" s="126">
        <v>0</v>
      </c>
      <c r="D15" s="32"/>
      <c r="E15" s="22">
        <v>0</v>
      </c>
      <c r="F15" s="11">
        <v>0</v>
      </c>
      <c r="G15" s="133"/>
      <c r="H15" s="11">
        <v>0</v>
      </c>
      <c r="I15" s="133"/>
      <c r="J15" s="22">
        <v>0</v>
      </c>
      <c r="K15" s="139"/>
      <c r="L15" s="22">
        <v>0</v>
      </c>
      <c r="M15" s="23" t="s">
        <v>758</v>
      </c>
      <c r="N15" s="17" t="s">
        <v>756</v>
      </c>
      <c r="O15" s="7" t="s">
        <v>757</v>
      </c>
      <c r="P15" s="7" t="s">
        <v>757</v>
      </c>
    </row>
    <row r="16" spans="1:26" ht="28.7" customHeight="1" x14ac:dyDescent="0.3">
      <c r="A16" s="10" t="s">
        <v>189</v>
      </c>
      <c r="B16" s="10"/>
      <c r="C16" s="126">
        <v>0.09</v>
      </c>
      <c r="D16" s="32" t="s">
        <v>185</v>
      </c>
      <c r="E16" s="129">
        <f t="shared" ref="E16:F18" si="1">I16+G16+K16</f>
        <v>266246</v>
      </c>
      <c r="F16" s="131">
        <f t="shared" si="1"/>
        <v>23962.1</v>
      </c>
      <c r="G16" s="134">
        <f>노무비목록표!E6</f>
        <v>266246</v>
      </c>
      <c r="H16" s="137">
        <f>IF(C16=0,0,ROUNDDOWN(G16*C16,1))</f>
        <v>23962.1</v>
      </c>
      <c r="I16" s="135">
        <v>0</v>
      </c>
      <c r="J16" s="132">
        <f>IF(C16=0,0,ROUNDDOWN(I16*C16,1))</f>
        <v>0</v>
      </c>
      <c r="K16" s="135">
        <v>0</v>
      </c>
      <c r="L16" s="131">
        <f>IF(C16=0,0,ROUNDDOWN(K16*C16,1))</f>
        <v>0</v>
      </c>
      <c r="M16" s="23" t="s">
        <v>761</v>
      </c>
      <c r="N16" s="17" t="s">
        <v>759</v>
      </c>
      <c r="O16" s="7" t="s">
        <v>760</v>
      </c>
      <c r="P16" s="7" t="s">
        <v>776</v>
      </c>
      <c r="Z16" s="3" t="str">
        <f ca="1">HYPERLINK("#"&amp;노무비목록표!G2&amp;"!A"&amp;ROW(노무비목록표!A6),"L00019 →")</f>
        <v>L00019 →</v>
      </c>
    </row>
    <row r="17" spans="1:26" ht="28.7" customHeight="1" x14ac:dyDescent="0.3">
      <c r="A17" s="10" t="s">
        <v>184</v>
      </c>
      <c r="B17" s="10"/>
      <c r="C17" s="126">
        <v>0.04</v>
      </c>
      <c r="D17" s="32" t="s">
        <v>185</v>
      </c>
      <c r="E17" s="129">
        <f t="shared" si="1"/>
        <v>169804</v>
      </c>
      <c r="F17" s="131">
        <f t="shared" si="1"/>
        <v>6792.1</v>
      </c>
      <c r="G17" s="134">
        <f>노무비목록표!E4</f>
        <v>169804</v>
      </c>
      <c r="H17" s="137">
        <f>IF(C17=0,0,ROUNDDOWN(G17*C17,1))</f>
        <v>6792.1</v>
      </c>
      <c r="I17" s="135">
        <v>0</v>
      </c>
      <c r="J17" s="132">
        <f>IF(C17=0,0,ROUNDDOWN(I17*C17,1))</f>
        <v>0</v>
      </c>
      <c r="K17" s="135">
        <v>0</v>
      </c>
      <c r="L17" s="131">
        <f>IF(C17=0,0,ROUNDDOWN(K17*C17,1))</f>
        <v>0</v>
      </c>
      <c r="M17" s="23" t="s">
        <v>764</v>
      </c>
      <c r="N17" s="17" t="s">
        <v>762</v>
      </c>
      <c r="O17" s="7" t="s">
        <v>763</v>
      </c>
      <c r="P17" s="7" t="s">
        <v>776</v>
      </c>
      <c r="Z17" s="3" t="str">
        <f ca="1">HYPERLINK("#"&amp;노무비목록표!G2&amp;"!A"&amp;ROW(노무비목록표!A4),"L00002 →")</f>
        <v>L00002 →</v>
      </c>
    </row>
    <row r="18" spans="1:26" ht="28.7" customHeight="1" x14ac:dyDescent="0.3">
      <c r="A18" s="10" t="s">
        <v>137</v>
      </c>
      <c r="B18" s="10" t="s">
        <v>138</v>
      </c>
      <c r="C18" s="126">
        <v>0.37</v>
      </c>
      <c r="D18" s="32" t="s">
        <v>105</v>
      </c>
      <c r="E18" s="129">
        <f t="shared" si="1"/>
        <v>107336</v>
      </c>
      <c r="F18" s="131">
        <f t="shared" si="1"/>
        <v>39714.100000000006</v>
      </c>
      <c r="G18" s="134">
        <f>중기목록표!F14</f>
        <v>57077</v>
      </c>
      <c r="H18" s="138">
        <f>IF(C18=0,0,ROUNDDOWN(G18*C18,1))</f>
        <v>21118.400000000001</v>
      </c>
      <c r="I18" s="134">
        <f>중기목록표!G14</f>
        <v>18138</v>
      </c>
      <c r="J18" s="138">
        <f>IF(C18=0,0,ROUNDDOWN(I18*C18,1))</f>
        <v>6711</v>
      </c>
      <c r="K18" s="134">
        <f>중기목록표!H14</f>
        <v>32121</v>
      </c>
      <c r="L18" s="138">
        <f>IF(C18=0,0,ROUNDDOWN(K18*C18,1))</f>
        <v>11884.7</v>
      </c>
      <c r="M18" s="23" t="s">
        <v>767</v>
      </c>
      <c r="N18" s="17" t="s">
        <v>765</v>
      </c>
      <c r="O18" s="7" t="s">
        <v>766</v>
      </c>
      <c r="P18" s="7" t="s">
        <v>776</v>
      </c>
      <c r="Z18" s="3" t="str">
        <f ca="1">HYPERLINK("#"&amp;중기목록표!J2&amp;"!A"&amp;ROW(중기목록표!A14),"X00087 →")</f>
        <v>X00087 →</v>
      </c>
    </row>
    <row r="19" spans="1:26" ht="28.7" customHeight="1" x14ac:dyDescent="0.3">
      <c r="A19" s="10" t="s">
        <v>774</v>
      </c>
      <c r="B19" s="10"/>
      <c r="C19" s="126">
        <v>0</v>
      </c>
      <c r="D19" s="32"/>
      <c r="E19" s="22">
        <v>0</v>
      </c>
      <c r="F19" s="132">
        <f>J19+H19+L19</f>
        <v>70468.3</v>
      </c>
      <c r="G19" s="133"/>
      <c r="H19" s="132">
        <f>SUMIF(P15:P18,O19,H15:H18)</f>
        <v>51872.6</v>
      </c>
      <c r="I19" s="133"/>
      <c r="J19" s="131">
        <f>SUMIF(P15:P18,O19,J15:J18)</f>
        <v>6711</v>
      </c>
      <c r="K19" s="139"/>
      <c r="L19" s="131">
        <f>SUMIF(P15:P18,O19,L15:L18)</f>
        <v>11884.7</v>
      </c>
      <c r="M19" s="23"/>
      <c r="N19" s="17" t="s">
        <v>775</v>
      </c>
      <c r="O19" s="7" t="s">
        <v>776</v>
      </c>
    </row>
    <row r="20" spans="1:26" ht="28.7" customHeight="1" x14ac:dyDescent="0.3">
      <c r="A20" s="10" t="s">
        <v>215</v>
      </c>
      <c r="B20" s="10" t="s">
        <v>216</v>
      </c>
      <c r="C20" s="126">
        <v>90</v>
      </c>
      <c r="D20" s="32" t="s">
        <v>163</v>
      </c>
      <c r="E20" s="129">
        <f>I20+G20+K20</f>
        <v>70468.3</v>
      </c>
      <c r="F20" s="132">
        <f>J20+H20+L20</f>
        <v>63421.400000000009</v>
      </c>
      <c r="G20" s="135">
        <v>51872.6</v>
      </c>
      <c r="H20" s="132">
        <f>IF(C20=0,0,ROUNDDOWN(G20*C20/100,1))</f>
        <v>46685.3</v>
      </c>
      <c r="I20" s="135">
        <v>6711</v>
      </c>
      <c r="J20" s="132">
        <f>IF(C20=0,0,ROUNDDOWN(I20*C20/100,1))</f>
        <v>6039.9</v>
      </c>
      <c r="K20" s="135">
        <v>11884.7</v>
      </c>
      <c r="L20" s="131">
        <f>IF(C20=0,0,ROUNDDOWN(K20*C20/100,1))</f>
        <v>10696.2</v>
      </c>
      <c r="M20" s="23" t="s">
        <v>779</v>
      </c>
      <c r="N20" s="17" t="s">
        <v>777</v>
      </c>
      <c r="O20" s="7" t="s">
        <v>778</v>
      </c>
      <c r="P20" s="7" t="s">
        <v>768</v>
      </c>
      <c r="Z20" s="3" t="str">
        <f ca="1">HYPERLINK("#"&amp;일식견적목록표!J2&amp;"!A"&amp;ROW(일식견적목록표!A4),"W00005 →")</f>
        <v>W00005 →</v>
      </c>
    </row>
    <row r="21" spans="1:26" ht="28.7" customHeight="1" x14ac:dyDescent="0.3">
      <c r="A21" s="23" t="s">
        <v>769</v>
      </c>
      <c r="B21" s="123"/>
      <c r="C21" s="123"/>
      <c r="D21" s="123"/>
      <c r="E21" s="123"/>
      <c r="F21" s="99">
        <f>J21+H21+L21</f>
        <v>63420</v>
      </c>
      <c r="G21" s="123"/>
      <c r="H21" s="99">
        <f>ROUNDDOWN(SUMIF(P15:P20,O21,H15:H20),0)</f>
        <v>46685</v>
      </c>
      <c r="I21" s="123"/>
      <c r="J21" s="99">
        <f>ROUNDDOWN(SUMIF(P15:P20,O21,J15:J20),0)</f>
        <v>6039</v>
      </c>
      <c r="K21" s="123"/>
      <c r="L21" s="99">
        <f>ROUNDDOWN(SUMIF(P15:P20,O21,L15:L20),0)</f>
        <v>10696</v>
      </c>
      <c r="M21" s="123"/>
      <c r="O21" s="7" t="s">
        <v>768</v>
      </c>
      <c r="P21" s="7" t="s">
        <v>770</v>
      </c>
    </row>
    <row r="22" spans="1:26" ht="28.7" customHeight="1" x14ac:dyDescent="0.3">
      <c r="A22" s="14" t="s">
        <v>771</v>
      </c>
      <c r="B22" s="14"/>
      <c r="C22" s="127">
        <v>88</v>
      </c>
      <c r="D22" s="14"/>
      <c r="E22" s="130"/>
      <c r="F22" s="98">
        <f>J22+H22+L22</f>
        <v>55808</v>
      </c>
      <c r="G22" s="130"/>
      <c r="H22" s="98">
        <f>ROUNDDOWN(H21*C22/100,0)</f>
        <v>41082</v>
      </c>
      <c r="I22" s="130"/>
      <c r="J22" s="98">
        <f>ROUNDDOWN(J21*C22/100,0)</f>
        <v>5314</v>
      </c>
      <c r="K22" s="130"/>
      <c r="L22" s="98">
        <f>ROUNDDOWN(L21*C22/100,0)</f>
        <v>9412</v>
      </c>
      <c r="M22" s="130"/>
      <c r="O22" s="7" t="s">
        <v>770</v>
      </c>
    </row>
    <row r="23" spans="1:26" ht="28.7" customHeight="1" x14ac:dyDescent="0.3">
      <c r="A23" s="39" t="s">
        <v>19</v>
      </c>
      <c r="B23" s="39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41" t="str">
        <f>HYPERLINK("#N"&amp;ROW(N28),"_x0005_`BDCOD|B01094_x0007_`POSS|"&amp;ROW(N25)&amp;"_x0007_`POSE|"&amp;ROW(N28)&amp;"_x0007_`")</f>
        <v>_x0005_`BDCOD|B01094_x0007_`POSS|25_x0007_`POSE|28_x0007_`</v>
      </c>
    </row>
    <row r="24" spans="1:26" ht="28.7" customHeight="1" x14ac:dyDescent="0.3">
      <c r="A24" s="122" t="s">
        <v>12</v>
      </c>
      <c r="B24" s="122" t="s">
        <v>21</v>
      </c>
      <c r="C24" s="125"/>
      <c r="D24" s="128" t="s">
        <v>14</v>
      </c>
      <c r="E24" s="125"/>
      <c r="F24" s="125"/>
      <c r="G24" s="125"/>
      <c r="H24" s="125"/>
      <c r="I24" s="125"/>
      <c r="J24" s="125"/>
      <c r="K24" s="125"/>
      <c r="L24" s="125"/>
      <c r="M24" s="128" t="s">
        <v>780</v>
      </c>
      <c r="O24" s="7" t="s">
        <v>780</v>
      </c>
    </row>
    <row r="25" spans="1:26" ht="28.7" customHeight="1" x14ac:dyDescent="0.3">
      <c r="A25" s="10" t="s">
        <v>754</v>
      </c>
      <c r="B25" s="10" t="s">
        <v>755</v>
      </c>
      <c r="C25" s="126">
        <v>0</v>
      </c>
      <c r="D25" s="32"/>
      <c r="E25" s="22">
        <v>0</v>
      </c>
      <c r="F25" s="11">
        <v>0</v>
      </c>
      <c r="G25" s="133"/>
      <c r="H25" s="11">
        <v>0</v>
      </c>
      <c r="I25" s="133"/>
      <c r="J25" s="22">
        <v>0</v>
      </c>
      <c r="K25" s="139"/>
      <c r="L25" s="22">
        <v>0</v>
      </c>
      <c r="M25" s="23" t="s">
        <v>758</v>
      </c>
      <c r="N25" s="17" t="s">
        <v>756</v>
      </c>
      <c r="O25" s="7" t="s">
        <v>757</v>
      </c>
      <c r="P25" s="7" t="s">
        <v>757</v>
      </c>
    </row>
    <row r="26" spans="1:26" ht="28.7" customHeight="1" x14ac:dyDescent="0.3">
      <c r="A26" s="10" t="s">
        <v>189</v>
      </c>
      <c r="B26" s="10"/>
      <c r="C26" s="126">
        <v>0.13</v>
      </c>
      <c r="D26" s="32" t="s">
        <v>185</v>
      </c>
      <c r="E26" s="129">
        <f t="shared" ref="E26:F28" si="2">I26+G26+K26</f>
        <v>266246</v>
      </c>
      <c r="F26" s="131">
        <f t="shared" si="2"/>
        <v>34611.9</v>
      </c>
      <c r="G26" s="134">
        <f>노무비목록표!E6</f>
        <v>266246</v>
      </c>
      <c r="H26" s="137">
        <f>IF(C26=0,0,ROUNDDOWN(G26*C26,1))</f>
        <v>34611.9</v>
      </c>
      <c r="I26" s="135">
        <v>0</v>
      </c>
      <c r="J26" s="132">
        <f>IF(C26=0,0,ROUNDDOWN(I26*C26,1))</f>
        <v>0</v>
      </c>
      <c r="K26" s="135">
        <v>0</v>
      </c>
      <c r="L26" s="131">
        <f>IF(C26=0,0,ROUNDDOWN(K26*C26,1))</f>
        <v>0</v>
      </c>
      <c r="M26" s="23" t="s">
        <v>761</v>
      </c>
      <c r="N26" s="17" t="s">
        <v>759</v>
      </c>
      <c r="O26" s="7" t="s">
        <v>760</v>
      </c>
      <c r="P26" s="7" t="s">
        <v>768</v>
      </c>
      <c r="Z26" s="3" t="str">
        <f ca="1">HYPERLINK("#"&amp;노무비목록표!G2&amp;"!A"&amp;ROW(노무비목록표!A6),"L00019 →")</f>
        <v>L00019 →</v>
      </c>
    </row>
    <row r="27" spans="1:26" ht="28.7" customHeight="1" x14ac:dyDescent="0.3">
      <c r="A27" s="10" t="s">
        <v>184</v>
      </c>
      <c r="B27" s="10"/>
      <c r="C27" s="126">
        <v>0.04</v>
      </c>
      <c r="D27" s="32" t="s">
        <v>185</v>
      </c>
      <c r="E27" s="129">
        <f t="shared" si="2"/>
        <v>169804</v>
      </c>
      <c r="F27" s="131">
        <f t="shared" si="2"/>
        <v>6792.1</v>
      </c>
      <c r="G27" s="134">
        <f>노무비목록표!E4</f>
        <v>169804</v>
      </c>
      <c r="H27" s="137">
        <f>IF(C27=0,0,ROUNDDOWN(G27*C27,1))</f>
        <v>6792.1</v>
      </c>
      <c r="I27" s="135">
        <v>0</v>
      </c>
      <c r="J27" s="132">
        <f>IF(C27=0,0,ROUNDDOWN(I27*C27,1))</f>
        <v>0</v>
      </c>
      <c r="K27" s="135">
        <v>0</v>
      </c>
      <c r="L27" s="131">
        <f>IF(C27=0,0,ROUNDDOWN(K27*C27,1))</f>
        <v>0</v>
      </c>
      <c r="M27" s="23" t="s">
        <v>764</v>
      </c>
      <c r="N27" s="17" t="s">
        <v>762</v>
      </c>
      <c r="O27" s="7" t="s">
        <v>763</v>
      </c>
      <c r="P27" s="7" t="s">
        <v>768</v>
      </c>
      <c r="Z27" s="3" t="str">
        <f ca="1">HYPERLINK("#"&amp;노무비목록표!G2&amp;"!A"&amp;ROW(노무비목록표!A4),"L00002 →")</f>
        <v>L00002 →</v>
      </c>
    </row>
    <row r="28" spans="1:26" ht="28.7" customHeight="1" x14ac:dyDescent="0.3">
      <c r="A28" s="10" t="s">
        <v>137</v>
      </c>
      <c r="B28" s="10" t="s">
        <v>138</v>
      </c>
      <c r="C28" s="126">
        <v>0.25</v>
      </c>
      <c r="D28" s="32" t="s">
        <v>105</v>
      </c>
      <c r="E28" s="129">
        <f t="shared" si="2"/>
        <v>107336</v>
      </c>
      <c r="F28" s="131">
        <f t="shared" si="2"/>
        <v>26833.9</v>
      </c>
      <c r="G28" s="134">
        <f>중기목록표!F14</f>
        <v>57077</v>
      </c>
      <c r="H28" s="138">
        <f>IF(C28=0,0,ROUNDDOWN(G28*C28,1))</f>
        <v>14269.2</v>
      </c>
      <c r="I28" s="134">
        <f>중기목록표!G14</f>
        <v>18138</v>
      </c>
      <c r="J28" s="138">
        <f>IF(C28=0,0,ROUNDDOWN(I28*C28,1))</f>
        <v>4534.5</v>
      </c>
      <c r="K28" s="134">
        <f>중기목록표!H14</f>
        <v>32121</v>
      </c>
      <c r="L28" s="138">
        <f>IF(C28=0,0,ROUNDDOWN(K28*C28,1))</f>
        <v>8030.2</v>
      </c>
      <c r="M28" s="23" t="s">
        <v>767</v>
      </c>
      <c r="N28" s="17" t="s">
        <v>765</v>
      </c>
      <c r="O28" s="7" t="s">
        <v>766</v>
      </c>
      <c r="P28" s="7" t="s">
        <v>768</v>
      </c>
      <c r="Z28" s="3" t="str">
        <f ca="1">HYPERLINK("#"&amp;중기목록표!J2&amp;"!A"&amp;ROW(중기목록표!A14),"X00087 →")</f>
        <v>X00087 →</v>
      </c>
    </row>
    <row r="29" spans="1:26" ht="28.7" customHeight="1" x14ac:dyDescent="0.3">
      <c r="A29" s="23" t="s">
        <v>769</v>
      </c>
      <c r="B29" s="123"/>
      <c r="C29" s="123"/>
      <c r="D29" s="123"/>
      <c r="E29" s="123"/>
      <c r="F29" s="99">
        <f>J29+H29+L29</f>
        <v>68237</v>
      </c>
      <c r="G29" s="123"/>
      <c r="H29" s="99">
        <f>ROUNDDOWN(SUMIF(P25:P28,O29,H25:H28),0)</f>
        <v>55673</v>
      </c>
      <c r="I29" s="123"/>
      <c r="J29" s="99">
        <f>ROUNDDOWN(SUMIF(P25:P28,O29,J25:J28),0)</f>
        <v>4534</v>
      </c>
      <c r="K29" s="123"/>
      <c r="L29" s="99">
        <f>ROUNDDOWN(SUMIF(P25:P28,O29,L25:L28),0)</f>
        <v>8030</v>
      </c>
      <c r="M29" s="123"/>
      <c r="O29" s="7" t="s">
        <v>768</v>
      </c>
      <c r="P29" s="7" t="s">
        <v>770</v>
      </c>
    </row>
    <row r="30" spans="1:26" ht="28.7" customHeight="1" x14ac:dyDescent="0.3">
      <c r="A30" s="14" t="s">
        <v>771</v>
      </c>
      <c r="B30" s="14"/>
      <c r="C30" s="127">
        <v>88</v>
      </c>
      <c r="D30" s="14"/>
      <c r="E30" s="130"/>
      <c r="F30" s="98">
        <f>J30+H30+L30</f>
        <v>60047</v>
      </c>
      <c r="G30" s="130"/>
      <c r="H30" s="98">
        <f>ROUNDDOWN(H29*C30/100,0)</f>
        <v>48992</v>
      </c>
      <c r="I30" s="130"/>
      <c r="J30" s="98">
        <f>ROUNDDOWN(J29*C30/100,0)</f>
        <v>3989</v>
      </c>
      <c r="K30" s="130"/>
      <c r="L30" s="98">
        <f>ROUNDDOWN(L29*C30/100,0)</f>
        <v>7066</v>
      </c>
      <c r="M30" s="130"/>
      <c r="O30" s="7" t="s">
        <v>770</v>
      </c>
    </row>
    <row r="31" spans="1:26" ht="28.7" customHeight="1" x14ac:dyDescent="0.3">
      <c r="A31" s="39" t="s">
        <v>22</v>
      </c>
      <c r="B31" s="39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41" t="str">
        <f>HYPERLINK("#N"&amp;ROW(N36),"_x0005_`BDCOD|B01095_x0007_`POSS|"&amp;ROW(N33)&amp;"_x0007_`POSE|"&amp;ROW(N36)&amp;"_x0007_`")</f>
        <v>_x0005_`BDCOD|B01095_x0007_`POSS|33_x0007_`POSE|36_x0007_`</v>
      </c>
    </row>
    <row r="32" spans="1:26" ht="28.7" customHeight="1" x14ac:dyDescent="0.3">
      <c r="A32" s="122" t="s">
        <v>12</v>
      </c>
      <c r="B32" s="122" t="s">
        <v>24</v>
      </c>
      <c r="C32" s="125"/>
      <c r="D32" s="128" t="s">
        <v>14</v>
      </c>
      <c r="E32" s="125"/>
      <c r="F32" s="125"/>
      <c r="G32" s="125"/>
      <c r="H32" s="125"/>
      <c r="I32" s="125"/>
      <c r="J32" s="125"/>
      <c r="K32" s="125"/>
      <c r="L32" s="125"/>
      <c r="M32" s="128" t="s">
        <v>781</v>
      </c>
      <c r="O32" s="7" t="s">
        <v>781</v>
      </c>
    </row>
    <row r="33" spans="1:26" ht="28.7" customHeight="1" x14ac:dyDescent="0.3">
      <c r="A33" s="10" t="s">
        <v>754</v>
      </c>
      <c r="B33" s="10" t="s">
        <v>782</v>
      </c>
      <c r="C33" s="126">
        <v>0</v>
      </c>
      <c r="D33" s="32"/>
      <c r="E33" s="22">
        <v>0</v>
      </c>
      <c r="F33" s="11">
        <v>0</v>
      </c>
      <c r="G33" s="133"/>
      <c r="H33" s="11">
        <v>0</v>
      </c>
      <c r="I33" s="133"/>
      <c r="J33" s="22">
        <v>0</v>
      </c>
      <c r="K33" s="139"/>
      <c r="L33" s="22">
        <v>0</v>
      </c>
      <c r="M33" s="23" t="s">
        <v>758</v>
      </c>
      <c r="N33" s="17" t="s">
        <v>756</v>
      </c>
      <c r="O33" s="7" t="s">
        <v>757</v>
      </c>
      <c r="P33" s="7" t="s">
        <v>757</v>
      </c>
    </row>
    <row r="34" spans="1:26" ht="28.7" customHeight="1" x14ac:dyDescent="0.3">
      <c r="A34" s="10" t="s">
        <v>189</v>
      </c>
      <c r="B34" s="10"/>
      <c r="C34" s="126">
        <v>0.11</v>
      </c>
      <c r="D34" s="32" t="s">
        <v>185</v>
      </c>
      <c r="E34" s="129">
        <f t="shared" ref="E34:F36" si="3">I34+G34+K34</f>
        <v>266246</v>
      </c>
      <c r="F34" s="131">
        <f t="shared" si="3"/>
        <v>29287</v>
      </c>
      <c r="G34" s="134">
        <f>노무비목록표!E6</f>
        <v>266246</v>
      </c>
      <c r="H34" s="137">
        <f>IF(C34=0,0,ROUNDDOWN(G34*C34,1))</f>
        <v>29287</v>
      </c>
      <c r="I34" s="135">
        <v>0</v>
      </c>
      <c r="J34" s="132">
        <f>IF(C34=0,0,ROUNDDOWN(I34*C34,1))</f>
        <v>0</v>
      </c>
      <c r="K34" s="135">
        <v>0</v>
      </c>
      <c r="L34" s="131">
        <f>IF(C34=0,0,ROUNDDOWN(K34*C34,1))</f>
        <v>0</v>
      </c>
      <c r="M34" s="23" t="s">
        <v>761</v>
      </c>
      <c r="N34" s="17" t="s">
        <v>759</v>
      </c>
      <c r="O34" s="7" t="s">
        <v>760</v>
      </c>
      <c r="P34" s="7" t="s">
        <v>768</v>
      </c>
      <c r="Z34" s="3" t="str">
        <f ca="1">HYPERLINK("#"&amp;노무비목록표!G2&amp;"!A"&amp;ROW(노무비목록표!A6),"L00019 →")</f>
        <v>L00019 →</v>
      </c>
    </row>
    <row r="35" spans="1:26" ht="28.7" customHeight="1" x14ac:dyDescent="0.3">
      <c r="A35" s="10" t="s">
        <v>184</v>
      </c>
      <c r="B35" s="10"/>
      <c r="C35" s="126">
        <v>0.04</v>
      </c>
      <c r="D35" s="32" t="s">
        <v>185</v>
      </c>
      <c r="E35" s="129">
        <f t="shared" si="3"/>
        <v>169804</v>
      </c>
      <c r="F35" s="131">
        <f t="shared" si="3"/>
        <v>6792.1</v>
      </c>
      <c r="G35" s="134">
        <f>노무비목록표!E4</f>
        <v>169804</v>
      </c>
      <c r="H35" s="137">
        <f>IF(C35=0,0,ROUNDDOWN(G35*C35,1))</f>
        <v>6792.1</v>
      </c>
      <c r="I35" s="135">
        <v>0</v>
      </c>
      <c r="J35" s="132">
        <f>IF(C35=0,0,ROUNDDOWN(I35*C35,1))</f>
        <v>0</v>
      </c>
      <c r="K35" s="135">
        <v>0</v>
      </c>
      <c r="L35" s="131">
        <f>IF(C35=0,0,ROUNDDOWN(K35*C35,1))</f>
        <v>0</v>
      </c>
      <c r="M35" s="23" t="s">
        <v>764</v>
      </c>
      <c r="N35" s="17" t="s">
        <v>762</v>
      </c>
      <c r="O35" s="7" t="s">
        <v>763</v>
      </c>
      <c r="P35" s="7" t="s">
        <v>768</v>
      </c>
      <c r="Z35" s="3" t="str">
        <f ca="1">HYPERLINK("#"&amp;노무비목록표!G2&amp;"!A"&amp;ROW(노무비목록표!A4),"L00002 →")</f>
        <v>L00002 →</v>
      </c>
    </row>
    <row r="36" spans="1:26" ht="28.7" customHeight="1" x14ac:dyDescent="0.3">
      <c r="A36" s="10" t="s">
        <v>137</v>
      </c>
      <c r="B36" s="10" t="s">
        <v>138</v>
      </c>
      <c r="C36" s="126">
        <v>0.22</v>
      </c>
      <c r="D36" s="32" t="s">
        <v>105</v>
      </c>
      <c r="E36" s="129">
        <f t="shared" si="3"/>
        <v>107336</v>
      </c>
      <c r="F36" s="131">
        <f t="shared" si="3"/>
        <v>23613.800000000003</v>
      </c>
      <c r="G36" s="134">
        <f>중기목록표!F14</f>
        <v>57077</v>
      </c>
      <c r="H36" s="138">
        <f>IF(C36=0,0,ROUNDDOWN(G36*C36,1))</f>
        <v>12556.9</v>
      </c>
      <c r="I36" s="134">
        <f>중기목록표!G14</f>
        <v>18138</v>
      </c>
      <c r="J36" s="138">
        <f>IF(C36=0,0,ROUNDDOWN(I36*C36,1))</f>
        <v>3990.3</v>
      </c>
      <c r="K36" s="134">
        <f>중기목록표!H14</f>
        <v>32121</v>
      </c>
      <c r="L36" s="138">
        <f>IF(C36=0,0,ROUNDDOWN(K36*C36,1))</f>
        <v>7066.6</v>
      </c>
      <c r="M36" s="23" t="s">
        <v>767</v>
      </c>
      <c r="N36" s="17" t="s">
        <v>765</v>
      </c>
      <c r="O36" s="7" t="s">
        <v>766</v>
      </c>
      <c r="P36" s="7" t="s">
        <v>768</v>
      </c>
      <c r="Z36" s="3" t="str">
        <f ca="1">HYPERLINK("#"&amp;중기목록표!J2&amp;"!A"&amp;ROW(중기목록표!A14),"X00087 →")</f>
        <v>X00087 →</v>
      </c>
    </row>
    <row r="37" spans="1:26" ht="28.7" customHeight="1" x14ac:dyDescent="0.3">
      <c r="A37" s="23" t="s">
        <v>769</v>
      </c>
      <c r="B37" s="123"/>
      <c r="C37" s="123"/>
      <c r="D37" s="123"/>
      <c r="E37" s="123"/>
      <c r="F37" s="99">
        <f>J37+H37+L37</f>
        <v>59692</v>
      </c>
      <c r="G37" s="123"/>
      <c r="H37" s="99">
        <f>ROUNDDOWN(SUMIF(P33:P36,O37,H33:H36),0)</f>
        <v>48636</v>
      </c>
      <c r="I37" s="123"/>
      <c r="J37" s="99">
        <f>ROUNDDOWN(SUMIF(P33:P36,O37,J33:J36),0)</f>
        <v>3990</v>
      </c>
      <c r="K37" s="123"/>
      <c r="L37" s="99">
        <f>ROUNDDOWN(SUMIF(P33:P36,O37,L33:L36),0)</f>
        <v>7066</v>
      </c>
      <c r="M37" s="123"/>
      <c r="O37" s="7" t="s">
        <v>768</v>
      </c>
      <c r="P37" s="7" t="s">
        <v>770</v>
      </c>
    </row>
    <row r="38" spans="1:26" ht="28.7" customHeight="1" x14ac:dyDescent="0.3">
      <c r="A38" s="14" t="s">
        <v>771</v>
      </c>
      <c r="B38" s="14"/>
      <c r="C38" s="127">
        <v>88</v>
      </c>
      <c r="D38" s="14"/>
      <c r="E38" s="130"/>
      <c r="F38" s="98">
        <f>J38+H38+L38</f>
        <v>52528</v>
      </c>
      <c r="G38" s="130"/>
      <c r="H38" s="98">
        <f>ROUNDDOWN(H37*C38/100,0)</f>
        <v>42799</v>
      </c>
      <c r="I38" s="130"/>
      <c r="J38" s="98">
        <f>ROUNDDOWN(J37*C38/100,0)</f>
        <v>3511</v>
      </c>
      <c r="K38" s="130"/>
      <c r="L38" s="98">
        <f>ROUNDDOWN(L37*C38/100,0)</f>
        <v>6218</v>
      </c>
      <c r="M38" s="130"/>
      <c r="O38" s="7" t="s">
        <v>770</v>
      </c>
    </row>
    <row r="39" spans="1:26" ht="28.7" customHeight="1" x14ac:dyDescent="0.3">
      <c r="A39" s="39" t="s">
        <v>25</v>
      </c>
      <c r="B39" s="39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41" t="str">
        <f>HYPERLINK("#N"&amp;ROW(N43),"_x0005_`BDCOD|B01097_x0007_`POSS|"&amp;ROW(N41)&amp;"_x0007_`POSE|"&amp;ROW(N43)&amp;"_x0007_`")</f>
        <v>_x0005_`BDCOD|B01097_x0007_`POSS|41_x0007_`POSE|43_x0007_`</v>
      </c>
    </row>
    <row r="40" spans="1:26" ht="28.7" customHeight="1" x14ac:dyDescent="0.3">
      <c r="A40" s="122" t="s">
        <v>27</v>
      </c>
      <c r="B40" s="122" t="s">
        <v>28</v>
      </c>
      <c r="C40" s="125"/>
      <c r="D40" s="128" t="s">
        <v>29</v>
      </c>
      <c r="E40" s="125"/>
      <c r="F40" s="125"/>
      <c r="G40" s="125"/>
      <c r="H40" s="125"/>
      <c r="I40" s="125"/>
      <c r="J40" s="125"/>
      <c r="K40" s="125"/>
      <c r="L40" s="125"/>
      <c r="M40" s="128" t="s">
        <v>783</v>
      </c>
      <c r="O40" s="7" t="s">
        <v>783</v>
      </c>
    </row>
    <row r="41" spans="1:26" ht="28.7" customHeight="1" x14ac:dyDescent="0.3">
      <c r="A41" s="10" t="s">
        <v>27</v>
      </c>
      <c r="B41" s="10" t="s">
        <v>28</v>
      </c>
      <c r="C41" s="126">
        <v>0</v>
      </c>
      <c r="D41" s="32"/>
      <c r="E41" s="22">
        <v>0</v>
      </c>
      <c r="F41" s="11">
        <v>0</v>
      </c>
      <c r="G41" s="133"/>
      <c r="H41" s="11">
        <v>0</v>
      </c>
      <c r="I41" s="133"/>
      <c r="J41" s="22">
        <v>0</v>
      </c>
      <c r="K41" s="139"/>
      <c r="L41" s="22">
        <v>0</v>
      </c>
      <c r="M41" s="23" t="s">
        <v>758</v>
      </c>
      <c r="N41" s="17" t="s">
        <v>756</v>
      </c>
      <c r="O41" s="7" t="s">
        <v>757</v>
      </c>
      <c r="P41" s="7" t="s">
        <v>757</v>
      </c>
    </row>
    <row r="42" spans="1:26" ht="28.7" customHeight="1" x14ac:dyDescent="0.3">
      <c r="A42" s="10" t="s">
        <v>32</v>
      </c>
      <c r="B42" s="10" t="s">
        <v>28</v>
      </c>
      <c r="C42" s="126">
        <v>0.2</v>
      </c>
      <c r="D42" s="32" t="s">
        <v>14</v>
      </c>
      <c r="E42" s="129">
        <f>I42+G42+K42</f>
        <v>69277</v>
      </c>
      <c r="F42" s="131">
        <f>J42+H42+L42</f>
        <v>13855.400000000001</v>
      </c>
      <c r="G42" s="134">
        <f>일위대가목록표!F9</f>
        <v>51637</v>
      </c>
      <c r="H42" s="138">
        <f>IF(C42=0,0,ROUNDDOWN(G42*C42,1))</f>
        <v>10327.4</v>
      </c>
      <c r="I42" s="134">
        <f>일위대가목록표!G9</f>
        <v>6366</v>
      </c>
      <c r="J42" s="138">
        <f>IF(C42=0,0,ROUNDDOWN(I42*C42,1))</f>
        <v>1273.2</v>
      </c>
      <c r="K42" s="134">
        <f>일위대가목록표!H9</f>
        <v>11274</v>
      </c>
      <c r="L42" s="138">
        <f>IF(C42=0,0,ROUNDDOWN(K42*C42,1))</f>
        <v>2254.8000000000002</v>
      </c>
      <c r="M42" s="23" t="s">
        <v>786</v>
      </c>
      <c r="N42" s="17" t="s">
        <v>784</v>
      </c>
      <c r="O42" s="7" t="s">
        <v>785</v>
      </c>
      <c r="P42" s="7" t="s">
        <v>768</v>
      </c>
      <c r="Z42" s="3" t="str">
        <f ca="1">HYPERLINK("#"&amp;일위대가목록표!J2&amp;"!A"&amp;ROW(일위대가목록표!A9),"B01098 →")</f>
        <v>B01098 →</v>
      </c>
    </row>
    <row r="43" spans="1:26" ht="28.7" customHeight="1" x14ac:dyDescent="0.3">
      <c r="A43" s="10" t="s">
        <v>50</v>
      </c>
      <c r="B43" s="10" t="s">
        <v>51</v>
      </c>
      <c r="C43" s="126">
        <v>0.02</v>
      </c>
      <c r="D43" s="32" t="s">
        <v>52</v>
      </c>
      <c r="E43" s="129">
        <f>I43+G43+K43</f>
        <v>20800</v>
      </c>
      <c r="F43" s="131">
        <f>J43+H43+L43</f>
        <v>415.9</v>
      </c>
      <c r="G43" s="134">
        <f>단가산출근거목록표!F4</f>
        <v>14811</v>
      </c>
      <c r="H43" s="138">
        <f>IF(C43=0,0,ROUNDDOWN(G43*C43,1))</f>
        <v>296.2</v>
      </c>
      <c r="I43" s="134">
        <f>단가산출근거목록표!G4</f>
        <v>1979</v>
      </c>
      <c r="J43" s="138">
        <f>IF(C43=0,0,ROUNDDOWN(I43*C43,1))</f>
        <v>39.5</v>
      </c>
      <c r="K43" s="134">
        <f>단가산출근거목록표!H4</f>
        <v>4010</v>
      </c>
      <c r="L43" s="138">
        <f>IF(C43=0,0,ROUNDDOWN(K43*C43,1))</f>
        <v>80.2</v>
      </c>
      <c r="M43" s="23" t="s">
        <v>789</v>
      </c>
      <c r="N43" s="17" t="s">
        <v>787</v>
      </c>
      <c r="O43" s="7" t="s">
        <v>788</v>
      </c>
      <c r="P43" s="7" t="s">
        <v>768</v>
      </c>
      <c r="Z43" s="3" t="str">
        <f ca="1">HYPERLINK("#"&amp;단가산출근거목록표!J2&amp;"!A"&amp;ROW(단가산출근거목록표!A4),"D00150 →")</f>
        <v>D00150 →</v>
      </c>
    </row>
    <row r="44" spans="1:26" ht="28.7" customHeight="1" x14ac:dyDescent="0.3">
      <c r="A44" s="23" t="s">
        <v>769</v>
      </c>
      <c r="B44" s="123"/>
      <c r="C44" s="123"/>
      <c r="D44" s="123"/>
      <c r="E44" s="123"/>
      <c r="F44" s="99">
        <f>J44+H44+L44</f>
        <v>14270</v>
      </c>
      <c r="G44" s="123"/>
      <c r="H44" s="99">
        <f>ROUNDDOWN(SUMIF(P41:P43,O44,H41:H43),0)</f>
        <v>10623</v>
      </c>
      <c r="I44" s="123"/>
      <c r="J44" s="99">
        <f>ROUNDDOWN(SUMIF(P41:P43,O44,J41:J43),0)</f>
        <v>1312</v>
      </c>
      <c r="K44" s="123"/>
      <c r="L44" s="99">
        <f>ROUNDDOWN(SUMIF(P41:P43,O44,L41:L43),0)</f>
        <v>2335</v>
      </c>
      <c r="M44" s="123"/>
      <c r="O44" s="7" t="s">
        <v>768</v>
      </c>
      <c r="P44" s="7" t="s">
        <v>770</v>
      </c>
    </row>
    <row r="45" spans="1:26" ht="28.7" customHeight="1" x14ac:dyDescent="0.3">
      <c r="A45" s="14" t="s">
        <v>771</v>
      </c>
      <c r="B45" s="14"/>
      <c r="C45" s="127">
        <v>88</v>
      </c>
      <c r="D45" s="14"/>
      <c r="E45" s="130"/>
      <c r="F45" s="98">
        <f>J45+H45+L45</f>
        <v>12556</v>
      </c>
      <c r="G45" s="130"/>
      <c r="H45" s="98">
        <f>ROUNDDOWN(H44*C45/100,0)</f>
        <v>9348</v>
      </c>
      <c r="I45" s="130"/>
      <c r="J45" s="98">
        <f>ROUNDDOWN(J44*C45/100,0)</f>
        <v>1154</v>
      </c>
      <c r="K45" s="130"/>
      <c r="L45" s="98">
        <f>ROUNDDOWN(L44*C45/100,0)</f>
        <v>2054</v>
      </c>
      <c r="M45" s="130"/>
      <c r="O45" s="7" t="s">
        <v>770</v>
      </c>
    </row>
    <row r="46" spans="1:26" ht="28.7" customHeight="1" x14ac:dyDescent="0.3">
      <c r="A46" s="39" t="s">
        <v>30</v>
      </c>
      <c r="B46" s="39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41" t="str">
        <f>HYPERLINK("#N"&amp;ROW(N53),"_x0005_`BDCOD|B01098_x0007_`POSS|"&amp;ROW(N48)&amp;"_x0007_`POSE|"&amp;ROW(N53)&amp;"_x0007_`")</f>
        <v>_x0005_`BDCOD|B01098_x0007_`POSS|48_x0007_`POSE|53_x0007_`</v>
      </c>
    </row>
    <row r="47" spans="1:26" ht="28.7" customHeight="1" x14ac:dyDescent="0.3">
      <c r="A47" s="122" t="s">
        <v>32</v>
      </c>
      <c r="B47" s="122" t="s">
        <v>28</v>
      </c>
      <c r="C47" s="125"/>
      <c r="D47" s="128" t="s">
        <v>14</v>
      </c>
      <c r="E47" s="125"/>
      <c r="F47" s="125"/>
      <c r="G47" s="125"/>
      <c r="H47" s="125"/>
      <c r="I47" s="125"/>
      <c r="J47" s="125"/>
      <c r="K47" s="125"/>
      <c r="L47" s="125"/>
      <c r="M47" s="128" t="s">
        <v>790</v>
      </c>
      <c r="O47" s="7" t="s">
        <v>790</v>
      </c>
    </row>
    <row r="48" spans="1:26" ht="28.7" customHeight="1" x14ac:dyDescent="0.3">
      <c r="A48" s="10" t="s">
        <v>754</v>
      </c>
      <c r="B48" s="10" t="s">
        <v>773</v>
      </c>
      <c r="C48" s="126">
        <v>0</v>
      </c>
      <c r="D48" s="32"/>
      <c r="E48" s="22">
        <v>0</v>
      </c>
      <c r="F48" s="11">
        <v>0</v>
      </c>
      <c r="G48" s="133"/>
      <c r="H48" s="11">
        <v>0</v>
      </c>
      <c r="I48" s="133"/>
      <c r="J48" s="22">
        <v>0</v>
      </c>
      <c r="K48" s="139"/>
      <c r="L48" s="22">
        <v>0</v>
      </c>
      <c r="M48" s="23" t="s">
        <v>758</v>
      </c>
      <c r="N48" s="17" t="s">
        <v>756</v>
      </c>
      <c r="O48" s="7" t="s">
        <v>757</v>
      </c>
      <c r="P48" s="7" t="s">
        <v>757</v>
      </c>
    </row>
    <row r="49" spans="1:26" ht="28.7" customHeight="1" x14ac:dyDescent="0.3">
      <c r="A49" s="10" t="s">
        <v>189</v>
      </c>
      <c r="B49" s="10"/>
      <c r="C49" s="126">
        <v>0.1</v>
      </c>
      <c r="D49" s="32" t="s">
        <v>185</v>
      </c>
      <c r="E49" s="129">
        <f t="shared" ref="E49:F51" si="4">I49+G49+K49</f>
        <v>266246</v>
      </c>
      <c r="F49" s="131">
        <f t="shared" si="4"/>
        <v>26624.6</v>
      </c>
      <c r="G49" s="134">
        <f>노무비목록표!E6</f>
        <v>266246</v>
      </c>
      <c r="H49" s="137">
        <f>IF(C49=0,0,ROUNDDOWN(G49*C49,1))</f>
        <v>26624.6</v>
      </c>
      <c r="I49" s="135">
        <v>0</v>
      </c>
      <c r="J49" s="132">
        <f>IF(C49=0,0,ROUNDDOWN(I49*C49,1))</f>
        <v>0</v>
      </c>
      <c r="K49" s="135">
        <v>0</v>
      </c>
      <c r="L49" s="131">
        <f>IF(C49=0,0,ROUNDDOWN(K49*C49,1))</f>
        <v>0</v>
      </c>
      <c r="M49" s="23" t="s">
        <v>761</v>
      </c>
      <c r="N49" s="17" t="s">
        <v>759</v>
      </c>
      <c r="O49" s="7" t="s">
        <v>760</v>
      </c>
      <c r="P49" s="7" t="s">
        <v>776</v>
      </c>
      <c r="Z49" s="3" t="str">
        <f ca="1">HYPERLINK("#"&amp;노무비목록표!G2&amp;"!A"&amp;ROW(노무비목록표!A6),"L00019 →")</f>
        <v>L00019 →</v>
      </c>
    </row>
    <row r="50" spans="1:26" ht="28.7" customHeight="1" x14ac:dyDescent="0.3">
      <c r="A50" s="10" t="s">
        <v>184</v>
      </c>
      <c r="B50" s="10"/>
      <c r="C50" s="126">
        <v>0.05</v>
      </c>
      <c r="D50" s="32" t="s">
        <v>185</v>
      </c>
      <c r="E50" s="129">
        <f t="shared" si="4"/>
        <v>169804</v>
      </c>
      <c r="F50" s="131">
        <f t="shared" si="4"/>
        <v>8490.2000000000007</v>
      </c>
      <c r="G50" s="134">
        <f>노무비목록표!E4</f>
        <v>169804</v>
      </c>
      <c r="H50" s="137">
        <f>IF(C50=0,0,ROUNDDOWN(G50*C50,1))</f>
        <v>8490.2000000000007</v>
      </c>
      <c r="I50" s="135">
        <v>0</v>
      </c>
      <c r="J50" s="132">
        <f>IF(C50=0,0,ROUNDDOWN(I50*C50,1))</f>
        <v>0</v>
      </c>
      <c r="K50" s="135">
        <v>0</v>
      </c>
      <c r="L50" s="131">
        <f>IF(C50=0,0,ROUNDDOWN(K50*C50,1))</f>
        <v>0</v>
      </c>
      <c r="M50" s="23" t="s">
        <v>764</v>
      </c>
      <c r="N50" s="17" t="s">
        <v>762</v>
      </c>
      <c r="O50" s="7" t="s">
        <v>763</v>
      </c>
      <c r="P50" s="7" t="s">
        <v>776</v>
      </c>
      <c r="Z50" s="3" t="str">
        <f ca="1">HYPERLINK("#"&amp;노무비목록표!G2&amp;"!A"&amp;ROW(노무비목록표!A4),"L00002 →")</f>
        <v>L00002 →</v>
      </c>
    </row>
    <row r="51" spans="1:26" ht="28.7" customHeight="1" x14ac:dyDescent="0.3">
      <c r="A51" s="10" t="s">
        <v>137</v>
      </c>
      <c r="B51" s="10" t="s">
        <v>138</v>
      </c>
      <c r="C51" s="126">
        <v>0.39</v>
      </c>
      <c r="D51" s="32" t="s">
        <v>105</v>
      </c>
      <c r="E51" s="129">
        <f t="shared" si="4"/>
        <v>107336</v>
      </c>
      <c r="F51" s="131">
        <f t="shared" si="4"/>
        <v>41860.9</v>
      </c>
      <c r="G51" s="134">
        <f>중기목록표!F14</f>
        <v>57077</v>
      </c>
      <c r="H51" s="138">
        <f>IF(C51=0,0,ROUNDDOWN(G51*C51,1))</f>
        <v>22260</v>
      </c>
      <c r="I51" s="134">
        <f>중기목록표!G14</f>
        <v>18138</v>
      </c>
      <c r="J51" s="138">
        <f>IF(C51=0,0,ROUNDDOWN(I51*C51,1))</f>
        <v>7073.8</v>
      </c>
      <c r="K51" s="134">
        <f>중기목록표!H14</f>
        <v>32121</v>
      </c>
      <c r="L51" s="138">
        <f>IF(C51=0,0,ROUNDDOWN(K51*C51,1))</f>
        <v>12527.1</v>
      </c>
      <c r="M51" s="23" t="s">
        <v>767</v>
      </c>
      <c r="N51" s="17" t="s">
        <v>765</v>
      </c>
      <c r="O51" s="7" t="s">
        <v>766</v>
      </c>
      <c r="P51" s="7" t="s">
        <v>776</v>
      </c>
      <c r="Z51" s="3" t="str">
        <f ca="1">HYPERLINK("#"&amp;중기목록표!J2&amp;"!A"&amp;ROW(중기목록표!A14),"X00087 →")</f>
        <v>X00087 →</v>
      </c>
    </row>
    <row r="52" spans="1:26" ht="28.7" customHeight="1" x14ac:dyDescent="0.3">
      <c r="A52" s="10" t="s">
        <v>774</v>
      </c>
      <c r="B52" s="10"/>
      <c r="C52" s="126">
        <v>0</v>
      </c>
      <c r="D52" s="32"/>
      <c r="E52" s="22">
        <v>0</v>
      </c>
      <c r="F52" s="132">
        <f>J52+H52+L52</f>
        <v>76975.700000000012</v>
      </c>
      <c r="G52" s="133"/>
      <c r="H52" s="132">
        <f>SUMIF(P48:P51,O52,H48:H51)</f>
        <v>57374.8</v>
      </c>
      <c r="I52" s="133"/>
      <c r="J52" s="131">
        <f>SUMIF(P48:P51,O52,J48:J51)</f>
        <v>7073.8</v>
      </c>
      <c r="K52" s="139"/>
      <c r="L52" s="131">
        <f>SUMIF(P48:P51,O52,L48:L51)</f>
        <v>12527.1</v>
      </c>
      <c r="M52" s="23"/>
      <c r="N52" s="17" t="s">
        <v>775</v>
      </c>
      <c r="O52" s="7" t="s">
        <v>776</v>
      </c>
    </row>
    <row r="53" spans="1:26" ht="28.7" customHeight="1" x14ac:dyDescent="0.3">
      <c r="A53" s="10" t="s">
        <v>215</v>
      </c>
      <c r="B53" s="10" t="s">
        <v>216</v>
      </c>
      <c r="C53" s="126">
        <v>90</v>
      </c>
      <c r="D53" s="32" t="s">
        <v>163</v>
      </c>
      <c r="E53" s="129">
        <f>I53+G53+K53</f>
        <v>76975.700000000012</v>
      </c>
      <c r="F53" s="132">
        <f>J53+H53+L53</f>
        <v>69278</v>
      </c>
      <c r="G53" s="135">
        <v>57374.8</v>
      </c>
      <c r="H53" s="132">
        <f>IF(C53=0,0,ROUNDDOWN(G53*C53/100,1))</f>
        <v>51637.3</v>
      </c>
      <c r="I53" s="135">
        <v>7073.8</v>
      </c>
      <c r="J53" s="132">
        <f>IF(C53=0,0,ROUNDDOWN(I53*C53/100,1))</f>
        <v>6366.4</v>
      </c>
      <c r="K53" s="135">
        <v>12527.1</v>
      </c>
      <c r="L53" s="131">
        <f>IF(C53=0,0,ROUNDDOWN(K53*C53/100,1))</f>
        <v>11274.3</v>
      </c>
      <c r="M53" s="23" t="s">
        <v>779</v>
      </c>
      <c r="N53" s="17" t="s">
        <v>777</v>
      </c>
      <c r="O53" s="7" t="s">
        <v>778</v>
      </c>
      <c r="P53" s="7" t="s">
        <v>768</v>
      </c>
      <c r="Z53" s="3" t="str">
        <f ca="1">HYPERLINK("#"&amp;일식견적목록표!J2&amp;"!A"&amp;ROW(일식견적목록표!A4),"W00005 →")</f>
        <v>W00005 →</v>
      </c>
    </row>
    <row r="54" spans="1:26" ht="28.7" customHeight="1" x14ac:dyDescent="0.3">
      <c r="A54" s="23" t="s">
        <v>6</v>
      </c>
      <c r="B54" s="123"/>
      <c r="C54" s="123"/>
      <c r="D54" s="123"/>
      <c r="E54" s="123"/>
      <c r="F54" s="99">
        <f>J54+H54+L54</f>
        <v>69277</v>
      </c>
      <c r="G54" s="123"/>
      <c r="H54" s="99">
        <f>ROUNDDOWN(SUMIF(P48:P53,O54,H48:H53),0)</f>
        <v>51637</v>
      </c>
      <c r="I54" s="123"/>
      <c r="J54" s="99">
        <f>ROUNDDOWN(SUMIF(P48:P53,O54,J48:J53),0)</f>
        <v>6366</v>
      </c>
      <c r="K54" s="123"/>
      <c r="L54" s="99">
        <f>ROUNDDOWN(SUMIF(P48:P53,O54,L48:L53),0)</f>
        <v>11274</v>
      </c>
      <c r="M54" s="123"/>
      <c r="O54" s="7" t="s">
        <v>768</v>
      </c>
    </row>
    <row r="55" spans="1:26" ht="28.7" customHeight="1" x14ac:dyDescent="0.3">
      <c r="A55" s="39" t="s">
        <v>33</v>
      </c>
      <c r="B55" s="39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41" t="str">
        <f>HYPERLINK("#N"&amp;ROW(N60),"_x0005_`BDCOD|B01099_x0007_`POSS|"&amp;ROW(N57)&amp;"_x0007_`POSE|"&amp;ROW(N60)&amp;"_x0007_`")</f>
        <v>_x0005_`BDCOD|B01099_x0007_`POSS|57_x0007_`POSE|60_x0007_`</v>
      </c>
    </row>
    <row r="56" spans="1:26" ht="28.7" customHeight="1" x14ac:dyDescent="0.3">
      <c r="A56" s="122" t="s">
        <v>35</v>
      </c>
      <c r="B56" s="122" t="s">
        <v>36</v>
      </c>
      <c r="C56" s="125"/>
      <c r="D56" s="128" t="s">
        <v>37</v>
      </c>
      <c r="E56" s="125"/>
      <c r="F56" s="125"/>
      <c r="G56" s="125"/>
      <c r="H56" s="125"/>
      <c r="I56" s="125"/>
      <c r="J56" s="125"/>
      <c r="K56" s="125"/>
      <c r="L56" s="125"/>
      <c r="M56" s="128" t="s">
        <v>791</v>
      </c>
      <c r="O56" s="7" t="s">
        <v>791</v>
      </c>
    </row>
    <row r="57" spans="1:26" ht="28.7" customHeight="1" x14ac:dyDescent="0.3">
      <c r="A57" s="10" t="s">
        <v>45</v>
      </c>
      <c r="B57" s="10" t="s">
        <v>41</v>
      </c>
      <c r="C57" s="126">
        <v>4</v>
      </c>
      <c r="D57" s="32" t="s">
        <v>42</v>
      </c>
      <c r="E57" s="129">
        <f t="shared" ref="E57:F60" si="5">I57+G57+K57</f>
        <v>6737</v>
      </c>
      <c r="F57" s="131">
        <f t="shared" si="5"/>
        <v>26948</v>
      </c>
      <c r="G57" s="134">
        <f>일위대가목록표!F12</f>
        <v>6737</v>
      </c>
      <c r="H57" s="138">
        <f>IF(C57=0,0,ROUNDDOWN(G57*C57,1))</f>
        <v>26948</v>
      </c>
      <c r="I57" s="134">
        <f>일위대가목록표!G12</f>
        <v>0</v>
      </c>
      <c r="J57" s="138">
        <f>IF(C57=0,0,ROUNDDOWN(I57*C57,1))</f>
        <v>0</v>
      </c>
      <c r="K57" s="134">
        <f>일위대가목록표!H12</f>
        <v>0</v>
      </c>
      <c r="L57" s="138">
        <f>IF(C57=0,0,ROUNDDOWN(K57*C57,1))</f>
        <v>0</v>
      </c>
      <c r="M57" s="23" t="s">
        <v>795</v>
      </c>
      <c r="N57" s="17" t="s">
        <v>792</v>
      </c>
      <c r="O57" s="7" t="s">
        <v>794</v>
      </c>
      <c r="P57" s="7" t="s">
        <v>768</v>
      </c>
      <c r="Q57" s="7" t="s">
        <v>793</v>
      </c>
      <c r="Z57" s="3" t="str">
        <f ca="1">HYPERLINK("#"&amp;일위대가목록표!J2&amp;"!A"&amp;ROW(일위대가목록표!A12),"B01109 →")</f>
        <v>B01109 →</v>
      </c>
    </row>
    <row r="58" spans="1:26" ht="28.7" customHeight="1" x14ac:dyDescent="0.3">
      <c r="A58" s="10" t="s">
        <v>40</v>
      </c>
      <c r="B58" s="10" t="s">
        <v>41</v>
      </c>
      <c r="C58" s="126">
        <v>4</v>
      </c>
      <c r="D58" s="32" t="s">
        <v>42</v>
      </c>
      <c r="E58" s="129">
        <f t="shared" si="5"/>
        <v>3783</v>
      </c>
      <c r="F58" s="131">
        <f t="shared" si="5"/>
        <v>15132</v>
      </c>
      <c r="G58" s="134">
        <f>일위대가목록표!F11</f>
        <v>3643</v>
      </c>
      <c r="H58" s="138">
        <f>IF(C58=0,0,ROUNDDOWN(G58*C58,1))</f>
        <v>14572</v>
      </c>
      <c r="I58" s="134">
        <f>일위대가목록표!G11</f>
        <v>140</v>
      </c>
      <c r="J58" s="138">
        <f>IF(C58=0,0,ROUNDDOWN(I58*C58,1))</f>
        <v>560</v>
      </c>
      <c r="K58" s="134">
        <f>일위대가목록표!H11</f>
        <v>0</v>
      </c>
      <c r="L58" s="138">
        <f>IF(C58=0,0,ROUNDDOWN(K58*C58,1))</f>
        <v>0</v>
      </c>
      <c r="M58" s="23" t="s">
        <v>798</v>
      </c>
      <c r="N58" s="17" t="s">
        <v>796</v>
      </c>
      <c r="O58" s="7" t="s">
        <v>797</v>
      </c>
      <c r="P58" s="7" t="s">
        <v>768</v>
      </c>
      <c r="Q58" s="7" t="s">
        <v>793</v>
      </c>
      <c r="Z58" s="3" t="str">
        <f ca="1">HYPERLINK("#"&amp;일위대가목록표!J2&amp;"!A"&amp;ROW(일위대가목록표!A11),"B01107 →")</f>
        <v>B01107 →</v>
      </c>
    </row>
    <row r="59" spans="1:26" ht="28.7" customHeight="1" x14ac:dyDescent="0.3">
      <c r="A59" s="10" t="s">
        <v>95</v>
      </c>
      <c r="B59" s="10" t="s">
        <v>96</v>
      </c>
      <c r="C59" s="126">
        <v>0</v>
      </c>
      <c r="D59" s="32" t="s">
        <v>92</v>
      </c>
      <c r="E59" s="129">
        <f t="shared" si="5"/>
        <v>105468</v>
      </c>
      <c r="F59" s="131">
        <f t="shared" si="5"/>
        <v>0</v>
      </c>
      <c r="G59" s="134">
        <f>단가산출근거목록표!F17</f>
        <v>105468</v>
      </c>
      <c r="H59" s="138">
        <f>IF(C59=0,0,ROUNDDOWN(G59*C59,1))</f>
        <v>0</v>
      </c>
      <c r="I59" s="134">
        <f>단가산출근거목록표!G17</f>
        <v>0</v>
      </c>
      <c r="J59" s="138">
        <f>IF(C59=0,0,ROUNDDOWN(I59*C59,1))</f>
        <v>0</v>
      </c>
      <c r="K59" s="134">
        <f>단가산출근거목록표!H17</f>
        <v>0</v>
      </c>
      <c r="L59" s="138">
        <f>IF(C59=0,0,ROUNDDOWN(K59*C59,1))</f>
        <v>0</v>
      </c>
      <c r="M59" s="23" t="s">
        <v>801</v>
      </c>
      <c r="N59" s="17" t="s">
        <v>799</v>
      </c>
      <c r="O59" s="7" t="s">
        <v>800</v>
      </c>
      <c r="P59" s="7" t="s">
        <v>768</v>
      </c>
      <c r="Q59" s="7" t="s">
        <v>793</v>
      </c>
      <c r="Z59" s="3" t="str">
        <f ca="1">HYPERLINK("#"&amp;단가산출근거목록표!J2&amp;"!A"&amp;ROW(단가산출근거목록표!A17),"D01453 →")</f>
        <v>D01453 →</v>
      </c>
    </row>
    <row r="60" spans="1:26" ht="28.7" customHeight="1" x14ac:dyDescent="0.3">
      <c r="A60" s="10" t="s">
        <v>802</v>
      </c>
      <c r="B60" s="10" t="s">
        <v>803</v>
      </c>
      <c r="C60" s="126">
        <v>0</v>
      </c>
      <c r="D60" s="32" t="s">
        <v>163</v>
      </c>
      <c r="E60" s="129">
        <f t="shared" si="5"/>
        <v>41520</v>
      </c>
      <c r="F60" s="132">
        <f t="shared" si="5"/>
        <v>0</v>
      </c>
      <c r="G60" s="136">
        <f>H57+H58+H59</f>
        <v>41520</v>
      </c>
      <c r="H60" s="132">
        <f>IF(C60=0,0,ROUNDDOWN(G60*C60/100,1))</f>
        <v>0</v>
      </c>
      <c r="I60" s="13">
        <v>0</v>
      </c>
      <c r="J60" s="131">
        <f>IF(C60=0,0,ROUNDDOWN(I60*C60/100,1))</f>
        <v>0</v>
      </c>
      <c r="K60" s="22">
        <v>0</v>
      </c>
      <c r="L60" s="131">
        <f>IF(C60=0,0,ROUNDDOWN(K60*C60/100,1))</f>
        <v>0</v>
      </c>
      <c r="M60" s="23"/>
      <c r="N60" s="17" t="s">
        <v>804</v>
      </c>
      <c r="O60" s="7" t="s">
        <v>805</v>
      </c>
      <c r="P60" s="7" t="s">
        <v>768</v>
      </c>
    </row>
    <row r="61" spans="1:26" ht="28.7" customHeight="1" x14ac:dyDescent="0.3">
      <c r="A61" s="23" t="s">
        <v>769</v>
      </c>
      <c r="B61" s="123"/>
      <c r="C61" s="123"/>
      <c r="D61" s="123"/>
      <c r="E61" s="123"/>
      <c r="F61" s="99">
        <f>J61+H61+L61</f>
        <v>42080</v>
      </c>
      <c r="G61" s="123"/>
      <c r="H61" s="99">
        <f>ROUNDDOWN(SUMIF(P57:P60,O61,H57:H60),0)</f>
        <v>41520</v>
      </c>
      <c r="I61" s="123"/>
      <c r="J61" s="99">
        <f>ROUNDDOWN(SUMIF(P57:P60,O61,J57:J60),0)</f>
        <v>560</v>
      </c>
      <c r="K61" s="123"/>
      <c r="L61" s="99">
        <f>ROUNDDOWN(SUMIF(P57:P60,O61,L57:L60),0)</f>
        <v>0</v>
      </c>
      <c r="M61" s="123"/>
      <c r="O61" s="7" t="s">
        <v>768</v>
      </c>
      <c r="P61" s="7" t="s">
        <v>770</v>
      </c>
    </row>
    <row r="62" spans="1:26" ht="28.7" customHeight="1" x14ac:dyDescent="0.3">
      <c r="A62" s="14" t="s">
        <v>771</v>
      </c>
      <c r="B62" s="14"/>
      <c r="C62" s="127">
        <v>88</v>
      </c>
      <c r="D62" s="14"/>
      <c r="E62" s="130"/>
      <c r="F62" s="98">
        <f>J62+H62+L62</f>
        <v>37029</v>
      </c>
      <c r="G62" s="130"/>
      <c r="H62" s="98">
        <f>ROUNDDOWN(H61*C62/100,0)</f>
        <v>36537</v>
      </c>
      <c r="I62" s="130"/>
      <c r="J62" s="98">
        <f>ROUNDDOWN(J61*C62/100,0)</f>
        <v>492</v>
      </c>
      <c r="K62" s="130"/>
      <c r="L62" s="98">
        <f>ROUNDDOWN(L61*C62/100,0)</f>
        <v>0</v>
      </c>
      <c r="M62" s="130"/>
      <c r="O62" s="7" t="s">
        <v>770</v>
      </c>
    </row>
    <row r="63" spans="1:26" ht="28.7" customHeight="1" x14ac:dyDescent="0.3">
      <c r="A63" s="39" t="s">
        <v>38</v>
      </c>
      <c r="B63" s="39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41" t="str">
        <f>HYPERLINK("#N"&amp;ROW(N70),"_x0005_`BDCOD|B01107_x0007_`POSS|"&amp;ROW(N65)&amp;"_x0007_`POSE|"&amp;ROW(N70)&amp;"_x0007_`")</f>
        <v>_x0005_`BDCOD|B01107_x0007_`POSS|65_x0007_`POSE|70_x0007_`</v>
      </c>
    </row>
    <row r="64" spans="1:26" ht="28.7" customHeight="1" x14ac:dyDescent="0.3">
      <c r="A64" s="122" t="s">
        <v>40</v>
      </c>
      <c r="B64" s="122" t="s">
        <v>41</v>
      </c>
      <c r="C64" s="125"/>
      <c r="D64" s="128" t="s">
        <v>42</v>
      </c>
      <c r="E64" s="125"/>
      <c r="F64" s="125"/>
      <c r="G64" s="125"/>
      <c r="H64" s="125"/>
      <c r="I64" s="125"/>
      <c r="J64" s="125"/>
      <c r="K64" s="125"/>
      <c r="L64" s="125"/>
      <c r="M64" s="128" t="s">
        <v>806</v>
      </c>
      <c r="O64" s="7" t="s">
        <v>806</v>
      </c>
    </row>
    <row r="65" spans="1:26" ht="28.7" customHeight="1" x14ac:dyDescent="0.3">
      <c r="A65" s="10" t="s">
        <v>807</v>
      </c>
      <c r="B65" s="10" t="s">
        <v>808</v>
      </c>
      <c r="C65" s="126">
        <v>1.2999999999999999E-2</v>
      </c>
      <c r="D65" s="32" t="s">
        <v>185</v>
      </c>
      <c r="E65" s="129">
        <f t="shared" ref="E65:F70" si="6">I65+G65+K65</f>
        <v>224132</v>
      </c>
      <c r="F65" s="131">
        <f t="shared" si="6"/>
        <v>2913.7</v>
      </c>
      <c r="G65" s="134">
        <f>노무비목록표!E7</f>
        <v>224132</v>
      </c>
      <c r="H65" s="137">
        <f t="shared" ref="H65:H70" si="7">IF(C65=0,0,ROUNDDOWN(G65*C65,1))</f>
        <v>2913.7</v>
      </c>
      <c r="I65" s="135">
        <v>0</v>
      </c>
      <c r="J65" s="132">
        <f t="shared" ref="J65:J70" si="8">IF(C65=0,0,ROUNDDOWN(I65*C65,1))</f>
        <v>0</v>
      </c>
      <c r="K65" s="135">
        <v>0</v>
      </c>
      <c r="L65" s="131">
        <f t="shared" ref="L65:L70" si="9">IF(C65=0,0,ROUNDDOWN(K65*C65,1))</f>
        <v>0</v>
      </c>
      <c r="M65" s="23" t="s">
        <v>811</v>
      </c>
      <c r="N65" s="17" t="s">
        <v>809</v>
      </c>
      <c r="O65" s="7" t="s">
        <v>810</v>
      </c>
      <c r="P65" s="7" t="s">
        <v>768</v>
      </c>
      <c r="Z65" s="3" t="str">
        <f ca="1">HYPERLINK("#"&amp;노무비목록표!G2&amp;"!A"&amp;ROW(노무비목록표!A7),"L00021 →")</f>
        <v>L00021 →</v>
      </c>
    </row>
    <row r="66" spans="1:26" ht="28.7" customHeight="1" x14ac:dyDescent="0.3">
      <c r="A66" s="10" t="s">
        <v>184</v>
      </c>
      <c r="B66" s="10" t="s">
        <v>812</v>
      </c>
      <c r="C66" s="126">
        <v>4.3E-3</v>
      </c>
      <c r="D66" s="32" t="s">
        <v>185</v>
      </c>
      <c r="E66" s="129">
        <f t="shared" si="6"/>
        <v>169804</v>
      </c>
      <c r="F66" s="131">
        <f t="shared" si="6"/>
        <v>730.1</v>
      </c>
      <c r="G66" s="134">
        <f>노무비목록표!E4</f>
        <v>169804</v>
      </c>
      <c r="H66" s="137">
        <f t="shared" si="7"/>
        <v>730.1</v>
      </c>
      <c r="I66" s="135">
        <v>0</v>
      </c>
      <c r="J66" s="132">
        <f t="shared" si="8"/>
        <v>0</v>
      </c>
      <c r="K66" s="135">
        <v>0</v>
      </c>
      <c r="L66" s="131">
        <f t="shared" si="9"/>
        <v>0</v>
      </c>
      <c r="M66" s="23" t="s">
        <v>764</v>
      </c>
      <c r="N66" s="17" t="s">
        <v>813</v>
      </c>
      <c r="O66" s="7" t="s">
        <v>763</v>
      </c>
      <c r="P66" s="7" t="s">
        <v>768</v>
      </c>
      <c r="Z66" s="3" t="str">
        <f ca="1">HYPERLINK("#"&amp;노무비목록표!G2&amp;"!A"&amp;ROW(노무비목록표!A4),"L00002 →")</f>
        <v>L00002 →</v>
      </c>
    </row>
    <row r="67" spans="1:26" ht="28.7" customHeight="1" x14ac:dyDescent="0.3">
      <c r="A67" s="10" t="s">
        <v>169</v>
      </c>
      <c r="B67" s="10" t="s">
        <v>170</v>
      </c>
      <c r="C67" s="126">
        <v>0.8</v>
      </c>
      <c r="D67" s="32" t="s">
        <v>167</v>
      </c>
      <c r="E67" s="129">
        <f t="shared" si="6"/>
        <v>150</v>
      </c>
      <c r="F67" s="132">
        <f t="shared" si="6"/>
        <v>120</v>
      </c>
      <c r="G67" s="135">
        <v>0</v>
      </c>
      <c r="H67" s="131">
        <f t="shared" si="7"/>
        <v>0</v>
      </c>
      <c r="I67" s="134">
        <f>재료비목록표!E7</f>
        <v>150</v>
      </c>
      <c r="J67" s="137">
        <f t="shared" si="8"/>
        <v>120</v>
      </c>
      <c r="K67" s="135">
        <v>0</v>
      </c>
      <c r="L67" s="131">
        <f t="shared" si="9"/>
        <v>0</v>
      </c>
      <c r="M67" s="23" t="s">
        <v>816</v>
      </c>
      <c r="N67" s="17" t="s">
        <v>814</v>
      </c>
      <c r="O67" s="7" t="s">
        <v>815</v>
      </c>
      <c r="P67" s="7" t="s">
        <v>768</v>
      </c>
      <c r="Z67" s="3" t="str">
        <f ca="1">HYPERLINK("#"&amp;재료비목록표!G2&amp;"!A"&amp;ROW(재료비목록표!A7),"M00776 →")</f>
        <v>M00776 →</v>
      </c>
    </row>
    <row r="68" spans="1:26" ht="28.7" customHeight="1" x14ac:dyDescent="0.3">
      <c r="A68" s="10" t="s">
        <v>165</v>
      </c>
      <c r="B68" s="10" t="s">
        <v>166</v>
      </c>
      <c r="C68" s="126">
        <v>0.7</v>
      </c>
      <c r="D68" s="32" t="s">
        <v>167</v>
      </c>
      <c r="E68" s="129">
        <f t="shared" si="6"/>
        <v>24</v>
      </c>
      <c r="F68" s="132">
        <f t="shared" si="6"/>
        <v>16.8</v>
      </c>
      <c r="G68" s="135">
        <v>0</v>
      </c>
      <c r="H68" s="131">
        <f t="shared" si="7"/>
        <v>0</v>
      </c>
      <c r="I68" s="134">
        <f>재료비목록표!E6</f>
        <v>24</v>
      </c>
      <c r="J68" s="137">
        <f t="shared" si="8"/>
        <v>16.8</v>
      </c>
      <c r="K68" s="135">
        <v>0</v>
      </c>
      <c r="L68" s="131">
        <f t="shared" si="9"/>
        <v>0</v>
      </c>
      <c r="M68" s="23" t="s">
        <v>819</v>
      </c>
      <c r="N68" s="17" t="s">
        <v>817</v>
      </c>
      <c r="O68" s="7" t="s">
        <v>818</v>
      </c>
      <c r="P68" s="7" t="s">
        <v>768</v>
      </c>
      <c r="Z68" s="3" t="str">
        <f ca="1">HYPERLINK("#"&amp;재료비목록표!G2&amp;"!A"&amp;ROW(재료비목록표!A6),"M00775 →")</f>
        <v>M00775 →</v>
      </c>
    </row>
    <row r="69" spans="1:26" ht="28.7" customHeight="1" x14ac:dyDescent="0.3">
      <c r="A69" s="10" t="s">
        <v>172</v>
      </c>
      <c r="B69" s="10" t="s">
        <v>173</v>
      </c>
      <c r="C69" s="126">
        <v>7.0000000000000007E-2</v>
      </c>
      <c r="D69" s="32" t="s">
        <v>174</v>
      </c>
      <c r="E69" s="129">
        <f t="shared" si="6"/>
        <v>30</v>
      </c>
      <c r="F69" s="132">
        <f t="shared" si="6"/>
        <v>2.1</v>
      </c>
      <c r="G69" s="135">
        <v>0</v>
      </c>
      <c r="H69" s="131">
        <f t="shared" si="7"/>
        <v>0</v>
      </c>
      <c r="I69" s="134">
        <f>재료비목록표!E8</f>
        <v>30</v>
      </c>
      <c r="J69" s="137">
        <f t="shared" si="8"/>
        <v>2.1</v>
      </c>
      <c r="K69" s="135">
        <v>0</v>
      </c>
      <c r="L69" s="131">
        <f t="shared" si="9"/>
        <v>0</v>
      </c>
      <c r="M69" s="23" t="s">
        <v>822</v>
      </c>
      <c r="N69" s="17" t="s">
        <v>820</v>
      </c>
      <c r="O69" s="7" t="s">
        <v>821</v>
      </c>
      <c r="P69" s="7" t="s">
        <v>768</v>
      </c>
      <c r="Z69" s="3" t="str">
        <f ca="1">HYPERLINK("#"&amp;재료비목록표!G2&amp;"!A"&amp;ROW(재료비목록표!A8),"M00777 →")</f>
        <v>M00777 →</v>
      </c>
    </row>
    <row r="70" spans="1:26" ht="28.7" customHeight="1" x14ac:dyDescent="0.3">
      <c r="A70" s="10" t="s">
        <v>176</v>
      </c>
      <c r="B70" s="10" t="s">
        <v>177</v>
      </c>
      <c r="C70" s="126">
        <v>0.03</v>
      </c>
      <c r="D70" s="32" t="s">
        <v>174</v>
      </c>
      <c r="E70" s="129">
        <f t="shared" si="6"/>
        <v>38</v>
      </c>
      <c r="F70" s="132">
        <f t="shared" si="6"/>
        <v>1.1000000000000001</v>
      </c>
      <c r="G70" s="135">
        <v>0</v>
      </c>
      <c r="H70" s="131">
        <f t="shared" si="7"/>
        <v>0</v>
      </c>
      <c r="I70" s="134">
        <f>재료비목록표!E9</f>
        <v>38</v>
      </c>
      <c r="J70" s="137">
        <f t="shared" si="8"/>
        <v>1.1000000000000001</v>
      </c>
      <c r="K70" s="135">
        <v>0</v>
      </c>
      <c r="L70" s="131">
        <f t="shared" si="9"/>
        <v>0</v>
      </c>
      <c r="M70" s="23" t="s">
        <v>825</v>
      </c>
      <c r="N70" s="17" t="s">
        <v>823</v>
      </c>
      <c r="O70" s="7" t="s">
        <v>824</v>
      </c>
      <c r="P70" s="7" t="s">
        <v>768</v>
      </c>
      <c r="Z70" s="3" t="str">
        <f ca="1">HYPERLINK("#"&amp;재료비목록표!G2&amp;"!A"&amp;ROW(재료비목록표!A9),"M00778 →")</f>
        <v>M00778 →</v>
      </c>
    </row>
    <row r="71" spans="1:26" ht="28.7" customHeight="1" x14ac:dyDescent="0.3">
      <c r="A71" s="23" t="s">
        <v>6</v>
      </c>
      <c r="B71" s="123"/>
      <c r="C71" s="123"/>
      <c r="D71" s="123"/>
      <c r="E71" s="123"/>
      <c r="F71" s="99">
        <f>J71+H71+L71</f>
        <v>3783</v>
      </c>
      <c r="G71" s="123"/>
      <c r="H71" s="99">
        <f>ROUNDDOWN(SUMIF(P65:P70,O71,H65:H70),0)</f>
        <v>3643</v>
      </c>
      <c r="I71" s="123"/>
      <c r="J71" s="99">
        <f>ROUNDDOWN(SUMIF(P65:P70,O71,J65:J70),0)</f>
        <v>140</v>
      </c>
      <c r="K71" s="123"/>
      <c r="L71" s="99">
        <f>ROUNDDOWN(SUMIF(P65:P70,O71,L65:L70),0)</f>
        <v>0</v>
      </c>
      <c r="M71" s="123"/>
      <c r="O71" s="7" t="s">
        <v>768</v>
      </c>
    </row>
    <row r="72" spans="1:26" ht="28.7" customHeight="1" x14ac:dyDescent="0.3">
      <c r="A72" s="39" t="s">
        <v>43</v>
      </c>
      <c r="B72" s="39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41" t="str">
        <f>HYPERLINK("#N"&amp;ROW(N75),"_x0005_`BDCOD|B01109_x0007_`POSS|"&amp;ROW(N74)&amp;"_x0007_`POSE|"&amp;ROW(N75)&amp;"_x0007_`")</f>
        <v>_x0005_`BDCOD|B01109_x0007_`POSS|74_x0007_`POSE|75_x0007_`</v>
      </c>
    </row>
    <row r="73" spans="1:26" ht="28.7" customHeight="1" x14ac:dyDescent="0.3">
      <c r="A73" s="122" t="s">
        <v>45</v>
      </c>
      <c r="B73" s="122" t="s">
        <v>41</v>
      </c>
      <c r="C73" s="125"/>
      <c r="D73" s="128" t="s">
        <v>42</v>
      </c>
      <c r="E73" s="125"/>
      <c r="F73" s="125"/>
      <c r="G73" s="125"/>
      <c r="H73" s="125"/>
      <c r="I73" s="125"/>
      <c r="J73" s="125"/>
      <c r="K73" s="125"/>
      <c r="L73" s="125"/>
      <c r="M73" s="128" t="s">
        <v>826</v>
      </c>
      <c r="O73" s="7" t="s">
        <v>826</v>
      </c>
    </row>
    <row r="74" spans="1:26" ht="28.7" customHeight="1" x14ac:dyDescent="0.3">
      <c r="A74" s="10" t="s">
        <v>807</v>
      </c>
      <c r="B74" s="10" t="s">
        <v>827</v>
      </c>
      <c r="C74" s="126">
        <v>2.4E-2</v>
      </c>
      <c r="D74" s="32" t="s">
        <v>185</v>
      </c>
      <c r="E74" s="129">
        <f>I74+G74+K74</f>
        <v>224132</v>
      </c>
      <c r="F74" s="131">
        <f>J74+H74+L74</f>
        <v>5379.1</v>
      </c>
      <c r="G74" s="134">
        <f>노무비목록표!E7</f>
        <v>224132</v>
      </c>
      <c r="H74" s="137">
        <f>IF(C74=0,0,ROUNDDOWN(G74*C74,1))</f>
        <v>5379.1</v>
      </c>
      <c r="I74" s="135">
        <v>0</v>
      </c>
      <c r="J74" s="132">
        <f>IF(C74=0,0,ROUNDDOWN(I74*C74,1))</f>
        <v>0</v>
      </c>
      <c r="K74" s="135">
        <v>0</v>
      </c>
      <c r="L74" s="131">
        <f>IF(C74=0,0,ROUNDDOWN(K74*C74,1))</f>
        <v>0</v>
      </c>
      <c r="M74" s="23" t="s">
        <v>811</v>
      </c>
      <c r="N74" s="17" t="s">
        <v>809</v>
      </c>
      <c r="O74" s="7" t="s">
        <v>810</v>
      </c>
      <c r="P74" s="7" t="s">
        <v>768</v>
      </c>
      <c r="Z74" s="3" t="str">
        <f ca="1">HYPERLINK("#"&amp;노무비목록표!G2&amp;"!A"&amp;ROW(노무비목록표!A7),"L00021 →")</f>
        <v>L00021 →</v>
      </c>
    </row>
    <row r="75" spans="1:26" ht="28.7" customHeight="1" x14ac:dyDescent="0.3">
      <c r="A75" s="10" t="s">
        <v>184</v>
      </c>
      <c r="B75" s="10" t="s">
        <v>828</v>
      </c>
      <c r="C75" s="126">
        <v>8.0000000000000002E-3</v>
      </c>
      <c r="D75" s="32" t="s">
        <v>185</v>
      </c>
      <c r="E75" s="129">
        <f>I75+G75+K75</f>
        <v>169804</v>
      </c>
      <c r="F75" s="131">
        <f>J75+H75+L75</f>
        <v>1358.4</v>
      </c>
      <c r="G75" s="134">
        <f>노무비목록표!E4</f>
        <v>169804</v>
      </c>
      <c r="H75" s="137">
        <f>IF(C75=0,0,ROUNDDOWN(G75*C75,1))</f>
        <v>1358.4</v>
      </c>
      <c r="I75" s="135">
        <v>0</v>
      </c>
      <c r="J75" s="132">
        <f>IF(C75=0,0,ROUNDDOWN(I75*C75,1))</f>
        <v>0</v>
      </c>
      <c r="K75" s="135">
        <v>0</v>
      </c>
      <c r="L75" s="131">
        <f>IF(C75=0,0,ROUNDDOWN(K75*C75,1))</f>
        <v>0</v>
      </c>
      <c r="M75" s="23" t="s">
        <v>764</v>
      </c>
      <c r="N75" s="17" t="s">
        <v>813</v>
      </c>
      <c r="O75" s="7" t="s">
        <v>763</v>
      </c>
      <c r="P75" s="7" t="s">
        <v>768</v>
      </c>
      <c r="Z75" s="3" t="str">
        <f ca="1">HYPERLINK("#"&amp;노무비목록표!G2&amp;"!A"&amp;ROW(노무비목록표!A4),"L00002 →")</f>
        <v>L00002 →</v>
      </c>
    </row>
    <row r="76" spans="1:26" ht="28.7" customHeight="1" x14ac:dyDescent="0.3">
      <c r="A76" s="23" t="s">
        <v>6</v>
      </c>
      <c r="B76" s="123"/>
      <c r="C76" s="123"/>
      <c r="D76" s="123"/>
      <c r="E76" s="123"/>
      <c r="F76" s="99">
        <f>J76+H76+L76</f>
        <v>6737</v>
      </c>
      <c r="G76" s="123"/>
      <c r="H76" s="99">
        <f>ROUNDDOWN(SUMIF(P74:P75,O76,H74:H75),0)</f>
        <v>6737</v>
      </c>
      <c r="I76" s="123"/>
      <c r="J76" s="99">
        <f>ROUNDDOWN(SUMIF(P74:P75,O76,J74:J75),0)</f>
        <v>0</v>
      </c>
      <c r="K76" s="123"/>
      <c r="L76" s="99">
        <f>ROUNDDOWN(SUMIF(P74:P75,O76,L74:L75),0)</f>
        <v>0</v>
      </c>
      <c r="M76" s="123"/>
      <c r="O76" s="7" t="s">
        <v>768</v>
      </c>
    </row>
  </sheetData>
  <mergeCells count="10"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25" type="noConversion"/>
  <conditionalFormatting sqref="C5:M76">
    <cfRule type="expression" dxfId="2" priority="1" stopIfTrue="1">
      <formula>AND(C5&lt;&gt;0,INT(C5)=C5)</formula>
    </cfRule>
  </conditionalFormatting>
  <hyperlinks>
    <hyperlink ref="Z1" r:id="rId1" tooltip="설계예산시스템(STmate w25.05)으로 작성 하였으며,_x000a_엑셀 인쇄품질 600 dpi에 최적화 되어 있습니다._x000a_경영정보(주) http://www.stma.co.kr_x000a_Tel) 070-4350-0040_x000a_Fax) 0505-300-3948"/>
    <hyperlink ref="N1" r:id="rId2" tooltip="설계예산시스템(STmate w25.05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73" fitToWidth="0" fitToHeight="0" orientation="landscape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24</vt:i4>
      </vt:variant>
      <vt:variant>
        <vt:lpstr>이름이 지정된 범위</vt:lpstr>
      </vt:variant>
      <vt:variant>
        <vt:i4>44</vt:i4>
      </vt:variant>
    </vt:vector>
  </HeadingPairs>
  <TitlesOfParts>
    <vt:vector size="68" baseType="lpstr">
      <vt:lpstr>〓 목 차 〓</vt:lpstr>
      <vt:lpstr>※※안내※※</vt:lpstr>
      <vt:lpstr>공사원가계산서</vt:lpstr>
      <vt:lpstr>총괄내역서</vt:lpstr>
      <vt:lpstr>설계변경내역서</vt:lpstr>
      <vt:lpstr>설계변경금액대비표</vt:lpstr>
      <vt:lpstr>설계변경증감대비표</vt:lpstr>
      <vt:lpstr>일위대가목록표</vt:lpstr>
      <vt:lpstr>일위대가표</vt:lpstr>
      <vt:lpstr>일위대가수량금액집계표</vt:lpstr>
      <vt:lpstr>단가산출근거목록표</vt:lpstr>
      <vt:lpstr>단가산출근거</vt:lpstr>
      <vt:lpstr>단가산출근거수량금액집계표</vt:lpstr>
      <vt:lpstr>환율및기초자료</vt:lpstr>
      <vt:lpstr>중기목록표</vt:lpstr>
      <vt:lpstr>중기사용료</vt:lpstr>
      <vt:lpstr>재료비목록표</vt:lpstr>
      <vt:lpstr>노무비목록표</vt:lpstr>
      <vt:lpstr>경비목록표</vt:lpstr>
      <vt:lpstr>일식견적목록표</vt:lpstr>
      <vt:lpstr>자재단가대비표</vt:lpstr>
      <vt:lpstr>재료비수량금액집계표</vt:lpstr>
      <vt:lpstr>노무비수량금액집계표</vt:lpstr>
      <vt:lpstr>중기시간금액집계표</vt:lpstr>
      <vt:lpstr>'〓 목 차 〓'!Print_Area</vt:lpstr>
      <vt:lpstr>경비목록표!Print_Area</vt:lpstr>
      <vt:lpstr>공사원가계산서!Print_Area</vt:lpstr>
      <vt:lpstr>노무비목록표!Print_Area</vt:lpstr>
      <vt:lpstr>노무비수량금액집계표!Print_Area</vt:lpstr>
      <vt:lpstr>단가산출근거!Print_Area</vt:lpstr>
      <vt:lpstr>단가산출근거목록표!Print_Area</vt:lpstr>
      <vt:lpstr>단가산출근거수량금액집계표!Print_Area</vt:lpstr>
      <vt:lpstr>설계변경금액대비표!Print_Area</vt:lpstr>
      <vt:lpstr>설계변경내역서!Print_Area</vt:lpstr>
      <vt:lpstr>설계변경증감대비표!Print_Area</vt:lpstr>
      <vt:lpstr>일식견적목록표!Print_Area</vt:lpstr>
      <vt:lpstr>일위대가목록표!Print_Area</vt:lpstr>
      <vt:lpstr>일위대가수량금액집계표!Print_Area</vt:lpstr>
      <vt:lpstr>일위대가표!Print_Area</vt:lpstr>
      <vt:lpstr>자재단가대비표!Print_Area</vt:lpstr>
      <vt:lpstr>재료비목록표!Print_Area</vt:lpstr>
      <vt:lpstr>재료비수량금액집계표!Print_Area</vt:lpstr>
      <vt:lpstr>중기목록표!Print_Area</vt:lpstr>
      <vt:lpstr>중기사용료!Print_Area</vt:lpstr>
      <vt:lpstr>중기시간금액집계표!Print_Area</vt:lpstr>
      <vt:lpstr>총괄내역서!Print_Area</vt:lpstr>
      <vt:lpstr>환율및기초자료!Print_Area</vt:lpstr>
      <vt:lpstr>경비목록표!Print_Titles</vt:lpstr>
      <vt:lpstr>공사원가계산서!Print_Titles</vt:lpstr>
      <vt:lpstr>노무비목록표!Print_Titles</vt:lpstr>
      <vt:lpstr>노무비수량금액집계표!Print_Titles</vt:lpstr>
      <vt:lpstr>단가산출근거!Print_Titles</vt:lpstr>
      <vt:lpstr>단가산출근거목록표!Print_Titles</vt:lpstr>
      <vt:lpstr>단가산출근거수량금액집계표!Print_Titles</vt:lpstr>
      <vt:lpstr>설계변경금액대비표!Print_Titles</vt:lpstr>
      <vt:lpstr>설계변경내역서!Print_Titles</vt:lpstr>
      <vt:lpstr>설계변경증감대비표!Print_Titles</vt:lpstr>
      <vt:lpstr>일식견적목록표!Print_Titles</vt:lpstr>
      <vt:lpstr>일위대가목록표!Print_Titles</vt:lpstr>
      <vt:lpstr>일위대가수량금액집계표!Print_Titles</vt:lpstr>
      <vt:lpstr>일위대가표!Print_Titles</vt:lpstr>
      <vt:lpstr>자재단가대비표!Print_Titles</vt:lpstr>
      <vt:lpstr>재료비목록표!Print_Titles</vt:lpstr>
      <vt:lpstr>재료비수량금액집계표!Print_Titles</vt:lpstr>
      <vt:lpstr>중기목록표!Print_Titles</vt:lpstr>
      <vt:lpstr>중기사용료!Print_Titles</vt:lpstr>
      <vt:lpstr>중기시간금액집계표!Print_Titles</vt:lpstr>
      <vt:lpstr>총괄내역서!Print_Titles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2025년 계류보전사업(기번1/영덕.병곡.영.산214)</dc:title>
  <dc:description>STmate w25.05로 작성</dc:description>
  <cp:lastModifiedBy>user</cp:lastModifiedBy>
  <dcterms:created xsi:type="dcterms:W3CDTF">2025-05-27T09:28:59Z</dcterms:created>
  <dcterms:modified xsi:type="dcterms:W3CDTF">2025-05-27T09:29:00Z</dcterms:modified>
</cp:coreProperties>
</file>