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\nambu\2. 2025년\2. 산림사업과\1. 임도\2. 울진국유림관리소\6. 산불진화임도 신설사업(기번8)(울진.금강송.소광.산29외)-엄상준\3. 착공계\"/>
    </mc:Choice>
  </mc:AlternateContent>
  <xr:revisionPtr revIDLastSave="0" documentId="8_{E50728AD-BE1F-4511-BD81-34C91E04DBE2}" xr6:coauthVersionLast="36" xr6:coauthVersionMax="36" xr10:uidLastSave="{00000000-0000-0000-0000-000000000000}"/>
  <bookViews>
    <workbookView xWindow="32760" yWindow="32760" windowWidth="9660" windowHeight="5490"/>
  </bookViews>
  <sheets>
    <sheet name="〓 목 차 〓" sheetId="1" r:id="rId1"/>
    <sheet name="※※안내※※" sheetId="2" r:id="rId2"/>
    <sheet name="공사원가계산서" sheetId="3" r:id="rId3"/>
    <sheet name="총괄설계내역서" sheetId="4" r:id="rId4"/>
    <sheet name="착공내역서" sheetId="5" r:id="rId5"/>
    <sheet name="일위대가목록표" sheetId="6" r:id="rId6"/>
    <sheet name="일위대가표" sheetId="7" r:id="rId7"/>
    <sheet name="일위대가수량금액집계표" sheetId="8" r:id="rId8"/>
    <sheet name="단가산출근거목록표" sheetId="9" r:id="rId9"/>
    <sheet name="단가산출근거" sheetId="10" r:id="rId10"/>
    <sheet name="단가산출근거수량금액집계표" sheetId="11" r:id="rId11"/>
    <sheet name="환율및기초자료" sheetId="12" r:id="rId12"/>
    <sheet name="중기목록표" sheetId="13" r:id="rId13"/>
    <sheet name="중기사용료" sheetId="14" r:id="rId14"/>
    <sheet name="재료비목록표" sheetId="15" r:id="rId15"/>
    <sheet name="노무비목록표" sheetId="16" r:id="rId16"/>
    <sheet name="경비목록표" sheetId="17" r:id="rId17"/>
    <sheet name="일식견적목록표" sheetId="18" r:id="rId18"/>
    <sheet name="자재단가대비표" sheetId="19" r:id="rId19"/>
    <sheet name="재료비수량금액집계표" sheetId="20" r:id="rId20"/>
    <sheet name="노무비수량금액집계표" sheetId="21" r:id="rId21"/>
    <sheet name="경비수량금액집계표" sheetId="22" r:id="rId22"/>
    <sheet name="일식견적수량금액집계표" sheetId="23" r:id="rId23"/>
    <sheet name="중기시간금액집계표" sheetId="24" r:id="rId24"/>
    <sheet name="〓 INITIAL 〓" sheetId="25" state="veryHidden" r:id="rId25"/>
  </sheets>
  <definedNames>
    <definedName name="_xlnm.Print_Area" localSheetId="0">'〓 목 차 〓'!$A:$C</definedName>
    <definedName name="_xlnm.Print_Area" localSheetId="16">경비목록표!$A:$F</definedName>
    <definedName name="_xlnm.Print_Area" localSheetId="21">경비수량금액집계표!$A:$H</definedName>
    <definedName name="_xlnm.Print_Area" localSheetId="2">공사원가계산서!$A:$F</definedName>
    <definedName name="_xlnm.Print_Area" localSheetId="15">노무비목록표!$A:$F</definedName>
    <definedName name="_xlnm.Print_Area" localSheetId="20">노무비수량금액집계표!$A:$H</definedName>
    <definedName name="_xlnm.Print_Area" localSheetId="9">단가산출근거!$A:$F</definedName>
    <definedName name="_xlnm.Print_Area" localSheetId="8">단가산출근거목록표!$A:$I</definedName>
    <definedName name="_xlnm.Print_Area" localSheetId="10">단가산출근거수량금액집계표!$A:$J</definedName>
    <definedName name="_xlnm.Print_Area" localSheetId="17">일식견적목록표!$A:$I</definedName>
    <definedName name="_xlnm.Print_Area" localSheetId="22">일식견적수량금액집계표!$A:$H</definedName>
    <definedName name="_xlnm.Print_Area" localSheetId="5">일위대가목록표!$A:$I</definedName>
    <definedName name="_xlnm.Print_Area" localSheetId="7">일위대가수량금액집계표!$A:$J</definedName>
    <definedName name="_xlnm.Print_Area" localSheetId="6">일위대가표!$A:$M</definedName>
    <definedName name="_xlnm.Print_Area" localSheetId="18">자재단가대비표!$A:$Q</definedName>
    <definedName name="_xlnm.Print_Area" localSheetId="14">재료비목록표!$A:$F</definedName>
    <definedName name="_xlnm.Print_Area" localSheetId="19">재료비수량금액집계표!$A:$H</definedName>
    <definedName name="_xlnm.Print_Area" localSheetId="12">중기목록표!$A:$I</definedName>
    <definedName name="_xlnm.Print_Area" localSheetId="13">중기사용료!$A:$M</definedName>
    <definedName name="_xlnm.Print_Area" localSheetId="23">중기시간금액집계표!$A:$J</definedName>
    <definedName name="_xlnm.Print_Area" localSheetId="4">착공내역서!$A:$N</definedName>
    <definedName name="_xlnm.Print_Area" localSheetId="3">총괄설계내역서!$A:$G</definedName>
    <definedName name="_xlnm.Print_Area" localSheetId="11">환율및기초자료!$A:$H</definedName>
    <definedName name="_xlnm.Print_Titles" localSheetId="16">경비목록표!$1:$3</definedName>
    <definedName name="_xlnm.Print_Titles" localSheetId="21">경비수량금액집계표!$1:$3</definedName>
    <definedName name="_xlnm.Print_Titles" localSheetId="2">공사원가계산서!$1:$4</definedName>
    <definedName name="_xlnm.Print_Titles" localSheetId="15">노무비목록표!$1:$3</definedName>
    <definedName name="_xlnm.Print_Titles" localSheetId="20">노무비수량금액집계표!$1:$3</definedName>
    <definedName name="_xlnm.Print_Titles" localSheetId="9">단가산출근거!$1:$4</definedName>
    <definedName name="_xlnm.Print_Titles" localSheetId="8">단가산출근거목록표!$1:$3</definedName>
    <definedName name="_xlnm.Print_Titles" localSheetId="10">단가산출근거수량금액집계표!$1:$3</definedName>
    <definedName name="_xlnm.Print_Titles" localSheetId="17">일식견적목록표!$1:$3</definedName>
    <definedName name="_xlnm.Print_Titles" localSheetId="22">일식견적수량금액집계표!$1:$3</definedName>
    <definedName name="_xlnm.Print_Titles" localSheetId="5">일위대가목록표!$1:$3</definedName>
    <definedName name="_xlnm.Print_Titles" localSheetId="7">일위대가수량금액집계표!$1:$3</definedName>
    <definedName name="_xlnm.Print_Titles" localSheetId="6">일위대가표!$1:$4</definedName>
    <definedName name="_xlnm.Print_Titles" localSheetId="18">자재단가대비표!$1:$4</definedName>
    <definedName name="_xlnm.Print_Titles" localSheetId="14">재료비목록표!$1:$3</definedName>
    <definedName name="_xlnm.Print_Titles" localSheetId="19">재료비수량금액집계표!$1:$3</definedName>
    <definedName name="_xlnm.Print_Titles" localSheetId="12">중기목록표!$1:$3</definedName>
    <definedName name="_xlnm.Print_Titles" localSheetId="13">중기사용료!$1:$4</definedName>
    <definedName name="_xlnm.Print_Titles" localSheetId="23">중기시간금액집계표!$1:$3</definedName>
    <definedName name="_xlnm.Print_Titles" localSheetId="4">착공내역서!$1:$4</definedName>
    <definedName name="_xlnm.Print_Titles" localSheetId="3">총괄설계내역서!$1:$3</definedName>
  </definedNames>
  <calcPr calcId="191029" fullCalcOnLoad="1"/>
</workbook>
</file>

<file path=xl/calcChain.xml><?xml version="1.0" encoding="utf-8"?>
<calcChain xmlns="http://schemas.openxmlformats.org/spreadsheetml/2006/main">
  <c r="D4" i="25" l="1"/>
  <c r="D6" i="25"/>
  <c r="C6" i="25" s="1"/>
  <c r="D7" i="25"/>
  <c r="C7" i="25" s="1"/>
  <c r="D8" i="25"/>
  <c r="C8" i="25" s="1"/>
  <c r="D9" i="25"/>
  <c r="C9" i="25" s="1"/>
  <c r="D10" i="25"/>
  <c r="C10" i="25" s="1"/>
  <c r="D11" i="25"/>
  <c r="C11" i="25" s="1"/>
  <c r="D13" i="25"/>
  <c r="C13" i="25" s="1"/>
  <c r="D14" i="25"/>
  <c r="C14" i="25" s="1"/>
  <c r="D15" i="25"/>
  <c r="C15" i="25" s="1"/>
  <c r="D16" i="25"/>
  <c r="C16" i="25" s="1"/>
  <c r="D17" i="25"/>
  <c r="C17" i="25" s="1"/>
  <c r="D18" i="25"/>
  <c r="C18" i="25" s="1"/>
  <c r="C19" i="25"/>
  <c r="G19" i="25" s="1"/>
  <c r="D19" i="25"/>
  <c r="X19" i="25"/>
  <c r="D20" i="25"/>
  <c r="C20" i="25" s="1"/>
  <c r="D24" i="25"/>
  <c r="D33" i="25"/>
  <c r="C35" i="25"/>
  <c r="D35" i="25"/>
  <c r="E35" i="25"/>
  <c r="F35" i="25"/>
  <c r="G35" i="25"/>
  <c r="H35" i="25"/>
  <c r="I35" i="25"/>
  <c r="J35" i="25"/>
  <c r="D52" i="25"/>
  <c r="D75" i="25"/>
  <c r="D4" i="1"/>
  <c r="A2" i="2"/>
  <c r="B21" i="2"/>
  <c r="G2" i="17"/>
  <c r="J5" i="22" s="1"/>
  <c r="H3" i="17"/>
  <c r="I2" i="22"/>
  <c r="D24" i="1" s="1"/>
  <c r="J3" i="22"/>
  <c r="F4" i="22"/>
  <c r="G4" i="22"/>
  <c r="F5" i="22"/>
  <c r="G5" i="22" s="1"/>
  <c r="G2" i="3"/>
  <c r="D5" i="1" s="1"/>
  <c r="H4" i="3"/>
  <c r="D15" i="3"/>
  <c r="D16" i="3"/>
  <c r="D17" i="3"/>
  <c r="D18" i="3"/>
  <c r="F23" i="3"/>
  <c r="F24" i="3"/>
  <c r="D25" i="3"/>
  <c r="F27" i="3"/>
  <c r="G2" i="16"/>
  <c r="J6" i="21" s="1"/>
  <c r="H3" i="16"/>
  <c r="I2" i="21"/>
  <c r="D23" i="1" s="1"/>
  <c r="J3" i="21"/>
  <c r="F4" i="21"/>
  <c r="G4" i="21" s="1"/>
  <c r="F5" i="21"/>
  <c r="G5" i="21" s="1"/>
  <c r="J5" i="21"/>
  <c r="F6" i="21"/>
  <c r="G6" i="21"/>
  <c r="F7" i="21"/>
  <c r="G7" i="21"/>
  <c r="F8" i="21"/>
  <c r="G8" i="21" s="1"/>
  <c r="F9" i="21"/>
  <c r="G9" i="21" s="1"/>
  <c r="F10" i="21"/>
  <c r="G10" i="21"/>
  <c r="F11" i="21"/>
  <c r="G11" i="21" s="1"/>
  <c r="F12" i="21"/>
  <c r="G12" i="21" s="1"/>
  <c r="F13" i="21"/>
  <c r="G13" i="21"/>
  <c r="J13" i="21"/>
  <c r="F14" i="21"/>
  <c r="G14" i="21"/>
  <c r="G2" i="10"/>
  <c r="B19" i="2" s="1"/>
  <c r="Y4" i="10"/>
  <c r="G5" i="10"/>
  <c r="E17" i="10"/>
  <c r="F17" i="10"/>
  <c r="X17" i="10"/>
  <c r="D19" i="10"/>
  <c r="F19" i="10"/>
  <c r="X19" i="10"/>
  <c r="D21" i="10"/>
  <c r="E21" i="10"/>
  <c r="X21" i="10"/>
  <c r="G40" i="10"/>
  <c r="E64" i="10"/>
  <c r="F64" i="10"/>
  <c r="X64" i="10"/>
  <c r="D66" i="10"/>
  <c r="F66" i="10"/>
  <c r="X66" i="10"/>
  <c r="D68" i="10"/>
  <c r="E68" i="10"/>
  <c r="X68" i="10"/>
  <c r="G75" i="10"/>
  <c r="E86" i="10"/>
  <c r="F86" i="10"/>
  <c r="X86" i="10"/>
  <c r="D88" i="10"/>
  <c r="F88" i="10"/>
  <c r="X88" i="10"/>
  <c r="D90" i="10"/>
  <c r="E90" i="10"/>
  <c r="X90" i="10"/>
  <c r="C96" i="10"/>
  <c r="D96" i="10"/>
  <c r="D98" i="10" s="1"/>
  <c r="E96" i="10"/>
  <c r="I96" i="10"/>
  <c r="B96" i="10" s="1"/>
  <c r="L96" i="10"/>
  <c r="F96" i="10" s="1"/>
  <c r="F98" i="10" s="1"/>
  <c r="X96" i="10"/>
  <c r="Y96" i="10"/>
  <c r="E98" i="10"/>
  <c r="C98" i="10" s="1"/>
  <c r="E114" i="10"/>
  <c r="F114" i="10"/>
  <c r="X114" i="10"/>
  <c r="D116" i="10"/>
  <c r="F116" i="10"/>
  <c r="X116" i="10"/>
  <c r="D118" i="10"/>
  <c r="E118" i="10"/>
  <c r="X118" i="10"/>
  <c r="E146" i="10"/>
  <c r="F146" i="10"/>
  <c r="X146" i="10"/>
  <c r="D148" i="10"/>
  <c r="F148" i="10"/>
  <c r="X148" i="10"/>
  <c r="D150" i="10"/>
  <c r="E150" i="10"/>
  <c r="X150" i="10"/>
  <c r="G180" i="10"/>
  <c r="E189" i="10"/>
  <c r="F189" i="10"/>
  <c r="I189" i="10"/>
  <c r="J189" i="10"/>
  <c r="D189" i="10" s="1"/>
  <c r="D196" i="10" s="1"/>
  <c r="X189" i="10"/>
  <c r="Y189" i="10"/>
  <c r="E194" i="10"/>
  <c r="F194" i="10"/>
  <c r="J194" i="10"/>
  <c r="D194" i="10" s="1"/>
  <c r="C194" i="10" s="1"/>
  <c r="X194" i="10"/>
  <c r="Y194" i="10"/>
  <c r="E196" i="10"/>
  <c r="F196" i="10"/>
  <c r="X200" i="10"/>
  <c r="G215" i="10"/>
  <c r="E227" i="10"/>
  <c r="F227" i="10"/>
  <c r="J227" i="10"/>
  <c r="D227" i="10" s="1"/>
  <c r="D229" i="10" s="1"/>
  <c r="X227" i="10"/>
  <c r="F229" i="10"/>
  <c r="E233" i="10"/>
  <c r="F233" i="10"/>
  <c r="F235" i="10" s="1"/>
  <c r="J233" i="10"/>
  <c r="D233" i="10" s="1"/>
  <c r="C233" i="10" s="1"/>
  <c r="X233" i="10"/>
  <c r="Y233" i="10"/>
  <c r="E235" i="10"/>
  <c r="D239" i="10"/>
  <c r="E239" i="10"/>
  <c r="E241" i="10" s="1"/>
  <c r="F239" i="10"/>
  <c r="F241" i="10" s="1"/>
  <c r="I239" i="10"/>
  <c r="J239" i="10"/>
  <c r="X239" i="10"/>
  <c r="Y239" i="10"/>
  <c r="D241" i="10"/>
  <c r="E245" i="10"/>
  <c r="F245" i="10"/>
  <c r="I245" i="10"/>
  <c r="J245" i="10"/>
  <c r="D245" i="10" s="1"/>
  <c r="X245" i="10"/>
  <c r="D247" i="10"/>
  <c r="E247" i="10"/>
  <c r="F247" i="10"/>
  <c r="G285" i="10"/>
  <c r="E298" i="10"/>
  <c r="F298" i="10"/>
  <c r="X298" i="10"/>
  <c r="D300" i="10"/>
  <c r="F300" i="10"/>
  <c r="X300" i="10"/>
  <c r="D302" i="10"/>
  <c r="E302" i="10"/>
  <c r="X302" i="10"/>
  <c r="E308" i="10"/>
  <c r="C308" i="10" s="1"/>
  <c r="F308" i="10"/>
  <c r="I308" i="10"/>
  <c r="J308" i="10"/>
  <c r="D308" i="10" s="1"/>
  <c r="D312" i="10" s="1"/>
  <c r="X308" i="10"/>
  <c r="Y308" i="10"/>
  <c r="D310" i="10"/>
  <c r="E310" i="10"/>
  <c r="F310" i="10"/>
  <c r="F312" i="10" s="1"/>
  <c r="I310" i="10"/>
  <c r="J310" i="10"/>
  <c r="X310" i="10"/>
  <c r="Y310" i="10"/>
  <c r="G320" i="10"/>
  <c r="C335" i="10"/>
  <c r="B335" i="10" s="1"/>
  <c r="D335" i="10"/>
  <c r="E335" i="10"/>
  <c r="E342" i="10" s="1"/>
  <c r="F335" i="10"/>
  <c r="F342" i="10" s="1"/>
  <c r="I335" i="10"/>
  <c r="J335" i="10"/>
  <c r="X335" i="10"/>
  <c r="Y335" i="10"/>
  <c r="D340" i="10"/>
  <c r="C340" i="10" s="1"/>
  <c r="B340" i="10" s="1"/>
  <c r="E340" i="10"/>
  <c r="F340" i="10"/>
  <c r="I340" i="10"/>
  <c r="J340" i="10"/>
  <c r="X340" i="10"/>
  <c r="Y340" i="10"/>
  <c r="D342" i="10"/>
  <c r="X346" i="10"/>
  <c r="G355" i="10"/>
  <c r="E371" i="10"/>
  <c r="F371" i="10"/>
  <c r="X371" i="10"/>
  <c r="D373" i="10"/>
  <c r="F373" i="10"/>
  <c r="X373" i="10"/>
  <c r="D375" i="10"/>
  <c r="E375" i="10"/>
  <c r="X375" i="10"/>
  <c r="G390" i="10"/>
  <c r="E403" i="10"/>
  <c r="F403" i="10"/>
  <c r="F405" i="10" s="1"/>
  <c r="J403" i="10"/>
  <c r="D403" i="10" s="1"/>
  <c r="D405" i="10" s="1"/>
  <c r="D407" i="10" s="1"/>
  <c r="D424" i="10" s="1"/>
  <c r="D390" i="10" s="1"/>
  <c r="X403" i="10"/>
  <c r="F407" i="10"/>
  <c r="F424" i="10" s="1"/>
  <c r="F390" i="10" s="1"/>
  <c r="G425" i="10"/>
  <c r="E436" i="10"/>
  <c r="E442" i="10" s="1"/>
  <c r="F436" i="10"/>
  <c r="F442" i="10" s="1"/>
  <c r="F459" i="10" s="1"/>
  <c r="F425" i="10" s="1"/>
  <c r="J436" i="10"/>
  <c r="I436" i="10" s="1"/>
  <c r="X436" i="10"/>
  <c r="Y436" i="10"/>
  <c r="E440" i="10"/>
  <c r="F440" i="10"/>
  <c r="J440" i="10"/>
  <c r="I440" i="10" s="1"/>
  <c r="X440" i="10"/>
  <c r="Y440" i="10"/>
  <c r="E459" i="10"/>
  <c r="E425" i="10" s="1"/>
  <c r="G460" i="10"/>
  <c r="D469" i="10"/>
  <c r="E469" i="10"/>
  <c r="C469" i="10" s="1"/>
  <c r="F469" i="10"/>
  <c r="F473" i="10" s="1"/>
  <c r="I469" i="10"/>
  <c r="J469" i="10"/>
  <c r="X469" i="10"/>
  <c r="Y469" i="10"/>
  <c r="C471" i="10"/>
  <c r="D471" i="10"/>
  <c r="E471" i="10"/>
  <c r="F471" i="10"/>
  <c r="J471" i="10"/>
  <c r="I471" i="10" s="1"/>
  <c r="B471" i="10" s="1"/>
  <c r="X471" i="10"/>
  <c r="Y471" i="10"/>
  <c r="D473" i="10"/>
  <c r="E473" i="10"/>
  <c r="C473" i="10" s="1"/>
  <c r="D477" i="10"/>
  <c r="D479" i="10" s="1"/>
  <c r="E477" i="10"/>
  <c r="E479" i="10" s="1"/>
  <c r="E485" i="10"/>
  <c r="F485" i="10"/>
  <c r="X485" i="10"/>
  <c r="D487" i="10"/>
  <c r="F487" i="10"/>
  <c r="X487" i="10"/>
  <c r="D489" i="10"/>
  <c r="E489" i="10"/>
  <c r="X489" i="10"/>
  <c r="G530" i="10"/>
  <c r="E541" i="10"/>
  <c r="F541" i="10"/>
  <c r="F547" i="10" s="1"/>
  <c r="J541" i="10"/>
  <c r="D541" i="10" s="1"/>
  <c r="X541" i="10"/>
  <c r="E545" i="10"/>
  <c r="F545" i="10"/>
  <c r="J545" i="10"/>
  <c r="X545" i="10"/>
  <c r="E547" i="10"/>
  <c r="D551" i="10"/>
  <c r="E551" i="10"/>
  <c r="D553" i="10"/>
  <c r="E553" i="10"/>
  <c r="G565" i="10"/>
  <c r="E576" i="10"/>
  <c r="F576" i="10"/>
  <c r="F582" i="10" s="1"/>
  <c r="J576" i="10"/>
  <c r="X576" i="10"/>
  <c r="E580" i="10"/>
  <c r="C580" i="10" s="1"/>
  <c r="F580" i="10"/>
  <c r="I580" i="10"/>
  <c r="B580" i="10" s="1"/>
  <c r="J580" i="10"/>
  <c r="D580" i="10" s="1"/>
  <c r="X580" i="10"/>
  <c r="Y580" i="10"/>
  <c r="D586" i="10"/>
  <c r="D588" i="10" s="1"/>
  <c r="E586" i="10"/>
  <c r="E588" i="10"/>
  <c r="G600" i="10"/>
  <c r="E611" i="10"/>
  <c r="F611" i="10"/>
  <c r="F617" i="10" s="1"/>
  <c r="J611" i="10"/>
  <c r="X611" i="10"/>
  <c r="Y611" i="10"/>
  <c r="E615" i="10"/>
  <c r="F615" i="10"/>
  <c r="I615" i="10"/>
  <c r="J615" i="10"/>
  <c r="D615" i="10" s="1"/>
  <c r="C615" i="10" s="1"/>
  <c r="X615" i="10"/>
  <c r="E617" i="10"/>
  <c r="D621" i="10"/>
  <c r="E621" i="10"/>
  <c r="E623" i="10" s="1"/>
  <c r="D623" i="10"/>
  <c r="G635" i="10"/>
  <c r="E657" i="10"/>
  <c r="F657" i="10"/>
  <c r="X657" i="10"/>
  <c r="D659" i="10"/>
  <c r="F659" i="10"/>
  <c r="X659" i="10"/>
  <c r="D661" i="10"/>
  <c r="E661" i="10"/>
  <c r="X661" i="10"/>
  <c r="E679" i="10"/>
  <c r="F679" i="10"/>
  <c r="X679" i="10"/>
  <c r="D681" i="10"/>
  <c r="F681" i="10"/>
  <c r="X681" i="10"/>
  <c r="D683" i="10"/>
  <c r="E683" i="10"/>
  <c r="X683" i="10"/>
  <c r="E716" i="10"/>
  <c r="F716" i="10"/>
  <c r="X716" i="10"/>
  <c r="D718" i="10"/>
  <c r="F718" i="10"/>
  <c r="X718" i="10"/>
  <c r="D720" i="10"/>
  <c r="E720" i="10"/>
  <c r="X720" i="10"/>
  <c r="G740" i="10"/>
  <c r="E753" i="10"/>
  <c r="F753" i="10"/>
  <c r="X753" i="10"/>
  <c r="D755" i="10"/>
  <c r="F755" i="10"/>
  <c r="X755" i="10"/>
  <c r="D757" i="10"/>
  <c r="E757" i="10"/>
  <c r="X757" i="10"/>
  <c r="G775" i="10"/>
  <c r="E786" i="10"/>
  <c r="F786" i="10"/>
  <c r="X786" i="10"/>
  <c r="D788" i="10"/>
  <c r="F788" i="10"/>
  <c r="X788" i="10"/>
  <c r="D790" i="10"/>
  <c r="E790" i="10"/>
  <c r="X790" i="10"/>
  <c r="E796" i="10"/>
  <c r="C796" i="10" s="1"/>
  <c r="F796" i="10"/>
  <c r="I796" i="10"/>
  <c r="B796" i="10" s="1"/>
  <c r="J796" i="10"/>
  <c r="D796" i="10" s="1"/>
  <c r="X796" i="10"/>
  <c r="Y796" i="10"/>
  <c r="D798" i="10"/>
  <c r="E798" i="10"/>
  <c r="C798" i="10" s="1"/>
  <c r="F798" i="10"/>
  <c r="J798" i="10"/>
  <c r="I798" i="10" s="1"/>
  <c r="X798" i="10"/>
  <c r="Y798" i="10"/>
  <c r="F800" i="10"/>
  <c r="G810" i="10"/>
  <c r="E827" i="10"/>
  <c r="F827" i="10"/>
  <c r="X827" i="10"/>
  <c r="D829" i="10"/>
  <c r="F829" i="10"/>
  <c r="X829" i="10"/>
  <c r="D831" i="10"/>
  <c r="E831" i="10"/>
  <c r="X831" i="10"/>
  <c r="G845" i="10"/>
  <c r="D857" i="10"/>
  <c r="C857" i="10" s="1"/>
  <c r="E857" i="10"/>
  <c r="F857" i="10"/>
  <c r="I857" i="10"/>
  <c r="B857" i="10" s="1"/>
  <c r="J857" i="10"/>
  <c r="X857" i="10"/>
  <c r="Y857" i="10"/>
  <c r="D859" i="10"/>
  <c r="E859" i="10"/>
  <c r="F859" i="10"/>
  <c r="E863" i="10"/>
  <c r="F863" i="10"/>
  <c r="X863" i="10"/>
  <c r="D865" i="10"/>
  <c r="F865" i="10"/>
  <c r="X865" i="10"/>
  <c r="D867" i="10"/>
  <c r="E867" i="10"/>
  <c r="X867" i="10"/>
  <c r="G879" i="10"/>
  <c r="E898" i="10"/>
  <c r="F898" i="10"/>
  <c r="X898" i="10"/>
  <c r="D900" i="10"/>
  <c r="F900" i="10"/>
  <c r="X900" i="10"/>
  <c r="D902" i="10"/>
  <c r="E902" i="10"/>
  <c r="X902" i="10"/>
  <c r="G913" i="10"/>
  <c r="E919" i="10"/>
  <c r="F919" i="10"/>
  <c r="X919" i="10"/>
  <c r="D920" i="10"/>
  <c r="F920" i="10"/>
  <c r="X920" i="10"/>
  <c r="D921" i="10"/>
  <c r="E921" i="10"/>
  <c r="X921" i="10"/>
  <c r="D927" i="10"/>
  <c r="E927" i="10"/>
  <c r="F927" i="10"/>
  <c r="I927" i="10"/>
  <c r="L927" i="10"/>
  <c r="X927" i="10"/>
  <c r="Y927" i="10"/>
  <c r="D929" i="10"/>
  <c r="F929" i="10"/>
  <c r="E945" i="10"/>
  <c r="F945" i="10"/>
  <c r="X945" i="10"/>
  <c r="D946" i="10"/>
  <c r="F946" i="10"/>
  <c r="X946" i="10"/>
  <c r="D947" i="10"/>
  <c r="E947" i="10"/>
  <c r="X947" i="10"/>
  <c r="G982" i="10"/>
  <c r="E999" i="10"/>
  <c r="F999" i="10"/>
  <c r="X999" i="10"/>
  <c r="D1001" i="10"/>
  <c r="F1001" i="10"/>
  <c r="X1001" i="10"/>
  <c r="D1003" i="10"/>
  <c r="E1003" i="10"/>
  <c r="X1003" i="10"/>
  <c r="G1016" i="10"/>
  <c r="E1026" i="10"/>
  <c r="F1026" i="10"/>
  <c r="X1026" i="10"/>
  <c r="D1028" i="10"/>
  <c r="F1028" i="10"/>
  <c r="X1028" i="10"/>
  <c r="D1030" i="10"/>
  <c r="E1030" i="10"/>
  <c r="X1030" i="10"/>
  <c r="D1038" i="10"/>
  <c r="C1038" i="10" s="1"/>
  <c r="E1038" i="10"/>
  <c r="F1038" i="10"/>
  <c r="I1038" i="10"/>
  <c r="L1038" i="10"/>
  <c r="X1038" i="10"/>
  <c r="Y1038" i="10"/>
  <c r="D1040" i="10"/>
  <c r="E1040" i="10"/>
  <c r="C1040" i="10" s="1"/>
  <c r="F1040" i="10"/>
  <c r="E1059" i="10"/>
  <c r="F1059" i="10"/>
  <c r="X1059" i="10"/>
  <c r="D1061" i="10"/>
  <c r="F1061" i="10"/>
  <c r="X1061" i="10"/>
  <c r="D1063" i="10"/>
  <c r="E1063" i="10"/>
  <c r="X1063" i="10"/>
  <c r="G1085" i="10"/>
  <c r="E1112" i="10"/>
  <c r="F1112" i="10"/>
  <c r="X1112" i="10"/>
  <c r="D1114" i="10"/>
  <c r="F1114" i="10"/>
  <c r="X1114" i="10"/>
  <c r="D1116" i="10"/>
  <c r="E1116" i="10"/>
  <c r="X1116" i="10"/>
  <c r="G1154" i="10"/>
  <c r="E1179" i="10"/>
  <c r="F1179" i="10"/>
  <c r="X1179" i="10"/>
  <c r="D1181" i="10"/>
  <c r="F1181" i="10"/>
  <c r="X1181" i="10"/>
  <c r="D1183" i="10"/>
  <c r="E1183" i="10"/>
  <c r="X1183" i="10"/>
  <c r="G1189" i="10"/>
  <c r="E1203" i="10"/>
  <c r="F1203" i="10"/>
  <c r="X1203" i="10"/>
  <c r="D1205" i="10"/>
  <c r="F1205" i="10"/>
  <c r="X1205" i="10"/>
  <c r="D1207" i="10"/>
  <c r="E1207" i="10"/>
  <c r="X1207" i="10"/>
  <c r="E1229" i="10"/>
  <c r="F1229" i="10"/>
  <c r="X1229" i="10"/>
  <c r="D1231" i="10"/>
  <c r="F1231" i="10"/>
  <c r="X1231" i="10"/>
  <c r="D1233" i="10"/>
  <c r="E1233" i="10"/>
  <c r="X1233" i="10"/>
  <c r="E1246" i="10"/>
  <c r="F1246" i="10"/>
  <c r="X1246" i="10"/>
  <c r="D1248" i="10"/>
  <c r="F1248" i="10"/>
  <c r="X1248" i="10"/>
  <c r="D1250" i="10"/>
  <c r="E1250" i="10"/>
  <c r="X1250" i="10"/>
  <c r="G1258" i="10"/>
  <c r="E1274" i="10"/>
  <c r="F1274" i="10"/>
  <c r="X1274" i="10"/>
  <c r="D1276" i="10"/>
  <c r="F1276" i="10"/>
  <c r="X1276" i="10"/>
  <c r="D1278" i="10"/>
  <c r="E1278" i="10"/>
  <c r="X1278" i="10"/>
  <c r="E1298" i="10"/>
  <c r="F1298" i="10"/>
  <c r="X1298" i="10"/>
  <c r="D1300" i="10"/>
  <c r="F1300" i="10"/>
  <c r="X1300" i="10"/>
  <c r="D1302" i="10"/>
  <c r="E1302" i="10"/>
  <c r="X1302" i="10"/>
  <c r="E1315" i="10"/>
  <c r="F1315" i="10"/>
  <c r="X1315" i="10"/>
  <c r="D1317" i="10"/>
  <c r="F1317" i="10"/>
  <c r="X1317" i="10"/>
  <c r="D1319" i="10"/>
  <c r="E1319" i="10"/>
  <c r="X1319" i="10"/>
  <c r="G1327" i="10"/>
  <c r="E1338" i="10"/>
  <c r="F1338" i="10"/>
  <c r="X1338" i="10"/>
  <c r="D1340" i="10"/>
  <c r="F1340" i="10"/>
  <c r="X1340" i="10"/>
  <c r="D1342" i="10"/>
  <c r="E1342" i="10"/>
  <c r="X1342" i="10"/>
  <c r="D1344" i="10"/>
  <c r="E1344" i="10"/>
  <c r="X1344" i="10"/>
  <c r="G1361" i="10"/>
  <c r="E1380" i="10"/>
  <c r="F1380" i="10"/>
  <c r="X1380" i="10"/>
  <c r="D1382" i="10"/>
  <c r="F1382" i="10"/>
  <c r="X1382" i="10"/>
  <c r="D1384" i="10"/>
  <c r="E1384" i="10"/>
  <c r="X1384" i="10"/>
  <c r="G1395" i="10"/>
  <c r="E1413" i="10"/>
  <c r="F1413" i="10"/>
  <c r="X1413" i="10"/>
  <c r="D1415" i="10"/>
  <c r="F1415" i="10"/>
  <c r="X1415" i="10"/>
  <c r="D1417" i="10"/>
  <c r="E1417" i="10"/>
  <c r="X1417" i="10"/>
  <c r="E1443" i="10"/>
  <c r="F1443" i="10"/>
  <c r="X1443" i="10"/>
  <c r="D1445" i="10"/>
  <c r="F1445" i="10"/>
  <c r="X1445" i="10"/>
  <c r="D1447" i="10"/>
  <c r="E1447" i="10"/>
  <c r="X1447" i="10"/>
  <c r="E1465" i="10"/>
  <c r="F1465" i="10"/>
  <c r="X1465" i="10"/>
  <c r="D1467" i="10"/>
  <c r="F1467" i="10"/>
  <c r="X1467" i="10"/>
  <c r="D1469" i="10"/>
  <c r="E1469" i="10"/>
  <c r="X1469" i="10"/>
  <c r="G1499" i="10"/>
  <c r="D1509" i="10"/>
  <c r="F1509" i="10"/>
  <c r="X1509" i="10"/>
  <c r="E1513" i="10"/>
  <c r="F1513" i="10"/>
  <c r="J1513" i="10"/>
  <c r="X1513" i="10"/>
  <c r="Y1513" i="10"/>
  <c r="D1517" i="10"/>
  <c r="C1517" i="10" s="1"/>
  <c r="E1517" i="10"/>
  <c r="F1517" i="10"/>
  <c r="I1517" i="10"/>
  <c r="J1517" i="10"/>
  <c r="X1517" i="10"/>
  <c r="Y1517" i="10"/>
  <c r="D1521" i="10"/>
  <c r="E1521" i="10"/>
  <c r="D1530" i="10"/>
  <c r="F1530" i="10"/>
  <c r="X1530" i="10"/>
  <c r="E1537" i="10"/>
  <c r="F1537" i="10"/>
  <c r="X1537" i="10"/>
  <c r="D1539" i="10"/>
  <c r="F1539" i="10"/>
  <c r="X1539" i="10"/>
  <c r="D1541" i="10"/>
  <c r="E1541" i="10"/>
  <c r="X1541" i="10"/>
  <c r="E1550" i="10"/>
  <c r="F1550" i="10"/>
  <c r="X1550" i="10"/>
  <c r="D1552" i="10"/>
  <c r="F1552" i="10"/>
  <c r="X1552" i="10"/>
  <c r="D1554" i="10"/>
  <c r="E1554" i="10"/>
  <c r="X1554" i="10"/>
  <c r="G1568" i="10"/>
  <c r="D1575" i="10"/>
  <c r="D1577" i="10" s="1"/>
  <c r="F1575" i="10"/>
  <c r="F1577" i="10" s="1"/>
  <c r="X1575" i="10"/>
  <c r="E1585" i="10"/>
  <c r="F1585" i="10"/>
  <c r="F1591" i="10" s="1"/>
  <c r="I1585" i="10"/>
  <c r="J1585" i="10"/>
  <c r="D1585" i="10" s="1"/>
  <c r="X1585" i="10"/>
  <c r="Y1585" i="10"/>
  <c r="D1587" i="10"/>
  <c r="C1587" i="10" s="1"/>
  <c r="B1587" i="10" s="1"/>
  <c r="E1587" i="10"/>
  <c r="F1587" i="10"/>
  <c r="J1587" i="10"/>
  <c r="I1587" i="10" s="1"/>
  <c r="X1587" i="10"/>
  <c r="Y1587" i="10"/>
  <c r="C1589" i="10"/>
  <c r="E1589" i="10"/>
  <c r="F1589" i="10"/>
  <c r="I1589" i="10"/>
  <c r="B1589" i="10" s="1"/>
  <c r="J1589" i="10"/>
  <c r="D1589" i="10" s="1"/>
  <c r="X1589" i="10"/>
  <c r="Y1589" i="10"/>
  <c r="D1591" i="10"/>
  <c r="E1595" i="10"/>
  <c r="F1595" i="10"/>
  <c r="X1595" i="10"/>
  <c r="D1597" i="10"/>
  <c r="F1597" i="10"/>
  <c r="X1597" i="10"/>
  <c r="D1599" i="10"/>
  <c r="E1599" i="10"/>
  <c r="X1599" i="10"/>
  <c r="C1609" i="10"/>
  <c r="D1609" i="10"/>
  <c r="E1609" i="10"/>
  <c r="E1613" i="10" s="1"/>
  <c r="C1613" i="10" s="1"/>
  <c r="F1609" i="10"/>
  <c r="I1609" i="10"/>
  <c r="J1609" i="10"/>
  <c r="X1609" i="10"/>
  <c r="Y1609" i="10"/>
  <c r="B1611" i="10"/>
  <c r="E1611" i="10"/>
  <c r="F1611" i="10"/>
  <c r="I1611" i="10"/>
  <c r="J1611" i="10"/>
  <c r="D1611" i="10" s="1"/>
  <c r="C1611" i="10" s="1"/>
  <c r="X1611" i="10"/>
  <c r="Y1611" i="10"/>
  <c r="D1613" i="10"/>
  <c r="F1613" i="10"/>
  <c r="D1619" i="10"/>
  <c r="E1619" i="10"/>
  <c r="F1619" i="10"/>
  <c r="J1619" i="10"/>
  <c r="I1619" i="10" s="1"/>
  <c r="X1619" i="10"/>
  <c r="Y1619" i="10"/>
  <c r="E1621" i="10"/>
  <c r="F1621" i="10"/>
  <c r="I1621" i="10"/>
  <c r="J1621" i="10"/>
  <c r="D1621" i="10" s="1"/>
  <c r="D1623" i="10" s="1"/>
  <c r="X1621" i="10"/>
  <c r="Y1621" i="10"/>
  <c r="E1623" i="10"/>
  <c r="D1627" i="10"/>
  <c r="D1629" i="10" s="1"/>
  <c r="E1627" i="10"/>
  <c r="E1629" i="10" s="1"/>
  <c r="C1629" i="10" s="1"/>
  <c r="F1627" i="10"/>
  <c r="I1627" i="10"/>
  <c r="F1629" i="10"/>
  <c r="G1637" i="10"/>
  <c r="D1643" i="10"/>
  <c r="D1645" i="10" s="1"/>
  <c r="F1643" i="10"/>
  <c r="X1643" i="10"/>
  <c r="F1645" i="10"/>
  <c r="E1653" i="10"/>
  <c r="E1659" i="10" s="1"/>
  <c r="F1653" i="10"/>
  <c r="F1659" i="10" s="1"/>
  <c r="J1653" i="10"/>
  <c r="I1653" i="10" s="1"/>
  <c r="X1653" i="10"/>
  <c r="Y1653" i="10"/>
  <c r="E1655" i="10"/>
  <c r="F1655" i="10"/>
  <c r="J1655" i="10"/>
  <c r="I1655" i="10" s="1"/>
  <c r="X1655" i="10"/>
  <c r="Y1655" i="10"/>
  <c r="E1657" i="10"/>
  <c r="F1657" i="10"/>
  <c r="J1657" i="10"/>
  <c r="D1657" i="10" s="1"/>
  <c r="C1657" i="10" s="1"/>
  <c r="X1657" i="10"/>
  <c r="Y1657" i="10"/>
  <c r="E1663" i="10"/>
  <c r="F1663" i="10"/>
  <c r="X1663" i="10"/>
  <c r="D1665" i="10"/>
  <c r="F1665" i="10"/>
  <c r="X1665" i="10"/>
  <c r="D1667" i="10"/>
  <c r="E1667" i="10"/>
  <c r="X1667" i="10"/>
  <c r="E1675" i="10"/>
  <c r="F1675" i="10"/>
  <c r="J1675" i="10"/>
  <c r="I1675" i="10" s="1"/>
  <c r="X1675" i="10"/>
  <c r="Y1675" i="10"/>
  <c r="E1677" i="10"/>
  <c r="F1677" i="10"/>
  <c r="J1677" i="10"/>
  <c r="D1677" i="10" s="1"/>
  <c r="C1677" i="10" s="1"/>
  <c r="X1677" i="10"/>
  <c r="Y1677" i="10"/>
  <c r="C1685" i="10"/>
  <c r="E1685" i="10"/>
  <c r="F1685" i="10"/>
  <c r="J1685" i="10"/>
  <c r="D1685" i="10" s="1"/>
  <c r="D1689" i="10" s="1"/>
  <c r="X1685" i="10"/>
  <c r="Y1685" i="10"/>
  <c r="D1687" i="10"/>
  <c r="E1687" i="10"/>
  <c r="C1687" i="10" s="1"/>
  <c r="F1687" i="10"/>
  <c r="I1687" i="10"/>
  <c r="B1687" i="10" s="1"/>
  <c r="J1687" i="10"/>
  <c r="X1687" i="10"/>
  <c r="Y1687" i="10"/>
  <c r="F1689" i="10"/>
  <c r="D1693" i="10"/>
  <c r="D1695" i="10" s="1"/>
  <c r="E1693" i="10"/>
  <c r="F1693" i="10"/>
  <c r="F1695" i="10" s="1"/>
  <c r="I1693" i="10"/>
  <c r="E1695" i="10"/>
  <c r="C1695" i="10" s="1"/>
  <c r="C1697" i="10"/>
  <c r="D1697" i="10"/>
  <c r="E1697" i="10"/>
  <c r="F1697" i="10"/>
  <c r="G1706" i="10"/>
  <c r="E1716" i="10"/>
  <c r="F1716" i="10"/>
  <c r="X1716" i="10"/>
  <c r="D1718" i="10"/>
  <c r="F1718" i="10"/>
  <c r="X1718" i="10"/>
  <c r="D1720" i="10"/>
  <c r="E1720" i="10"/>
  <c r="X1720" i="10"/>
  <c r="D1722" i="10"/>
  <c r="E1722" i="10"/>
  <c r="X1722" i="10"/>
  <c r="D1730" i="10"/>
  <c r="E1730" i="10"/>
  <c r="C1730" i="10" s="1"/>
  <c r="F1730" i="10"/>
  <c r="I1730" i="10"/>
  <c r="B1730" i="10" s="1"/>
  <c r="L1730" i="10"/>
  <c r="X1730" i="10"/>
  <c r="Y1730" i="10"/>
  <c r="D1732" i="10"/>
  <c r="F1732" i="10"/>
  <c r="D1736" i="10"/>
  <c r="D1738" i="10" s="1"/>
  <c r="E1736" i="10"/>
  <c r="F1736" i="10"/>
  <c r="F1738" i="10" s="1"/>
  <c r="J1736" i="10"/>
  <c r="I1736" i="10" s="1"/>
  <c r="X1736" i="10"/>
  <c r="Y1736" i="10"/>
  <c r="G1775" i="10"/>
  <c r="D1782" i="10"/>
  <c r="F1782" i="10"/>
  <c r="X1782" i="10"/>
  <c r="D1784" i="10"/>
  <c r="F1784" i="10"/>
  <c r="X1784" i="10"/>
  <c r="D1786" i="10"/>
  <c r="E1786" i="10"/>
  <c r="C1786" i="10" s="1"/>
  <c r="F1786" i="10"/>
  <c r="X1786" i="10"/>
  <c r="D1788" i="10"/>
  <c r="F1788" i="10"/>
  <c r="X1788" i="10"/>
  <c r="D1790" i="10"/>
  <c r="F1790" i="10"/>
  <c r="X1790" i="10"/>
  <c r="F1792" i="10"/>
  <c r="C1796" i="10"/>
  <c r="B1796" i="10" s="1"/>
  <c r="D1796" i="10"/>
  <c r="E1796" i="10"/>
  <c r="F1796" i="10"/>
  <c r="F1800" i="10" s="1"/>
  <c r="I1796" i="10"/>
  <c r="J1796" i="10"/>
  <c r="X1796" i="10"/>
  <c r="Y1796" i="10"/>
  <c r="E1798" i="10"/>
  <c r="F1798" i="10"/>
  <c r="J1798" i="10"/>
  <c r="I1798" i="10" s="1"/>
  <c r="X1798" i="10"/>
  <c r="Y1798" i="10"/>
  <c r="E1800" i="10"/>
  <c r="F1802" i="10"/>
  <c r="F1807" i="10" s="1"/>
  <c r="F1808" i="10" s="1"/>
  <c r="F1775" i="10" s="1"/>
  <c r="G1809" i="10"/>
  <c r="E1869" i="10"/>
  <c r="F1869" i="10"/>
  <c r="X1869" i="10"/>
  <c r="D1871" i="10"/>
  <c r="F1871" i="10"/>
  <c r="X1871" i="10"/>
  <c r="D1873" i="10"/>
  <c r="E1873" i="10"/>
  <c r="X1873" i="10"/>
  <c r="E1904" i="10"/>
  <c r="F1904" i="10"/>
  <c r="X1904" i="10"/>
  <c r="D1906" i="10"/>
  <c r="F1906" i="10"/>
  <c r="X1906" i="10"/>
  <c r="D1908" i="10"/>
  <c r="E1908" i="10"/>
  <c r="X1908" i="10"/>
  <c r="D1914" i="10"/>
  <c r="D1946" i="10" s="1"/>
  <c r="D1947" i="10" s="1"/>
  <c r="C1947" i="10" s="1"/>
  <c r="E1914" i="10"/>
  <c r="F1914" i="10"/>
  <c r="I1914" i="10"/>
  <c r="E1946" i="10"/>
  <c r="E1947" i="10" s="1"/>
  <c r="G39" i="9" s="1"/>
  <c r="F1946" i="10"/>
  <c r="F1947" i="10" s="1"/>
  <c r="F1809" i="10" s="1"/>
  <c r="G1948" i="10"/>
  <c r="E1994" i="10"/>
  <c r="F1994" i="10"/>
  <c r="X1994" i="10"/>
  <c r="D1996" i="10"/>
  <c r="F1996" i="10"/>
  <c r="X1996" i="10"/>
  <c r="D1998" i="10"/>
  <c r="E1998" i="10"/>
  <c r="X1998" i="10"/>
  <c r="D2002" i="10"/>
  <c r="E2002" i="10"/>
  <c r="F2002" i="10"/>
  <c r="I2002" i="10"/>
  <c r="D2015" i="10"/>
  <c r="D2016" i="10" s="1"/>
  <c r="D1948" i="10" s="1"/>
  <c r="E2015" i="10"/>
  <c r="E2016" i="10"/>
  <c r="G2017" i="10"/>
  <c r="E2063" i="10"/>
  <c r="F2063" i="10"/>
  <c r="X2063" i="10"/>
  <c r="D2065" i="10"/>
  <c r="F2065" i="10"/>
  <c r="X2065" i="10"/>
  <c r="D2067" i="10"/>
  <c r="E2067" i="10"/>
  <c r="X2067" i="10"/>
  <c r="D2071" i="10"/>
  <c r="D2084" i="10" s="1"/>
  <c r="D2085" i="10" s="1"/>
  <c r="E2071" i="10"/>
  <c r="F2071" i="10"/>
  <c r="F2084" i="10" s="1"/>
  <c r="F2085" i="10" s="1"/>
  <c r="I2071" i="10"/>
  <c r="C2084" i="10"/>
  <c r="E2084" i="10"/>
  <c r="E2085" i="10" s="1"/>
  <c r="D2086" i="10"/>
  <c r="G2086" i="10"/>
  <c r="E2121" i="10"/>
  <c r="F2121" i="10"/>
  <c r="X2121" i="10"/>
  <c r="D2123" i="10"/>
  <c r="F2123" i="10"/>
  <c r="X2123" i="10"/>
  <c r="D2125" i="10"/>
  <c r="E2125" i="10"/>
  <c r="X2125" i="10"/>
  <c r="D2156" i="10"/>
  <c r="E2156" i="10"/>
  <c r="E2158" i="10" s="1"/>
  <c r="F2156" i="10"/>
  <c r="J2156" i="10"/>
  <c r="I2156" i="10" s="1"/>
  <c r="X2156" i="10"/>
  <c r="Y2156" i="10"/>
  <c r="F2158" i="10"/>
  <c r="C2162" i="10"/>
  <c r="D2162" i="10"/>
  <c r="E2162" i="10"/>
  <c r="E2188" i="10" s="1"/>
  <c r="F2162" i="10"/>
  <c r="I2162" i="10"/>
  <c r="B2162" i="10" s="1"/>
  <c r="D2188" i="10"/>
  <c r="D2189" i="10" s="1"/>
  <c r="F2188" i="10"/>
  <c r="F2189" i="10" s="1"/>
  <c r="F2086" i="10" s="1"/>
  <c r="E2189" i="10"/>
  <c r="G2190" i="10"/>
  <c r="E2229" i="10"/>
  <c r="F2229" i="10"/>
  <c r="X2229" i="10"/>
  <c r="D2231" i="10"/>
  <c r="F2231" i="10"/>
  <c r="X2231" i="10"/>
  <c r="D2233" i="10"/>
  <c r="E2233" i="10"/>
  <c r="X2233" i="10"/>
  <c r="D2237" i="10"/>
  <c r="E2237" i="10"/>
  <c r="E2257" i="10" s="1"/>
  <c r="E2258" i="10" s="1"/>
  <c r="E2190" i="10" s="1"/>
  <c r="F2237" i="10"/>
  <c r="I2237" i="10"/>
  <c r="F2257" i="10"/>
  <c r="F2258" i="10" s="1"/>
  <c r="J2" i="9"/>
  <c r="L16" i="11" s="1"/>
  <c r="K3" i="9"/>
  <c r="J4" i="9"/>
  <c r="J5" i="9"/>
  <c r="K5" i="9"/>
  <c r="J6" i="9"/>
  <c r="K6" i="9"/>
  <c r="J7" i="9"/>
  <c r="K7" i="9"/>
  <c r="J8" i="9"/>
  <c r="J9" i="9"/>
  <c r="K9" i="9"/>
  <c r="J10" i="9"/>
  <c r="K10" i="9"/>
  <c r="J11" i="9"/>
  <c r="K11" i="9"/>
  <c r="F12" i="9"/>
  <c r="G12" i="11" s="1"/>
  <c r="H12" i="9"/>
  <c r="J12" i="9"/>
  <c r="K12" i="9"/>
  <c r="G13" i="9"/>
  <c r="H13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H38" i="9"/>
  <c r="I38" i="11" s="1"/>
  <c r="J38" i="9"/>
  <c r="K38" i="9"/>
  <c r="H39" i="9"/>
  <c r="I39" i="11" s="1"/>
  <c r="J39" i="9"/>
  <c r="K39" i="9"/>
  <c r="F40" i="9"/>
  <c r="J40" i="9"/>
  <c r="K40" i="9"/>
  <c r="J41" i="9"/>
  <c r="K41" i="9"/>
  <c r="F42" i="9"/>
  <c r="G42" i="11" s="1"/>
  <c r="G42" i="9"/>
  <c r="H42" i="11" s="1"/>
  <c r="H42" i="9"/>
  <c r="I42" i="11" s="1"/>
  <c r="J42" i="9"/>
  <c r="K42" i="9"/>
  <c r="G43" i="9"/>
  <c r="J43" i="9"/>
  <c r="K43" i="9"/>
  <c r="K2" i="11"/>
  <c r="D13" i="1" s="1"/>
  <c r="L3" i="11"/>
  <c r="I12" i="11"/>
  <c r="L12" i="11"/>
  <c r="H13" i="11"/>
  <c r="I13" i="11"/>
  <c r="L35" i="11"/>
  <c r="H39" i="11"/>
  <c r="G40" i="11"/>
  <c r="H43" i="11"/>
  <c r="J2" i="18"/>
  <c r="Z149" i="7" s="1"/>
  <c r="K3" i="18"/>
  <c r="E4" i="18"/>
  <c r="F4" i="23" s="1"/>
  <c r="G4" i="23" s="1"/>
  <c r="E5" i="18"/>
  <c r="F5" i="23" s="1"/>
  <c r="G5" i="23" s="1"/>
  <c r="E6" i="18"/>
  <c r="F6" i="23" s="1"/>
  <c r="G6" i="23" s="1"/>
  <c r="E7" i="18"/>
  <c r="E8" i="18"/>
  <c r="F8" i="23" s="1"/>
  <c r="G8" i="23" s="1"/>
  <c r="I2" i="23"/>
  <c r="D25" i="1" s="1"/>
  <c r="J3" i="23"/>
  <c r="F7" i="23"/>
  <c r="G7" i="23"/>
  <c r="J2" i="6"/>
  <c r="L6" i="8" s="1"/>
  <c r="K3" i="6"/>
  <c r="J4" i="6"/>
  <c r="J5" i="6"/>
  <c r="J6" i="6"/>
  <c r="J7" i="6"/>
  <c r="K7" i="6"/>
  <c r="J8" i="6"/>
  <c r="J9" i="6"/>
  <c r="J10" i="6"/>
  <c r="J11" i="6"/>
  <c r="J12" i="6"/>
  <c r="J13" i="6"/>
  <c r="J14" i="6"/>
  <c r="K14" i="6"/>
  <c r="J15" i="6"/>
  <c r="J16" i="6"/>
  <c r="J17" i="6"/>
  <c r="J18" i="6"/>
  <c r="J19" i="6"/>
  <c r="J20" i="6"/>
  <c r="J21" i="6"/>
  <c r="J22" i="6"/>
  <c r="J23" i="6"/>
  <c r="J24" i="6"/>
  <c r="K24" i="6"/>
  <c r="J25" i="6"/>
  <c r="J26" i="6"/>
  <c r="J27" i="6"/>
  <c r="J28" i="6"/>
  <c r="K2" i="8"/>
  <c r="D10" i="1" s="1"/>
  <c r="L3" i="8"/>
  <c r="L14" i="8"/>
  <c r="N2" i="7"/>
  <c r="D9" i="1" s="1"/>
  <c r="Z4" i="7"/>
  <c r="N5" i="7"/>
  <c r="H8" i="7"/>
  <c r="L8" i="7"/>
  <c r="H9" i="7"/>
  <c r="L9" i="7"/>
  <c r="H10" i="7"/>
  <c r="L10" i="7"/>
  <c r="H11" i="7"/>
  <c r="L11" i="7"/>
  <c r="N14" i="7"/>
  <c r="E17" i="7"/>
  <c r="F17" i="7"/>
  <c r="G17" i="7"/>
  <c r="H17" i="7"/>
  <c r="J17" i="7"/>
  <c r="J20" i="7" s="1"/>
  <c r="G5" i="6" s="1"/>
  <c r="H5" i="8" s="1"/>
  <c r="L17" i="7"/>
  <c r="Z17" i="7"/>
  <c r="G18" i="7"/>
  <c r="H18" i="7" s="1"/>
  <c r="J18" i="7"/>
  <c r="L18" i="7"/>
  <c r="Z18" i="7"/>
  <c r="H19" i="7"/>
  <c r="J19" i="7"/>
  <c r="N21" i="7"/>
  <c r="H24" i="7"/>
  <c r="L24" i="7"/>
  <c r="L27" i="7" s="1"/>
  <c r="H6" i="6" s="1"/>
  <c r="E25" i="7"/>
  <c r="F25" i="7"/>
  <c r="H25" i="7"/>
  <c r="J25" i="7"/>
  <c r="L25" i="7"/>
  <c r="G26" i="7"/>
  <c r="J26" i="7"/>
  <c r="L26" i="7"/>
  <c r="Z26" i="7"/>
  <c r="N28" i="7"/>
  <c r="H31" i="7"/>
  <c r="L31" i="7"/>
  <c r="G32" i="7"/>
  <c r="E32" i="7" s="1"/>
  <c r="J32" i="7"/>
  <c r="L32" i="7"/>
  <c r="Z32" i="7"/>
  <c r="E33" i="7"/>
  <c r="G33" i="7"/>
  <c r="H33" i="7"/>
  <c r="J33" i="7"/>
  <c r="F33" i="7" s="1"/>
  <c r="L33" i="7"/>
  <c r="Z33" i="7"/>
  <c r="H34" i="7"/>
  <c r="L34" i="7"/>
  <c r="L35" i="7"/>
  <c r="H7" i="6" s="1"/>
  <c r="I7" i="8" s="1"/>
  <c r="N36" i="7"/>
  <c r="N41" i="7"/>
  <c r="G44" i="7"/>
  <c r="E44" i="7" s="1"/>
  <c r="H44" i="7"/>
  <c r="J44" i="7"/>
  <c r="L44" i="7"/>
  <c r="Z44" i="7"/>
  <c r="E45" i="7"/>
  <c r="G45" i="7"/>
  <c r="H45" i="7"/>
  <c r="J45" i="7"/>
  <c r="L45" i="7"/>
  <c r="Z45" i="7"/>
  <c r="N48" i="7"/>
  <c r="G51" i="7"/>
  <c r="E51" i="7" s="1"/>
  <c r="J51" i="7"/>
  <c r="L51" i="7"/>
  <c r="Z51" i="7"/>
  <c r="E52" i="7"/>
  <c r="G52" i="7"/>
  <c r="H52" i="7"/>
  <c r="J52" i="7"/>
  <c r="L52" i="7"/>
  <c r="Z52" i="7"/>
  <c r="N55" i="7"/>
  <c r="G58" i="7"/>
  <c r="J58" i="7"/>
  <c r="L58" i="7"/>
  <c r="Z58" i="7"/>
  <c r="E59" i="7"/>
  <c r="G59" i="7"/>
  <c r="H59" i="7"/>
  <c r="J59" i="7"/>
  <c r="F59" i="7" s="1"/>
  <c r="L59" i="7"/>
  <c r="Z59" i="7"/>
  <c r="H60" i="7"/>
  <c r="J60" i="7"/>
  <c r="N63" i="7"/>
  <c r="H65" i="7"/>
  <c r="H67" i="7" s="1"/>
  <c r="F12" i="6" s="1"/>
  <c r="L65" i="7"/>
  <c r="L67" i="7" s="1"/>
  <c r="H12" i="6" s="1"/>
  <c r="I12" i="8" s="1"/>
  <c r="E66" i="7"/>
  <c r="H66" i="7"/>
  <c r="J66" i="7"/>
  <c r="F66" i="7" s="1"/>
  <c r="L66" i="7"/>
  <c r="N68" i="7"/>
  <c r="H71" i="7"/>
  <c r="L71" i="7"/>
  <c r="H72" i="7"/>
  <c r="I72" i="7"/>
  <c r="L72" i="7"/>
  <c r="H73" i="7"/>
  <c r="L73" i="7"/>
  <c r="H74" i="7"/>
  <c r="L74" i="7"/>
  <c r="Z75" i="7"/>
  <c r="N77" i="7"/>
  <c r="H80" i="7"/>
  <c r="L80" i="7"/>
  <c r="H81" i="7"/>
  <c r="L81" i="7"/>
  <c r="G82" i="7"/>
  <c r="E82" i="7" s="1"/>
  <c r="H82" i="7"/>
  <c r="J82" i="7"/>
  <c r="L82" i="7"/>
  <c r="F82" i="7" s="1"/>
  <c r="Z82" i="7"/>
  <c r="G83" i="7"/>
  <c r="E83" i="7" s="1"/>
  <c r="J83" i="7"/>
  <c r="L83" i="7"/>
  <c r="Z83" i="7"/>
  <c r="H84" i="7"/>
  <c r="J84" i="7"/>
  <c r="N86" i="7"/>
  <c r="G89" i="7"/>
  <c r="J89" i="7"/>
  <c r="L89" i="7"/>
  <c r="Z89" i="7"/>
  <c r="F90" i="7"/>
  <c r="G90" i="7"/>
  <c r="E90" i="7" s="1"/>
  <c r="H90" i="7"/>
  <c r="J90" i="7"/>
  <c r="L90" i="7"/>
  <c r="Z90" i="7"/>
  <c r="N93" i="7"/>
  <c r="E96" i="7"/>
  <c r="F96" i="7"/>
  <c r="G96" i="7"/>
  <c r="H96" i="7"/>
  <c r="J96" i="7"/>
  <c r="L96" i="7"/>
  <c r="Z96" i="7"/>
  <c r="G97" i="7"/>
  <c r="J97" i="7"/>
  <c r="L97" i="7"/>
  <c r="Z97" i="7"/>
  <c r="N100" i="7"/>
  <c r="H102" i="7"/>
  <c r="L102" i="7"/>
  <c r="Z104" i="7"/>
  <c r="Z105" i="7"/>
  <c r="Z106" i="7"/>
  <c r="N109" i="7"/>
  <c r="H111" i="7"/>
  <c r="L111" i="7"/>
  <c r="Z116" i="7"/>
  <c r="Z117" i="7"/>
  <c r="H118" i="7"/>
  <c r="L118" i="7"/>
  <c r="Z120" i="7"/>
  <c r="N124" i="7"/>
  <c r="Z128" i="7"/>
  <c r="N133" i="7"/>
  <c r="E135" i="7"/>
  <c r="G135" i="7"/>
  <c r="H135" i="7"/>
  <c r="I135" i="7"/>
  <c r="J135" i="7"/>
  <c r="K135" i="7"/>
  <c r="L135" i="7"/>
  <c r="Z138" i="7"/>
  <c r="Z140" i="7"/>
  <c r="H141" i="7"/>
  <c r="L141" i="7"/>
  <c r="Z142" i="7"/>
  <c r="Z144" i="7"/>
  <c r="N147" i="7"/>
  <c r="G149" i="7"/>
  <c r="H149" i="7" s="1"/>
  <c r="I149" i="7"/>
  <c r="K149" i="7"/>
  <c r="L149" i="7"/>
  <c r="Z151" i="7"/>
  <c r="Z153" i="7"/>
  <c r="Z155" i="7"/>
  <c r="N158" i="7"/>
  <c r="G160" i="7"/>
  <c r="H160" i="7"/>
  <c r="I160" i="7"/>
  <c r="J160" i="7" s="1"/>
  <c r="K160" i="7"/>
  <c r="L160" i="7"/>
  <c r="Z160" i="7"/>
  <c r="Z163" i="7"/>
  <c r="Z164" i="7"/>
  <c r="H166" i="7"/>
  <c r="L166" i="7"/>
  <c r="Z168" i="7"/>
  <c r="N171" i="7"/>
  <c r="Z173" i="7"/>
  <c r="Z175" i="7"/>
  <c r="Z177" i="7"/>
  <c r="N180" i="7"/>
  <c r="H182" i="7"/>
  <c r="I182" i="7"/>
  <c r="E182" i="7" s="1"/>
  <c r="L182" i="7"/>
  <c r="H184" i="7"/>
  <c r="L184" i="7"/>
  <c r="H185" i="7"/>
  <c r="L185" i="7"/>
  <c r="N188" i="7"/>
  <c r="E191" i="7"/>
  <c r="H191" i="7"/>
  <c r="I191" i="7"/>
  <c r="J191" i="7" s="1"/>
  <c r="F191" i="7" s="1"/>
  <c r="L191" i="7"/>
  <c r="N194" i="7"/>
  <c r="Z196" i="7"/>
  <c r="Z197" i="7"/>
  <c r="K198" i="7"/>
  <c r="L198" i="7" s="1"/>
  <c r="H200" i="7"/>
  <c r="L200" i="7"/>
  <c r="K201" i="7"/>
  <c r="L201" i="7" s="1"/>
  <c r="Z202" i="7"/>
  <c r="Z203" i="7"/>
  <c r="N206" i="7"/>
  <c r="N212" i="7"/>
  <c r="Z215" i="7"/>
  <c r="I216" i="7"/>
  <c r="J216" i="7"/>
  <c r="K216" i="7"/>
  <c r="L216" i="7" s="1"/>
  <c r="H217" i="7"/>
  <c r="L217" i="7"/>
  <c r="G218" i="7"/>
  <c r="H218" i="7"/>
  <c r="K218" i="7"/>
  <c r="L218" i="7"/>
  <c r="R2" i="19"/>
  <c r="H14" i="15" s="1"/>
  <c r="S4" i="19"/>
  <c r="V5" i="19"/>
  <c r="U5" i="19" s="1"/>
  <c r="W5" i="19" s="1"/>
  <c r="V6" i="19"/>
  <c r="U6" i="19" s="1"/>
  <c r="W6" i="19" s="1"/>
  <c r="V7" i="19"/>
  <c r="U7" i="19" s="1"/>
  <c r="W7" i="19" s="1"/>
  <c r="S8" i="19"/>
  <c r="V8" i="19"/>
  <c r="U8" i="19" s="1"/>
  <c r="W8" i="19" s="1"/>
  <c r="V9" i="19"/>
  <c r="U9" i="19" s="1"/>
  <c r="W9" i="19" s="1"/>
  <c r="V10" i="19"/>
  <c r="U10" i="19" s="1"/>
  <c r="W10" i="19" s="1"/>
  <c r="V11" i="19"/>
  <c r="U11" i="19" s="1"/>
  <c r="W11" i="19" s="1"/>
  <c r="V12" i="19"/>
  <c r="U12" i="19" s="1"/>
  <c r="W12" i="19" s="1"/>
  <c r="S13" i="19"/>
  <c r="V13" i="19"/>
  <c r="U13" i="19" s="1"/>
  <c r="W13" i="19" s="1"/>
  <c r="V14" i="19"/>
  <c r="U14" i="19" s="1"/>
  <c r="W14" i="19" s="1"/>
  <c r="V15" i="19"/>
  <c r="U15" i="19" s="1"/>
  <c r="W15" i="19" s="1"/>
  <c r="V16" i="19"/>
  <c r="U16" i="19" s="1"/>
  <c r="W16" i="19" s="1"/>
  <c r="S17" i="19"/>
  <c r="V17" i="19"/>
  <c r="U17" i="19" s="1"/>
  <c r="W17" i="19" s="1"/>
  <c r="V18" i="19"/>
  <c r="U18" i="19" s="1"/>
  <c r="W18" i="19" s="1"/>
  <c r="V19" i="19"/>
  <c r="U19" i="19" s="1"/>
  <c r="W19" i="19" s="1"/>
  <c r="U20" i="19"/>
  <c r="W20" i="19" s="1"/>
  <c r="V20" i="19"/>
  <c r="S21" i="19"/>
  <c r="V21" i="19"/>
  <c r="U21" i="19" s="1"/>
  <c r="W21" i="19" s="1"/>
  <c r="V22" i="19"/>
  <c r="U22" i="19" s="1"/>
  <c r="W22" i="19" s="1"/>
  <c r="V23" i="19"/>
  <c r="U23" i="19" s="1"/>
  <c r="W23" i="19" s="1"/>
  <c r="V24" i="19"/>
  <c r="U24" i="19" s="1"/>
  <c r="W24" i="19" s="1"/>
  <c r="S25" i="19"/>
  <c r="V25" i="19"/>
  <c r="U25" i="19" s="1"/>
  <c r="W25" i="19" s="1"/>
  <c r="V26" i="19"/>
  <c r="U26" i="19" s="1"/>
  <c r="W26" i="19" s="1"/>
  <c r="V27" i="19"/>
  <c r="U27" i="19" s="1"/>
  <c r="W27" i="19" s="1"/>
  <c r="U28" i="19"/>
  <c r="W28" i="19" s="1"/>
  <c r="V28" i="19"/>
  <c r="V29" i="19"/>
  <c r="U29" i="19" s="1"/>
  <c r="W29" i="19" s="1"/>
  <c r="V30" i="19"/>
  <c r="U30" i="19" s="1"/>
  <c r="W30" i="19" s="1"/>
  <c r="V31" i="19"/>
  <c r="U31" i="19" s="1"/>
  <c r="W31" i="19" s="1"/>
  <c r="U32" i="19"/>
  <c r="W32" i="19" s="1"/>
  <c r="V32" i="19"/>
  <c r="S33" i="19"/>
  <c r="V33" i="19"/>
  <c r="U33" i="19" s="1"/>
  <c r="W33" i="19" s="1"/>
  <c r="V34" i="19"/>
  <c r="U34" i="19" s="1"/>
  <c r="W34" i="19" s="1"/>
  <c r="V35" i="19"/>
  <c r="U35" i="19" s="1"/>
  <c r="W35" i="19" s="1"/>
  <c r="U36" i="19"/>
  <c r="W36" i="19" s="1"/>
  <c r="V36" i="19"/>
  <c r="V37" i="19"/>
  <c r="U37" i="19" s="1"/>
  <c r="W37" i="19"/>
  <c r="V38" i="19"/>
  <c r="U38" i="19" s="1"/>
  <c r="W38" i="19" s="1"/>
  <c r="V39" i="19"/>
  <c r="U39" i="19" s="1"/>
  <c r="W39" i="19" s="1"/>
  <c r="S40" i="19"/>
  <c r="U40" i="19"/>
  <c r="W40" i="19" s="1"/>
  <c r="V40" i="19"/>
  <c r="V41" i="19"/>
  <c r="U41" i="19" s="1"/>
  <c r="W41" i="19" s="1"/>
  <c r="G2" i="15"/>
  <c r="Z81" i="7" s="1"/>
  <c r="H3" i="15"/>
  <c r="E4" i="15"/>
  <c r="G4" i="15"/>
  <c r="E5" i="15"/>
  <c r="I200" i="7" s="1"/>
  <c r="G5" i="15"/>
  <c r="E6" i="15"/>
  <c r="I31" i="7" s="1"/>
  <c r="G6" i="15"/>
  <c r="E7" i="15"/>
  <c r="G7" i="15"/>
  <c r="E8" i="15"/>
  <c r="I81" i="7" s="1"/>
  <c r="G8" i="15"/>
  <c r="E9" i="15"/>
  <c r="K1786" i="10" s="1"/>
  <c r="I1786" i="10" s="1"/>
  <c r="G9" i="15"/>
  <c r="E10" i="15"/>
  <c r="G10" i="15"/>
  <c r="E11" i="15"/>
  <c r="G11" i="15"/>
  <c r="E12" i="15"/>
  <c r="I24" i="7" s="1"/>
  <c r="G12" i="15"/>
  <c r="E13" i="15"/>
  <c r="G13" i="15"/>
  <c r="E14" i="15"/>
  <c r="I8" i="7" s="1"/>
  <c r="G14" i="15"/>
  <c r="E15" i="15"/>
  <c r="I9" i="7" s="1"/>
  <c r="G15" i="15"/>
  <c r="E16" i="15"/>
  <c r="K1790" i="10" s="1"/>
  <c r="G16" i="15"/>
  <c r="E17" i="15"/>
  <c r="I102" i="7" s="1"/>
  <c r="G17" i="15"/>
  <c r="E18" i="15"/>
  <c r="G18" i="15"/>
  <c r="E19" i="15"/>
  <c r="G19" i="15"/>
  <c r="E20" i="15"/>
  <c r="G20" i="15"/>
  <c r="E21" i="15"/>
  <c r="I74" i="14" s="1"/>
  <c r="G21" i="15"/>
  <c r="E22" i="15"/>
  <c r="G22" i="15"/>
  <c r="E23" i="15"/>
  <c r="G23" i="15"/>
  <c r="E24" i="15"/>
  <c r="I111" i="7" s="1"/>
  <c r="G24" i="15"/>
  <c r="E25" i="15"/>
  <c r="I25" i="7" s="1"/>
  <c r="G25" i="15"/>
  <c r="E26" i="15"/>
  <c r="G26" i="15"/>
  <c r="E27" i="15"/>
  <c r="G27" i="15"/>
  <c r="E28" i="15"/>
  <c r="I217" i="7" s="1"/>
  <c r="J217" i="7" s="1"/>
  <c r="F217" i="7" s="1"/>
  <c r="G28" i="15"/>
  <c r="E29" i="15"/>
  <c r="K1782" i="10" s="1"/>
  <c r="G29" i="15"/>
  <c r="E30" i="15"/>
  <c r="K1784" i="10" s="1"/>
  <c r="G30" i="15"/>
  <c r="E31" i="15"/>
  <c r="K1575" i="10" s="1"/>
  <c r="G31" i="15"/>
  <c r="E32" i="15"/>
  <c r="G32" i="15"/>
  <c r="E33" i="15"/>
  <c r="G33" i="15"/>
  <c r="E34" i="15"/>
  <c r="G34" i="15"/>
  <c r="E35" i="15"/>
  <c r="G35" i="15"/>
  <c r="E36" i="15"/>
  <c r="F29" i="20" s="1"/>
  <c r="G29" i="20" s="1"/>
  <c r="G36" i="15"/>
  <c r="E37" i="15"/>
  <c r="J63" i="5" s="1"/>
  <c r="G37" i="15"/>
  <c r="E38" i="15"/>
  <c r="G38" i="15"/>
  <c r="E39" i="15"/>
  <c r="G39" i="15"/>
  <c r="E40" i="15"/>
  <c r="F33" i="20" s="1"/>
  <c r="G33" i="20" s="1"/>
  <c r="G40" i="15"/>
  <c r="I2" i="20"/>
  <c r="D22" i="1" s="1"/>
  <c r="J3" i="20"/>
  <c r="F5" i="20"/>
  <c r="G5" i="20" s="1"/>
  <c r="F6" i="20"/>
  <c r="G6" i="20"/>
  <c r="J7" i="20"/>
  <c r="F8" i="20"/>
  <c r="G8" i="20"/>
  <c r="F9" i="20"/>
  <c r="G9" i="20"/>
  <c r="J10" i="20"/>
  <c r="F11" i="20"/>
  <c r="G11" i="20" s="1"/>
  <c r="F12" i="20"/>
  <c r="G12" i="20" s="1"/>
  <c r="F14" i="20"/>
  <c r="G14" i="20" s="1"/>
  <c r="F15" i="20"/>
  <c r="G15" i="20" s="1"/>
  <c r="J15" i="20"/>
  <c r="F16" i="20"/>
  <c r="G16" i="20"/>
  <c r="F20" i="20"/>
  <c r="G20" i="20" s="1"/>
  <c r="J20" i="20"/>
  <c r="F22" i="20"/>
  <c r="G22" i="20" s="1"/>
  <c r="F23" i="20"/>
  <c r="G23" i="20" s="1"/>
  <c r="J23" i="20"/>
  <c r="F24" i="20"/>
  <c r="G24" i="20" s="1"/>
  <c r="J25" i="20"/>
  <c r="F27" i="20"/>
  <c r="G27" i="20" s="1"/>
  <c r="F28" i="20"/>
  <c r="G28" i="20" s="1"/>
  <c r="F30" i="20"/>
  <c r="G30" i="20" s="1"/>
  <c r="J30" i="20"/>
  <c r="F31" i="20"/>
  <c r="G31" i="20" s="1"/>
  <c r="F32" i="20"/>
  <c r="G32" i="20" s="1"/>
  <c r="J33" i="20"/>
  <c r="J2" i="13"/>
  <c r="L17" i="24" s="1"/>
  <c r="K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N2" i="14"/>
  <c r="K18" i="13" s="1"/>
  <c r="Z4" i="14"/>
  <c r="N5" i="14"/>
  <c r="E7" i="14"/>
  <c r="H7" i="14"/>
  <c r="J7" i="14"/>
  <c r="K7" i="14"/>
  <c r="L7" i="14"/>
  <c r="L11" i="14" s="1"/>
  <c r="H4" i="13" s="1"/>
  <c r="Z7" i="14"/>
  <c r="J8" i="14"/>
  <c r="L8" i="14"/>
  <c r="H9" i="14"/>
  <c r="L9" i="14"/>
  <c r="H10" i="14"/>
  <c r="L10" i="14"/>
  <c r="N12" i="14"/>
  <c r="E14" i="14"/>
  <c r="F14" i="14"/>
  <c r="H14" i="14"/>
  <c r="J14" i="14"/>
  <c r="K14" i="14"/>
  <c r="L14" i="14"/>
  <c r="Z14" i="14"/>
  <c r="E15" i="14"/>
  <c r="H15" i="14"/>
  <c r="J15" i="14"/>
  <c r="F15" i="14" s="1"/>
  <c r="K15" i="14"/>
  <c r="L15" i="14" s="1"/>
  <c r="Z15" i="14"/>
  <c r="J16" i="14"/>
  <c r="L16" i="14"/>
  <c r="H17" i="14"/>
  <c r="L17" i="14"/>
  <c r="H18" i="14"/>
  <c r="L18" i="14"/>
  <c r="L19" i="14"/>
  <c r="H5" i="13" s="1"/>
  <c r="N20" i="14"/>
  <c r="H22" i="14"/>
  <c r="J22" i="14"/>
  <c r="K22" i="14"/>
  <c r="E22" i="14" s="1"/>
  <c r="L22" i="14"/>
  <c r="F22" i="14" s="1"/>
  <c r="Z22" i="14"/>
  <c r="J23" i="14"/>
  <c r="L23" i="14"/>
  <c r="H24" i="14"/>
  <c r="I24" i="14"/>
  <c r="J24" i="14" s="1"/>
  <c r="I25" i="14" s="1"/>
  <c r="E25" i="14" s="1"/>
  <c r="L24" i="14"/>
  <c r="H25" i="14"/>
  <c r="L25" i="14"/>
  <c r="N27" i="14"/>
  <c r="H29" i="14"/>
  <c r="J29" i="14"/>
  <c r="K29" i="14"/>
  <c r="E29" i="14" s="1"/>
  <c r="L29" i="14"/>
  <c r="F29" i="14" s="1"/>
  <c r="Z29" i="14"/>
  <c r="J30" i="14"/>
  <c r="L30" i="14"/>
  <c r="E31" i="14"/>
  <c r="H31" i="14"/>
  <c r="I31" i="14"/>
  <c r="J31" i="14" s="1"/>
  <c r="I32" i="14" s="1"/>
  <c r="J32" i="14" s="1"/>
  <c r="L31" i="14"/>
  <c r="Z31" i="14"/>
  <c r="E32" i="14"/>
  <c r="H32" i="14"/>
  <c r="L32" i="14"/>
  <c r="L33" i="14"/>
  <c r="H7" i="13" s="1"/>
  <c r="N34" i="14"/>
  <c r="F36" i="14"/>
  <c r="H36" i="14"/>
  <c r="J36" i="14"/>
  <c r="K36" i="14"/>
  <c r="E36" i="14" s="1"/>
  <c r="L36" i="14"/>
  <c r="L40" i="14" s="1"/>
  <c r="H8" i="13" s="1"/>
  <c r="Z36" i="14"/>
  <c r="J37" i="14"/>
  <c r="L37" i="14"/>
  <c r="H38" i="14"/>
  <c r="L38" i="14"/>
  <c r="Z38" i="14"/>
  <c r="H39" i="14"/>
  <c r="L39" i="14"/>
  <c r="N41" i="14"/>
  <c r="H43" i="14"/>
  <c r="H44" i="14" s="1"/>
  <c r="F9" i="13" s="1"/>
  <c r="J43" i="14"/>
  <c r="K43" i="14"/>
  <c r="E43" i="14" s="1"/>
  <c r="L43" i="14"/>
  <c r="L44" i="14" s="1"/>
  <c r="H9" i="13" s="1"/>
  <c r="Z43" i="14"/>
  <c r="J44" i="14"/>
  <c r="F44" i="14" s="1"/>
  <c r="E9" i="13" s="1"/>
  <c r="N45" i="14"/>
  <c r="E47" i="14"/>
  <c r="H47" i="14"/>
  <c r="H48" i="14" s="1"/>
  <c r="F10" i="13" s="1"/>
  <c r="J47" i="14"/>
  <c r="F47" i="14" s="1"/>
  <c r="K47" i="14"/>
  <c r="L47" i="14"/>
  <c r="Z47" i="14"/>
  <c r="L48" i="14"/>
  <c r="H10" i="13" s="1"/>
  <c r="N49" i="14"/>
  <c r="E51" i="14"/>
  <c r="F51" i="14"/>
  <c r="H51" i="14"/>
  <c r="J51" i="14"/>
  <c r="K51" i="14"/>
  <c r="L51" i="14"/>
  <c r="Z51" i="14"/>
  <c r="J52" i="14"/>
  <c r="L52" i="14"/>
  <c r="H53" i="14"/>
  <c r="L53" i="14"/>
  <c r="H54" i="14"/>
  <c r="L54" i="14"/>
  <c r="L55" i="14"/>
  <c r="H11" i="13" s="1"/>
  <c r="L150" i="10" s="1"/>
  <c r="N56" i="14"/>
  <c r="E58" i="14"/>
  <c r="H58" i="14"/>
  <c r="J58" i="14"/>
  <c r="K58" i="14"/>
  <c r="L58" i="14"/>
  <c r="F58" i="14" s="1"/>
  <c r="Z58" i="14"/>
  <c r="J59" i="14"/>
  <c r="L59" i="14"/>
  <c r="E60" i="14"/>
  <c r="H60" i="14"/>
  <c r="I60" i="14"/>
  <c r="J60" i="14" s="1"/>
  <c r="I61" i="14" s="1"/>
  <c r="J61" i="14" s="1"/>
  <c r="L60" i="14"/>
  <c r="Z60" i="14"/>
  <c r="E61" i="14"/>
  <c r="H61" i="14"/>
  <c r="L61" i="14"/>
  <c r="L62" i="14"/>
  <c r="H12" i="13" s="1"/>
  <c r="L2125" i="10" s="1"/>
  <c r="N63" i="14"/>
  <c r="F65" i="14"/>
  <c r="H65" i="14"/>
  <c r="J65" i="14"/>
  <c r="K65" i="14"/>
  <c r="E65" i="14" s="1"/>
  <c r="L65" i="14"/>
  <c r="L69" i="14" s="1"/>
  <c r="H13" i="13" s="1"/>
  <c r="L1908" i="10" s="1"/>
  <c r="Z65" i="14"/>
  <c r="J66" i="14"/>
  <c r="L66" i="14"/>
  <c r="F67" i="14"/>
  <c r="H67" i="14"/>
  <c r="I67" i="14"/>
  <c r="J67" i="14" s="1"/>
  <c r="I68" i="14" s="1"/>
  <c r="E68" i="14" s="1"/>
  <c r="L67" i="14"/>
  <c r="H68" i="14"/>
  <c r="L68" i="14"/>
  <c r="N70" i="14"/>
  <c r="H72" i="14"/>
  <c r="J72" i="14"/>
  <c r="K72" i="14"/>
  <c r="E72" i="14" s="1"/>
  <c r="L72" i="14"/>
  <c r="F72" i="14" s="1"/>
  <c r="Z72" i="14"/>
  <c r="J73" i="14"/>
  <c r="L73" i="14"/>
  <c r="H74" i="14"/>
  <c r="L74" i="14"/>
  <c r="Z74" i="14"/>
  <c r="H75" i="14"/>
  <c r="L75" i="14"/>
  <c r="L76" i="14"/>
  <c r="H14" i="13" s="1"/>
  <c r="I12" i="24" s="1"/>
  <c r="N77" i="14"/>
  <c r="F79" i="14"/>
  <c r="H79" i="14"/>
  <c r="J79" i="14"/>
  <c r="K79" i="14"/>
  <c r="E79" i="14" s="1"/>
  <c r="L79" i="14"/>
  <c r="L83" i="14" s="1"/>
  <c r="H15" i="13" s="1"/>
  <c r="L1873" i="10" s="1"/>
  <c r="Z79" i="14"/>
  <c r="J80" i="14"/>
  <c r="L80" i="14"/>
  <c r="H81" i="14"/>
  <c r="I81" i="14"/>
  <c r="J81" i="14" s="1"/>
  <c r="I82" i="14" s="1"/>
  <c r="E82" i="14" s="1"/>
  <c r="L81" i="14"/>
  <c r="Z81" i="14"/>
  <c r="H82" i="14"/>
  <c r="L82" i="14"/>
  <c r="N84" i="14"/>
  <c r="H86" i="14"/>
  <c r="J86" i="14"/>
  <c r="K86" i="14"/>
  <c r="E86" i="14" s="1"/>
  <c r="Z86" i="14"/>
  <c r="J87" i="14"/>
  <c r="L87" i="14"/>
  <c r="H88" i="14"/>
  <c r="L88" i="14"/>
  <c r="H89" i="14"/>
  <c r="L89" i="14"/>
  <c r="Z89" i="14"/>
  <c r="N91" i="14"/>
  <c r="H93" i="14"/>
  <c r="J93" i="14"/>
  <c r="K93" i="14"/>
  <c r="E93" i="14" s="1"/>
  <c r="Z93" i="14"/>
  <c r="J94" i="14"/>
  <c r="L94" i="14"/>
  <c r="H95" i="14"/>
  <c r="L95" i="14"/>
  <c r="H96" i="14"/>
  <c r="L96" i="14"/>
  <c r="N98" i="14"/>
  <c r="H100" i="14"/>
  <c r="J100" i="14"/>
  <c r="K100" i="14"/>
  <c r="Z100" i="14"/>
  <c r="J101" i="14"/>
  <c r="L101" i="14"/>
  <c r="H102" i="14"/>
  <c r="L102" i="14"/>
  <c r="H103" i="14"/>
  <c r="L103" i="14"/>
  <c r="N105" i="14"/>
  <c r="E107" i="14"/>
  <c r="H107" i="14"/>
  <c r="F107" i="14" s="1"/>
  <c r="J107" i="14"/>
  <c r="K107" i="14"/>
  <c r="L107" i="14"/>
  <c r="Z107" i="14"/>
  <c r="J108" i="14"/>
  <c r="L108" i="14"/>
  <c r="E109" i="14"/>
  <c r="H109" i="14"/>
  <c r="I109" i="14"/>
  <c r="J109" i="14" s="1"/>
  <c r="L109" i="14"/>
  <c r="Z109" i="14"/>
  <c r="H110" i="14"/>
  <c r="L110" i="14"/>
  <c r="N112" i="14"/>
  <c r="E114" i="14"/>
  <c r="H114" i="14"/>
  <c r="J114" i="14"/>
  <c r="K114" i="14"/>
  <c r="L114" i="14" s="1"/>
  <c r="Z114" i="14"/>
  <c r="J115" i="14"/>
  <c r="L115" i="14"/>
  <c r="H116" i="14"/>
  <c r="L116" i="14"/>
  <c r="H117" i="14"/>
  <c r="L117" i="14"/>
  <c r="N119" i="14"/>
  <c r="E121" i="14"/>
  <c r="H121" i="14"/>
  <c r="F121" i="14" s="1"/>
  <c r="J121" i="14"/>
  <c r="K121" i="14"/>
  <c r="L121" i="14" s="1"/>
  <c r="Z121" i="14"/>
  <c r="J122" i="14"/>
  <c r="L122" i="14"/>
  <c r="H123" i="14"/>
  <c r="L123" i="14"/>
  <c r="H124" i="14"/>
  <c r="L124" i="14"/>
  <c r="N126" i="14"/>
  <c r="E128" i="14"/>
  <c r="H128" i="14"/>
  <c r="J128" i="14"/>
  <c r="K128" i="14"/>
  <c r="L128" i="14" s="1"/>
  <c r="Z128" i="14"/>
  <c r="J129" i="14"/>
  <c r="L129" i="14"/>
  <c r="H130" i="14"/>
  <c r="I130" i="14"/>
  <c r="E130" i="14" s="1"/>
  <c r="J130" i="14"/>
  <c r="F130" i="14" s="1"/>
  <c r="L130" i="14"/>
  <c r="H131" i="14"/>
  <c r="I131" i="14"/>
  <c r="E131" i="14" s="1"/>
  <c r="L131" i="14"/>
  <c r="N133" i="14"/>
  <c r="E135" i="14"/>
  <c r="H135" i="14"/>
  <c r="F135" i="14" s="1"/>
  <c r="J135" i="14"/>
  <c r="K135" i="14"/>
  <c r="L135" i="14" s="1"/>
  <c r="Z135" i="14"/>
  <c r="J136" i="14"/>
  <c r="L136" i="14"/>
  <c r="Z136" i="14"/>
  <c r="H137" i="14"/>
  <c r="I137" i="14"/>
  <c r="E137" i="14" s="1"/>
  <c r="J137" i="14"/>
  <c r="F137" i="14" s="1"/>
  <c r="L137" i="14"/>
  <c r="H138" i="14"/>
  <c r="L138" i="14"/>
  <c r="N140" i="14"/>
  <c r="E142" i="14"/>
  <c r="H142" i="14"/>
  <c r="J142" i="14"/>
  <c r="K142" i="14"/>
  <c r="L142" i="14" s="1"/>
  <c r="Z142" i="14"/>
  <c r="J143" i="14"/>
  <c r="L143" i="14"/>
  <c r="H144" i="14"/>
  <c r="I144" i="14"/>
  <c r="E144" i="14" s="1"/>
  <c r="J144" i="14"/>
  <c r="F144" i="14" s="1"/>
  <c r="L144" i="14"/>
  <c r="H145" i="14"/>
  <c r="I145" i="14"/>
  <c r="E145" i="14" s="1"/>
  <c r="L145" i="14"/>
  <c r="N147" i="14"/>
  <c r="E149" i="14"/>
  <c r="H149" i="14"/>
  <c r="F149" i="14" s="1"/>
  <c r="J149" i="14"/>
  <c r="K149" i="14"/>
  <c r="L149" i="14" s="1"/>
  <c r="Z149" i="14"/>
  <c r="J150" i="14"/>
  <c r="L150" i="14"/>
  <c r="Z150" i="14"/>
  <c r="H151" i="14"/>
  <c r="L151" i="14"/>
  <c r="H152" i="14"/>
  <c r="L152" i="14"/>
  <c r="N154" i="14"/>
  <c r="E156" i="14"/>
  <c r="H156" i="14"/>
  <c r="J156" i="14"/>
  <c r="K156" i="14"/>
  <c r="L156" i="14" s="1"/>
  <c r="Z156" i="14"/>
  <c r="J157" i="14"/>
  <c r="L157" i="14"/>
  <c r="H158" i="14"/>
  <c r="I158" i="14"/>
  <c r="E158" i="14" s="1"/>
  <c r="J158" i="14"/>
  <c r="L158" i="14"/>
  <c r="H159" i="14"/>
  <c r="I159" i="14"/>
  <c r="E159" i="14" s="1"/>
  <c r="L159" i="14"/>
  <c r="Z159" i="14"/>
  <c r="E160" i="14"/>
  <c r="H160" i="14"/>
  <c r="J160" i="14"/>
  <c r="K160" i="14"/>
  <c r="L160" i="14"/>
  <c r="F160" i="14" s="1"/>
  <c r="Z160" i="14"/>
  <c r="N162" i="14"/>
  <c r="H164" i="14"/>
  <c r="J164" i="14"/>
  <c r="K164" i="14"/>
  <c r="L164" i="14" s="1"/>
  <c r="Z164" i="14"/>
  <c r="H165" i="14"/>
  <c r="I165" i="14"/>
  <c r="L165" i="14"/>
  <c r="H166" i="14"/>
  <c r="L166" i="14"/>
  <c r="H167" i="14"/>
  <c r="F27" i="13" s="1"/>
  <c r="J1537" i="10" s="1"/>
  <c r="K2" i="24"/>
  <c r="D26" i="1" s="1"/>
  <c r="L3" i="24"/>
  <c r="L4" i="24"/>
  <c r="I7" i="24"/>
  <c r="G9" i="24"/>
  <c r="G10" i="24"/>
  <c r="L12" i="24"/>
  <c r="L15" i="24"/>
  <c r="L16" i="24"/>
  <c r="L19" i="24"/>
  <c r="L22" i="24"/>
  <c r="O2" i="5"/>
  <c r="Q4" i="4" s="1"/>
  <c r="AC4" i="5"/>
  <c r="O5" i="5"/>
  <c r="O7" i="5"/>
  <c r="O8" i="5"/>
  <c r="AC9" i="5"/>
  <c r="O10" i="5"/>
  <c r="AC11" i="5"/>
  <c r="AC12" i="5"/>
  <c r="AC13" i="5"/>
  <c r="AC14" i="5"/>
  <c r="O15" i="5"/>
  <c r="F16" i="5"/>
  <c r="H16" i="5"/>
  <c r="I16" i="5"/>
  <c r="J16" i="5"/>
  <c r="K16" i="5"/>
  <c r="G16" i="5" s="1"/>
  <c r="L16" i="5"/>
  <c r="M16" i="5"/>
  <c r="AC16" i="5"/>
  <c r="AC17" i="5"/>
  <c r="AC18" i="5"/>
  <c r="AC19" i="5"/>
  <c r="AC20" i="5"/>
  <c r="O21" i="5"/>
  <c r="AC22" i="5"/>
  <c r="AC23" i="5"/>
  <c r="O24" i="5"/>
  <c r="AC25" i="5"/>
  <c r="O27" i="5"/>
  <c r="O28" i="5"/>
  <c r="AC29" i="5"/>
  <c r="AC30" i="5"/>
  <c r="O31" i="5"/>
  <c r="AC33" i="5"/>
  <c r="AC34" i="5"/>
  <c r="AC35" i="5"/>
  <c r="AC36" i="5"/>
  <c r="O37" i="5"/>
  <c r="AC38" i="5"/>
  <c r="AC39" i="5"/>
  <c r="AC40" i="5"/>
  <c r="O41" i="5"/>
  <c r="AC42" i="5"/>
  <c r="AC43" i="5"/>
  <c r="AC44" i="5"/>
  <c r="AC45" i="5"/>
  <c r="O46" i="5"/>
  <c r="AC47" i="5"/>
  <c r="O49" i="5"/>
  <c r="AC50" i="5"/>
  <c r="L51" i="5"/>
  <c r="M51" i="5"/>
  <c r="AC51" i="5"/>
  <c r="O53" i="5"/>
  <c r="J54" i="5"/>
  <c r="K54" i="5"/>
  <c r="L54" i="5"/>
  <c r="M54" i="5" s="1"/>
  <c r="AC54" i="5"/>
  <c r="H55" i="5"/>
  <c r="I55" i="5"/>
  <c r="AC55" i="5"/>
  <c r="AC56" i="5"/>
  <c r="H57" i="5"/>
  <c r="I57" i="5" s="1"/>
  <c r="G57" i="5" s="1"/>
  <c r="J57" i="5"/>
  <c r="K57" i="5"/>
  <c r="L57" i="5"/>
  <c r="M57" i="5"/>
  <c r="AC57" i="5"/>
  <c r="J58" i="5"/>
  <c r="K58" i="5"/>
  <c r="AC58" i="5"/>
  <c r="I60" i="5"/>
  <c r="E9" i="4" s="1"/>
  <c r="O60" i="5"/>
  <c r="I61" i="5"/>
  <c r="J61" i="5"/>
  <c r="F61" i="5" s="1"/>
  <c r="K61" i="5"/>
  <c r="M61" i="5"/>
  <c r="AC61" i="5"/>
  <c r="I62" i="5"/>
  <c r="J62" i="5"/>
  <c r="F62" i="5" s="1"/>
  <c r="M62" i="5"/>
  <c r="M60" i="5" s="1"/>
  <c r="G9" i="4" s="1"/>
  <c r="AC62" i="5"/>
  <c r="F63" i="5"/>
  <c r="G63" i="5"/>
  <c r="I63" i="5"/>
  <c r="K63" i="5"/>
  <c r="M63" i="5"/>
  <c r="AC63" i="5"/>
  <c r="I64" i="5"/>
  <c r="J64" i="5"/>
  <c r="M64" i="5"/>
  <c r="AC64" i="5"/>
  <c r="F65" i="5"/>
  <c r="I65" i="5"/>
  <c r="J65" i="5"/>
  <c r="K65" i="5"/>
  <c r="G65" i="5" s="1"/>
  <c r="M65" i="5"/>
  <c r="AC65" i="5"/>
  <c r="I66" i="5"/>
  <c r="M66" i="5"/>
  <c r="AC66" i="5"/>
  <c r="O67" i="5"/>
  <c r="H68" i="5"/>
  <c r="I68" i="5"/>
  <c r="J68" i="5"/>
  <c r="K68" i="5" s="1"/>
  <c r="L68" i="5"/>
  <c r="M68" i="5"/>
  <c r="AC68" i="5"/>
  <c r="H69" i="5"/>
  <c r="I69" i="5" s="1"/>
  <c r="I67" i="5" s="1"/>
  <c r="E10" i="4" s="1"/>
  <c r="J69" i="5"/>
  <c r="K69" i="5" s="1"/>
  <c r="L69" i="5"/>
  <c r="M69" i="5" s="1"/>
  <c r="AC69" i="5"/>
  <c r="I71" i="5"/>
  <c r="E11" i="4" s="1"/>
  <c r="M71" i="5"/>
  <c r="G11" i="4" s="1"/>
  <c r="O71" i="5"/>
  <c r="F72" i="5"/>
  <c r="G72" i="5"/>
  <c r="I72" i="5"/>
  <c r="J72" i="5"/>
  <c r="K72" i="5"/>
  <c r="M72" i="5"/>
  <c r="AC72" i="5"/>
  <c r="I73" i="5"/>
  <c r="J73" i="5"/>
  <c r="M73" i="5"/>
  <c r="AC73" i="5"/>
  <c r="I74" i="5"/>
  <c r="J74" i="5"/>
  <c r="F74" i="5" s="1"/>
  <c r="M74" i="5"/>
  <c r="AC74" i="5"/>
  <c r="F75" i="5"/>
  <c r="I75" i="5"/>
  <c r="K75" i="5"/>
  <c r="G75" i="5" s="1"/>
  <c r="M75" i="5"/>
  <c r="AC75" i="5"/>
  <c r="H2" i="4"/>
  <c r="Q3" i="4"/>
  <c r="Q7" i="4"/>
  <c r="Q11" i="4"/>
  <c r="Q12" i="4"/>
  <c r="E13" i="4"/>
  <c r="F10" i="3" s="1"/>
  <c r="E14" i="4"/>
  <c r="F13" i="3" s="1"/>
  <c r="E15" i="4"/>
  <c r="F14" i="3" s="1"/>
  <c r="J17" i="4"/>
  <c r="E20" i="4"/>
  <c r="F19" i="3" s="1"/>
  <c r="E21" i="4"/>
  <c r="F20" i="3" s="1"/>
  <c r="E22" i="4"/>
  <c r="F21" i="3" s="1"/>
  <c r="E24" i="4"/>
  <c r="J27" i="4"/>
  <c r="L27" i="4"/>
  <c r="E29" i="4"/>
  <c r="D31" i="4"/>
  <c r="D29" i="3" s="1"/>
  <c r="E31" i="4"/>
  <c r="F29" i="3" s="1"/>
  <c r="J31" i="4"/>
  <c r="L31" i="4"/>
  <c r="I2" i="12"/>
  <c r="Z115" i="14" s="1"/>
  <c r="D6" i="12"/>
  <c r="G6" i="12" s="1"/>
  <c r="G23" i="14" s="1"/>
  <c r="J6" i="12"/>
  <c r="D7" i="12"/>
  <c r="G7" i="12" s="1"/>
  <c r="J7" i="12"/>
  <c r="D8" i="12"/>
  <c r="G8" i="12"/>
  <c r="G129" i="14" s="1"/>
  <c r="J8" i="12"/>
  <c r="F12" i="12"/>
  <c r="J12" i="12"/>
  <c r="F13" i="12"/>
  <c r="J13" i="12"/>
  <c r="F14" i="12"/>
  <c r="J14" i="12"/>
  <c r="F15" i="12"/>
  <c r="J15" i="12"/>
  <c r="J16" i="12"/>
  <c r="F17" i="25" l="1"/>
  <c r="L17" i="25"/>
  <c r="H16" i="25"/>
  <c r="E16" i="25"/>
  <c r="K16" i="25"/>
  <c r="L16" i="25"/>
  <c r="M16" i="25"/>
  <c r="S16" i="25"/>
  <c r="J14" i="25"/>
  <c r="F14" i="25"/>
  <c r="N14" i="25"/>
  <c r="P14" i="25"/>
  <c r="R14" i="25"/>
  <c r="F13" i="25"/>
  <c r="K13" i="25"/>
  <c r="I13" i="25"/>
  <c r="J13" i="25"/>
  <c r="G9" i="25"/>
  <c r="N9" i="25"/>
  <c r="G11" i="25"/>
  <c r="F11" i="25"/>
  <c r="R11" i="25"/>
  <c r="L10" i="24"/>
  <c r="Z158" i="14"/>
  <c r="Z122" i="14"/>
  <c r="Z24" i="14"/>
  <c r="Z17" i="14"/>
  <c r="J21" i="20"/>
  <c r="J11" i="20"/>
  <c r="H35" i="15"/>
  <c r="S18" i="19"/>
  <c r="S9" i="19"/>
  <c r="Z141" i="7"/>
  <c r="Z127" i="7"/>
  <c r="Y576" i="10"/>
  <c r="Y541" i="10"/>
  <c r="Y227" i="10"/>
  <c r="H24" i="15"/>
  <c r="H18" i="15"/>
  <c r="H40" i="15"/>
  <c r="H29" i="15"/>
  <c r="H12" i="15"/>
  <c r="L8" i="24"/>
  <c r="Z53" i="14"/>
  <c r="J29" i="20"/>
  <c r="J19" i="20"/>
  <c r="J9" i="20"/>
  <c r="H34" i="15"/>
  <c r="S39" i="19"/>
  <c r="Z118" i="7"/>
  <c r="L20" i="11"/>
  <c r="K4" i="9"/>
  <c r="AC32" i="5"/>
  <c r="L7" i="24"/>
  <c r="Z96" i="14"/>
  <c r="Z88" i="14"/>
  <c r="Z66" i="14"/>
  <c r="Z9" i="14"/>
  <c r="J28" i="20"/>
  <c r="J18" i="20"/>
  <c r="H17" i="15"/>
  <c r="S32" i="19"/>
  <c r="S24" i="19"/>
  <c r="S16" i="19"/>
  <c r="S7" i="19"/>
  <c r="Z191" i="7"/>
  <c r="Z139" i="7"/>
  <c r="K23" i="6"/>
  <c r="J6" i="23"/>
  <c r="Z80" i="14"/>
  <c r="J17" i="20"/>
  <c r="H28" i="15"/>
  <c r="H11" i="15"/>
  <c r="H5" i="15"/>
  <c r="S38" i="19"/>
  <c r="L22" i="8"/>
  <c r="J5" i="23"/>
  <c r="L6" i="24"/>
  <c r="Z110" i="14"/>
  <c r="J27" i="20"/>
  <c r="J16" i="20"/>
  <c r="J8" i="20"/>
  <c r="H33" i="15"/>
  <c r="H22" i="15"/>
  <c r="S31" i="19"/>
  <c r="S23" i="19"/>
  <c r="S15" i="19"/>
  <c r="Z209" i="7"/>
  <c r="Z135" i="7"/>
  <c r="L21" i="8"/>
  <c r="K22" i="6"/>
  <c r="K10" i="6"/>
  <c r="B25" i="2"/>
  <c r="H6" i="15"/>
  <c r="Z103" i="14"/>
  <c r="Z95" i="14"/>
  <c r="H38" i="15"/>
  <c r="H16" i="15"/>
  <c r="S5" i="19"/>
  <c r="L20" i="8"/>
  <c r="B23" i="2"/>
  <c r="Q8" i="4"/>
  <c r="L20" i="24"/>
  <c r="J26" i="20"/>
  <c r="H27" i="15"/>
  <c r="H10" i="15"/>
  <c r="H4" i="15"/>
  <c r="S37" i="19"/>
  <c r="S30" i="19"/>
  <c r="Z166" i="7"/>
  <c r="L19" i="8"/>
  <c r="B22" i="2"/>
  <c r="Q5" i="4"/>
  <c r="L18" i="24"/>
  <c r="Z102" i="14"/>
  <c r="J24" i="20"/>
  <c r="J6" i="20"/>
  <c r="H37" i="15"/>
  <c r="H15" i="15"/>
  <c r="S29" i="19"/>
  <c r="Z201" i="7"/>
  <c r="L12" i="8"/>
  <c r="Z116" i="14"/>
  <c r="J14" i="20"/>
  <c r="H26" i="15"/>
  <c r="S36" i="19"/>
  <c r="S12" i="19"/>
  <c r="K18" i="6"/>
  <c r="K8" i="9"/>
  <c r="Y615" i="10"/>
  <c r="Y545" i="10"/>
  <c r="Y245" i="10"/>
  <c r="D19" i="1"/>
  <c r="H31" i="15"/>
  <c r="H20" i="15"/>
  <c r="S20" i="19"/>
  <c r="Z184" i="7"/>
  <c r="K6" i="6"/>
  <c r="L14" i="24"/>
  <c r="Z165" i="14"/>
  <c r="Z137" i="14"/>
  <c r="Z123" i="14"/>
  <c r="Z18" i="14"/>
  <c r="J32" i="20"/>
  <c r="J13" i="20"/>
  <c r="J5" i="20"/>
  <c r="H36" i="15"/>
  <c r="H8" i="15"/>
  <c r="S35" i="19"/>
  <c r="S28" i="19"/>
  <c r="S11" i="19"/>
  <c r="Z162" i="7"/>
  <c r="H32" i="15"/>
  <c r="Z144" i="14"/>
  <c r="Z130" i="14"/>
  <c r="Z82" i="14"/>
  <c r="J22" i="20"/>
  <c r="J12" i="20"/>
  <c r="H25" i="15"/>
  <c r="S41" i="19"/>
  <c r="S19" i="19"/>
  <c r="Z217" i="7"/>
  <c r="Z199" i="7"/>
  <c r="Z39" i="7"/>
  <c r="H21" i="15"/>
  <c r="L11" i="24"/>
  <c r="Z151" i="14"/>
  <c r="Z67" i="14"/>
  <c r="J31" i="20"/>
  <c r="J4" i="20"/>
  <c r="H30" i="15"/>
  <c r="H13" i="15"/>
  <c r="S34" i="19"/>
  <c r="S27" i="19"/>
  <c r="Z198" i="7"/>
  <c r="K26" i="6"/>
  <c r="K15" i="6"/>
  <c r="Y403" i="10"/>
  <c r="E129" i="14"/>
  <c r="H129" i="14"/>
  <c r="F129" i="14" s="1"/>
  <c r="J33" i="14"/>
  <c r="F32" i="14"/>
  <c r="J62" i="14"/>
  <c r="F61" i="14"/>
  <c r="H23" i="14"/>
  <c r="E23" i="14"/>
  <c r="G101" i="14"/>
  <c r="G8" i="14"/>
  <c r="G59" i="14"/>
  <c r="G143" i="14"/>
  <c r="G52" i="14"/>
  <c r="G66" i="14"/>
  <c r="L902" i="10"/>
  <c r="L1469" i="10"/>
  <c r="L68" i="10"/>
  <c r="L1342" i="10"/>
  <c r="L1250" i="10"/>
  <c r="L1207" i="10"/>
  <c r="L1417" i="10"/>
  <c r="L867" i="10"/>
  <c r="L1720" i="10"/>
  <c r="I8" i="24"/>
  <c r="H132" i="14"/>
  <c r="F22" i="13" s="1"/>
  <c r="I1908" i="10"/>
  <c r="F1908" i="10"/>
  <c r="L167" i="14"/>
  <c r="H27" i="13" s="1"/>
  <c r="F164" i="14"/>
  <c r="F1873" i="10"/>
  <c r="I1873" i="10"/>
  <c r="K61" i="7"/>
  <c r="L61" i="7" s="1"/>
  <c r="I4" i="24"/>
  <c r="F109" i="14"/>
  <c r="I110" i="14"/>
  <c r="J74" i="14"/>
  <c r="E74" i="14"/>
  <c r="L1722" i="10"/>
  <c r="I9" i="24"/>
  <c r="K67" i="5"/>
  <c r="F10" i="4" s="1"/>
  <c r="G68" i="5"/>
  <c r="L90" i="10"/>
  <c r="L1030" i="10"/>
  <c r="L921" i="10"/>
  <c r="I5" i="24"/>
  <c r="K71" i="5"/>
  <c r="F11" i="4" s="1"/>
  <c r="K74" i="5"/>
  <c r="G74" i="5" s="1"/>
  <c r="F156" i="14"/>
  <c r="F142" i="14"/>
  <c r="F128" i="14"/>
  <c r="F114" i="14"/>
  <c r="Z108" i="14"/>
  <c r="E67" i="14"/>
  <c r="I53" i="14"/>
  <c r="L1344" i="10"/>
  <c r="I10" i="24"/>
  <c r="Z37" i="14"/>
  <c r="F24" i="14"/>
  <c r="K10" i="13"/>
  <c r="E102" i="7"/>
  <c r="J102" i="7"/>
  <c r="D1537" i="10"/>
  <c r="D1543" i="10" s="1"/>
  <c r="I1537" i="10"/>
  <c r="K62" i="5"/>
  <c r="G62" i="5" s="1"/>
  <c r="E164" i="14"/>
  <c r="G150" i="14"/>
  <c r="G136" i="14"/>
  <c r="G122" i="14"/>
  <c r="L93" i="14"/>
  <c r="L97" i="14" s="1"/>
  <c r="H17" i="13" s="1"/>
  <c r="G80" i="14"/>
  <c r="J48" i="14"/>
  <c r="F43" i="14"/>
  <c r="E24" i="14"/>
  <c r="E200" i="7"/>
  <c r="J200" i="7"/>
  <c r="F200" i="7" s="1"/>
  <c r="Z23" i="14"/>
  <c r="I65" i="7"/>
  <c r="I166" i="7"/>
  <c r="I141" i="7"/>
  <c r="I118" i="7"/>
  <c r="D7" i="1"/>
  <c r="B16" i="2"/>
  <c r="Q6" i="4"/>
  <c r="Q10" i="4"/>
  <c r="I116" i="14"/>
  <c r="G108" i="14"/>
  <c r="F93" i="14"/>
  <c r="Z52" i="14"/>
  <c r="G37" i="14"/>
  <c r="K14" i="13"/>
  <c r="F100" i="14"/>
  <c r="J24" i="7"/>
  <c r="E24" i="7"/>
  <c r="L153" i="14"/>
  <c r="H25" i="13" s="1"/>
  <c r="L2233" i="10" s="1"/>
  <c r="L139" i="14"/>
  <c r="H23" i="13" s="1"/>
  <c r="L125" i="14"/>
  <c r="H21" i="13" s="1"/>
  <c r="Z87" i="14"/>
  <c r="J82" i="14"/>
  <c r="J69" i="14"/>
  <c r="F23" i="14"/>
  <c r="F7" i="14"/>
  <c r="K1530" i="10"/>
  <c r="F21" i="20"/>
  <c r="G21" i="20" s="1"/>
  <c r="K1788" i="10"/>
  <c r="F10" i="20"/>
  <c r="G10" i="20" s="1"/>
  <c r="I185" i="7"/>
  <c r="F4" i="20"/>
  <c r="G4" i="20" s="1"/>
  <c r="C1809" i="10"/>
  <c r="E39" i="9"/>
  <c r="G22" i="24"/>
  <c r="Z157" i="14"/>
  <c r="Z143" i="14"/>
  <c r="Z129" i="14"/>
  <c r="L111" i="14"/>
  <c r="H19" i="13" s="1"/>
  <c r="L26" i="14"/>
  <c r="H6" i="13" s="1"/>
  <c r="G9" i="13"/>
  <c r="H9" i="24" s="1"/>
  <c r="F9" i="24" s="1"/>
  <c r="K1643" i="10"/>
  <c r="F26" i="20"/>
  <c r="G26" i="20" s="1"/>
  <c r="I88" i="14"/>
  <c r="I95" i="14"/>
  <c r="I102" i="14"/>
  <c r="I17" i="14"/>
  <c r="F16" i="12"/>
  <c r="F68" i="5"/>
  <c r="F158" i="14"/>
  <c r="J161" i="14"/>
  <c r="G87" i="14"/>
  <c r="G94" i="14"/>
  <c r="G16" i="14"/>
  <c r="F64" i="5"/>
  <c r="K64" i="5"/>
  <c r="G64" i="5" s="1"/>
  <c r="I138" i="14"/>
  <c r="J68" i="14"/>
  <c r="F68" i="14" s="1"/>
  <c r="F150" i="10"/>
  <c r="I150" i="10"/>
  <c r="J26" i="14"/>
  <c r="I9" i="14"/>
  <c r="K73" i="5"/>
  <c r="G73" i="5" s="1"/>
  <c r="F73" i="5"/>
  <c r="G69" i="5"/>
  <c r="D14" i="1"/>
  <c r="Z16" i="14"/>
  <c r="Z101" i="14"/>
  <c r="I11" i="24"/>
  <c r="Z73" i="14"/>
  <c r="F60" i="14"/>
  <c r="F31" i="14"/>
  <c r="I6" i="8"/>
  <c r="K139" i="7"/>
  <c r="L139" i="7" s="1"/>
  <c r="K114" i="7"/>
  <c r="L114" i="7" s="1"/>
  <c r="K165" i="7"/>
  <c r="L165" i="7" s="1"/>
  <c r="E165" i="14"/>
  <c r="J165" i="14"/>
  <c r="J25" i="14"/>
  <c r="F25" i="14" s="1"/>
  <c r="D16" i="1"/>
  <c r="K4" i="13"/>
  <c r="K12" i="13"/>
  <c r="K20" i="13"/>
  <c r="K7" i="13"/>
  <c r="K15" i="13"/>
  <c r="K23" i="13"/>
  <c r="K5" i="13"/>
  <c r="K13" i="13"/>
  <c r="K21" i="13"/>
  <c r="K8" i="13"/>
  <c r="K16" i="13"/>
  <c r="K24" i="13"/>
  <c r="K11" i="13"/>
  <c r="K19" i="13"/>
  <c r="K27" i="13"/>
  <c r="K9" i="13"/>
  <c r="K17" i="13"/>
  <c r="K25" i="13"/>
  <c r="F69" i="5"/>
  <c r="G157" i="14"/>
  <c r="G115" i="14"/>
  <c r="L86" i="14"/>
  <c r="Z59" i="14"/>
  <c r="Z30" i="14"/>
  <c r="K22" i="13"/>
  <c r="F19" i="20"/>
  <c r="G19" i="20" s="1"/>
  <c r="E81" i="7"/>
  <c r="J81" i="7"/>
  <c r="F81" i="7" s="1"/>
  <c r="L1447" i="10"/>
  <c r="L1233" i="10"/>
  <c r="G73" i="14"/>
  <c r="I184" i="7"/>
  <c r="F18" i="20"/>
  <c r="G18" i="20" s="1"/>
  <c r="J66" i="5"/>
  <c r="Z8" i="14"/>
  <c r="Q9" i="4"/>
  <c r="M67" i="5"/>
  <c r="G10" i="4" s="1"/>
  <c r="F57" i="5"/>
  <c r="I151" i="14"/>
  <c r="I123" i="14"/>
  <c r="H26" i="14"/>
  <c r="F6" i="13" s="1"/>
  <c r="K1509" i="10"/>
  <c r="F7" i="20"/>
  <c r="G7" i="20" s="1"/>
  <c r="E31" i="7"/>
  <c r="J31" i="7"/>
  <c r="G61" i="5"/>
  <c r="L161" i="14"/>
  <c r="H26" i="13" s="1"/>
  <c r="L146" i="14"/>
  <c r="H24" i="13" s="1"/>
  <c r="L132" i="14"/>
  <c r="H22" i="13" s="1"/>
  <c r="L118" i="14"/>
  <c r="H20" i="13" s="1"/>
  <c r="Z94" i="14"/>
  <c r="F81" i="14"/>
  <c r="F2125" i="10"/>
  <c r="I2125" i="10"/>
  <c r="I38" i="14"/>
  <c r="L1003" i="10"/>
  <c r="L1063" i="10"/>
  <c r="G30" i="14"/>
  <c r="K26" i="13"/>
  <c r="G71" i="5"/>
  <c r="D11" i="4" s="1"/>
  <c r="J159" i="14"/>
  <c r="F159" i="14" s="1"/>
  <c r="J145" i="14"/>
  <c r="F145" i="14" s="1"/>
  <c r="J131" i="14"/>
  <c r="F131" i="14" s="1"/>
  <c r="E100" i="14"/>
  <c r="L100" i="14"/>
  <c r="L104" i="14" s="1"/>
  <c r="H18" i="13" s="1"/>
  <c r="E81" i="14"/>
  <c r="K6" i="13"/>
  <c r="J111" i="7"/>
  <c r="E111" i="7"/>
  <c r="F17" i="20"/>
  <c r="G17" i="20" s="1"/>
  <c r="I80" i="7"/>
  <c r="E217" i="7"/>
  <c r="L21" i="24"/>
  <c r="L5" i="24"/>
  <c r="F25" i="20"/>
  <c r="G25" i="20" s="1"/>
  <c r="I1784" i="10"/>
  <c r="B1784" i="10" s="1"/>
  <c r="E1784" i="10"/>
  <c r="C1784" i="10" s="1"/>
  <c r="S14" i="19"/>
  <c r="Z98" i="7"/>
  <c r="H83" i="7"/>
  <c r="L24" i="11"/>
  <c r="E149" i="7"/>
  <c r="J149" i="7"/>
  <c r="Y2229" i="10"/>
  <c r="F160" i="7"/>
  <c r="E89" i="7"/>
  <c r="H89" i="7"/>
  <c r="E72" i="7"/>
  <c r="J72" i="7"/>
  <c r="F72" i="7" s="1"/>
  <c r="F13" i="20"/>
  <c r="G13" i="20" s="1"/>
  <c r="Z182" i="7"/>
  <c r="G201" i="7"/>
  <c r="H201" i="7" s="1"/>
  <c r="G12" i="8"/>
  <c r="B2156" i="10"/>
  <c r="D15" i="1"/>
  <c r="Y19" i="10"/>
  <c r="Y88" i="10"/>
  <c r="Y68" i="10"/>
  <c r="Y298" i="10"/>
  <c r="Y146" i="10"/>
  <c r="Y17" i="10"/>
  <c r="Y86" i="10"/>
  <c r="Y375" i="10"/>
  <c r="Y66" i="10"/>
  <c r="Y718" i="10"/>
  <c r="Y921" i="10"/>
  <c r="Y21" i="10"/>
  <c r="Y90" i="10"/>
  <c r="Y118" i="10"/>
  <c r="Y683" i="10"/>
  <c r="Y302" i="10"/>
  <c r="Y1001" i="10"/>
  <c r="Y1384" i="10"/>
  <c r="Y1539" i="10"/>
  <c r="Y114" i="10"/>
  <c r="Y829" i="10"/>
  <c r="Y900" i="10"/>
  <c r="Y1026" i="10"/>
  <c r="Y1114" i="10"/>
  <c r="Y1467" i="10"/>
  <c r="Y64" i="10"/>
  <c r="Y371" i="10"/>
  <c r="Y485" i="10"/>
  <c r="Y657" i="10"/>
  <c r="Y661" i="10"/>
  <c r="Y150" i="10"/>
  <c r="Y489" i="10"/>
  <c r="Y757" i="10"/>
  <c r="Y1231" i="10"/>
  <c r="Y827" i="10"/>
  <c r="Y898" i="10"/>
  <c r="Y999" i="10"/>
  <c r="Y1112" i="10"/>
  <c r="Y1465" i="10"/>
  <c r="Y1554" i="10"/>
  <c r="Y116" i="10"/>
  <c r="Y300" i="10"/>
  <c r="Y786" i="10"/>
  <c r="Y902" i="10"/>
  <c r="Y1003" i="10"/>
  <c r="Y1116" i="10"/>
  <c r="Y1315" i="10"/>
  <c r="Y1338" i="10"/>
  <c r="Y1443" i="10"/>
  <c r="Y1541" i="10"/>
  <c r="Y659" i="10"/>
  <c r="Y716" i="10"/>
  <c r="Y373" i="10"/>
  <c r="Y487" i="10"/>
  <c r="Y720" i="10"/>
  <c r="Y755" i="10"/>
  <c r="Y790" i="10"/>
  <c r="Y863" i="10"/>
  <c r="Y945" i="10"/>
  <c r="Y1059" i="10"/>
  <c r="Y1246" i="10"/>
  <c r="Y1274" i="10"/>
  <c r="Y1319" i="10"/>
  <c r="Y1342" i="10"/>
  <c r="Y1447" i="10"/>
  <c r="Y867" i="10"/>
  <c r="Y1203" i="10"/>
  <c r="Y1250" i="10"/>
  <c r="Y1278" i="10"/>
  <c r="Y753" i="10"/>
  <c r="Y831" i="10"/>
  <c r="Y1061" i="10"/>
  <c r="Y1233" i="10"/>
  <c r="Y1300" i="10"/>
  <c r="Y1413" i="10"/>
  <c r="Y1718" i="10"/>
  <c r="Y1996" i="10"/>
  <c r="Y2233" i="10"/>
  <c r="Y946" i="10"/>
  <c r="Y1344" i="10"/>
  <c r="Y1663" i="10"/>
  <c r="Y1904" i="10"/>
  <c r="Y919" i="10"/>
  <c r="Y1179" i="10"/>
  <c r="Y1229" i="10"/>
  <c r="Y1380" i="10"/>
  <c r="Y1028" i="10"/>
  <c r="Y1205" i="10"/>
  <c r="Y788" i="10"/>
  <c r="Y1317" i="10"/>
  <c r="Y1340" i="10"/>
  <c r="Y679" i="10"/>
  <c r="Y1063" i="10"/>
  <c r="Y1302" i="10"/>
  <c r="Y1415" i="10"/>
  <c r="Y148" i="10"/>
  <c r="Y920" i="10"/>
  <c r="Y947" i="10"/>
  <c r="Y1181" i="10"/>
  <c r="Y865" i="10"/>
  <c r="Y1030" i="10"/>
  <c r="Y1469" i="10"/>
  <c r="Y1207" i="10"/>
  <c r="Y1382" i="10"/>
  <c r="Y1720" i="10"/>
  <c r="Y1998" i="10"/>
  <c r="Y2063" i="10"/>
  <c r="Y681" i="10"/>
  <c r="Y1298" i="10"/>
  <c r="Y1276" i="10"/>
  <c r="Y1445" i="10"/>
  <c r="Y1599" i="10"/>
  <c r="Y1871" i="10"/>
  <c r="Y2067" i="10"/>
  <c r="Y2121" i="10"/>
  <c r="Y1183" i="10"/>
  <c r="Y2125" i="10"/>
  <c r="Y1873" i="10"/>
  <c r="Y1550" i="10"/>
  <c r="Y1869" i="10"/>
  <c r="Y1537" i="10"/>
  <c r="Y2065" i="10"/>
  <c r="Y1595" i="10"/>
  <c r="Y1248" i="10"/>
  <c r="Y1417" i="10"/>
  <c r="Y1552" i="10"/>
  <c r="Y1665" i="10"/>
  <c r="Y2123" i="10"/>
  <c r="Y2231" i="10"/>
  <c r="Y1597" i="10"/>
  <c r="Y1716" i="10"/>
  <c r="Y1722" i="10"/>
  <c r="Y1906" i="10"/>
  <c r="Z61" i="7"/>
  <c r="Z53" i="7"/>
  <c r="Y1994" i="10"/>
  <c r="Z91" i="7"/>
  <c r="Y1908" i="10"/>
  <c r="Z46" i="7"/>
  <c r="F52" i="7"/>
  <c r="H26" i="7"/>
  <c r="E26" i="7"/>
  <c r="D11" i="1"/>
  <c r="Y200" i="10"/>
  <c r="Y346" i="10"/>
  <c r="L5" i="11"/>
  <c r="L21" i="11"/>
  <c r="L37" i="11"/>
  <c r="L10" i="11"/>
  <c r="L26" i="11"/>
  <c r="L42" i="11"/>
  <c r="L14" i="11"/>
  <c r="L30" i="11"/>
  <c r="L9" i="11"/>
  <c r="Z12" i="7"/>
  <c r="L13" i="11"/>
  <c r="L17" i="11"/>
  <c r="L25" i="11"/>
  <c r="Z129" i="7"/>
  <c r="L22" i="11"/>
  <c r="L34" i="11"/>
  <c r="L38" i="11"/>
  <c r="L7" i="11"/>
  <c r="L11" i="11"/>
  <c r="L15" i="11"/>
  <c r="L19" i="11"/>
  <c r="L23" i="11"/>
  <c r="L27" i="11"/>
  <c r="L31" i="11"/>
  <c r="L43" i="11"/>
  <c r="L32" i="11"/>
  <c r="L36" i="11"/>
  <c r="L40" i="11"/>
  <c r="L33" i="11"/>
  <c r="L4" i="11"/>
  <c r="Z137" i="7"/>
  <c r="L6" i="11"/>
  <c r="Z143" i="7"/>
  <c r="Z167" i="7"/>
  <c r="Z208" i="7"/>
  <c r="L8" i="11"/>
  <c r="L28" i="11"/>
  <c r="L18" i="11"/>
  <c r="L39" i="11"/>
  <c r="Z216" i="7"/>
  <c r="Z218" i="7"/>
  <c r="Z119" i="7"/>
  <c r="Z121" i="7"/>
  <c r="Z126" i="7"/>
  <c r="Z152" i="7"/>
  <c r="Z176" i="7"/>
  <c r="L41" i="11"/>
  <c r="Z113" i="7"/>
  <c r="Z115" i="7"/>
  <c r="Z130" i="7"/>
  <c r="Z154" i="7"/>
  <c r="Z183" i="7"/>
  <c r="Y1667" i="10"/>
  <c r="J182" i="7"/>
  <c r="E160" i="7"/>
  <c r="F2190" i="10"/>
  <c r="H43" i="9"/>
  <c r="I38" i="7"/>
  <c r="H20" i="7"/>
  <c r="F5" i="6" s="1"/>
  <c r="F18" i="7"/>
  <c r="B18" i="2"/>
  <c r="H24" i="3"/>
  <c r="H10" i="3"/>
  <c r="H15" i="3"/>
  <c r="H29" i="3"/>
  <c r="H20" i="3"/>
  <c r="H25" i="3"/>
  <c r="H30" i="3"/>
  <c r="H16" i="3"/>
  <c r="H5" i="3"/>
  <c r="H12" i="3"/>
  <c r="H21" i="3"/>
  <c r="H26" i="3"/>
  <c r="H17" i="3"/>
  <c r="D6" i="1"/>
  <c r="H13" i="3"/>
  <c r="H18" i="3"/>
  <c r="H27" i="3"/>
  <c r="H23" i="3"/>
  <c r="H9" i="3"/>
  <c r="H28" i="3"/>
  <c r="H14" i="3"/>
  <c r="H19" i="3"/>
  <c r="B17" i="2"/>
  <c r="L13" i="24"/>
  <c r="E1790" i="10"/>
  <c r="C1790" i="10" s="1"/>
  <c r="I1790" i="10"/>
  <c r="S22" i="19"/>
  <c r="S6" i="19"/>
  <c r="I71" i="7"/>
  <c r="E18" i="7"/>
  <c r="F2017" i="10"/>
  <c r="H41" i="9"/>
  <c r="E97" i="7"/>
  <c r="H97" i="7"/>
  <c r="F97" i="7" s="1"/>
  <c r="F32" i="7"/>
  <c r="C1873" i="10"/>
  <c r="E58" i="7"/>
  <c r="H58" i="7"/>
  <c r="C2002" i="10"/>
  <c r="F2015" i="10"/>
  <c r="L9" i="24"/>
  <c r="D17" i="1"/>
  <c r="Y1509" i="10"/>
  <c r="Y1530" i="10"/>
  <c r="Y1788" i="10"/>
  <c r="Y1575" i="10"/>
  <c r="Y1643" i="10"/>
  <c r="Z65" i="7"/>
  <c r="Y1786" i="10"/>
  <c r="Z71" i="7"/>
  <c r="Y1782" i="10"/>
  <c r="Z24" i="7"/>
  <c r="Z72" i="7"/>
  <c r="Z102" i="7"/>
  <c r="Z80" i="7"/>
  <c r="Z9" i="7"/>
  <c r="Y1790" i="10"/>
  <c r="Z31" i="7"/>
  <c r="Z25" i="7"/>
  <c r="Z8" i="7"/>
  <c r="Z185" i="7"/>
  <c r="Z111" i="7"/>
  <c r="S26" i="19"/>
  <c r="S10" i="19"/>
  <c r="H51" i="7"/>
  <c r="F44" i="7"/>
  <c r="K19" i="7"/>
  <c r="L29" i="11"/>
  <c r="C2125" i="10"/>
  <c r="E1575" i="10"/>
  <c r="I1575" i="10"/>
  <c r="D21" i="1"/>
  <c r="H7" i="15"/>
  <c r="H23" i="15"/>
  <c r="H39" i="15"/>
  <c r="H19" i="15"/>
  <c r="H9" i="15"/>
  <c r="Z200" i="7"/>
  <c r="H35" i="7"/>
  <c r="F7" i="6" s="1"/>
  <c r="E8" i="7"/>
  <c r="J8" i="7"/>
  <c r="F135" i="7"/>
  <c r="F39" i="9"/>
  <c r="D1809" i="10"/>
  <c r="Y1784" i="10"/>
  <c r="Z190" i="7"/>
  <c r="L4" i="8"/>
  <c r="G41" i="9"/>
  <c r="E2017" i="10"/>
  <c r="C2085" i="10"/>
  <c r="E9" i="7"/>
  <c r="J9" i="7"/>
  <c r="F9" i="7" s="1"/>
  <c r="B1655" i="10"/>
  <c r="B1786" i="10"/>
  <c r="Z174" i="7"/>
  <c r="Z150" i="7"/>
  <c r="H32" i="7"/>
  <c r="E1948" i="10"/>
  <c r="G40" i="9"/>
  <c r="Z136" i="7"/>
  <c r="F83" i="7"/>
  <c r="D2017" i="10"/>
  <c r="F41" i="9"/>
  <c r="C1736" i="10"/>
  <c r="B1736" i="10" s="1"/>
  <c r="E1738" i="10"/>
  <c r="C1738" i="10" s="1"/>
  <c r="E1782" i="10"/>
  <c r="I1782" i="10"/>
  <c r="Z165" i="7"/>
  <c r="Z114" i="7"/>
  <c r="Z112" i="7"/>
  <c r="F45" i="7"/>
  <c r="F42" i="11"/>
  <c r="B2002" i="10"/>
  <c r="Z161" i="7"/>
  <c r="L28" i="8"/>
  <c r="L13" i="8"/>
  <c r="D20" i="1"/>
  <c r="J7" i="23"/>
  <c r="J8" i="23"/>
  <c r="J4" i="23"/>
  <c r="D8" i="1"/>
  <c r="L10" i="8"/>
  <c r="L26" i="8"/>
  <c r="L7" i="8"/>
  <c r="L23" i="8"/>
  <c r="Z38" i="7"/>
  <c r="Z103" i="7"/>
  <c r="L17" i="8"/>
  <c r="L11" i="8"/>
  <c r="L27" i="8"/>
  <c r="L8" i="8"/>
  <c r="L24" i="8"/>
  <c r="L18" i="8"/>
  <c r="L15" i="8"/>
  <c r="L9" i="8"/>
  <c r="L25" i="8"/>
  <c r="L16" i="8"/>
  <c r="C2237" i="10"/>
  <c r="D2257" i="10"/>
  <c r="D2258" i="10" s="1"/>
  <c r="L5" i="8"/>
  <c r="C2156" i="10"/>
  <c r="D2158" i="10"/>
  <c r="C1946" i="10"/>
  <c r="D1513" i="10"/>
  <c r="I1513" i="10"/>
  <c r="D249" i="10"/>
  <c r="D284" i="10" s="1"/>
  <c r="K28" i="6"/>
  <c r="K20" i="6"/>
  <c r="K12" i="6"/>
  <c r="K4" i="6"/>
  <c r="C2258" i="10"/>
  <c r="C1914" i="10"/>
  <c r="B1914" i="10" s="1"/>
  <c r="E1809" i="10"/>
  <c r="D1798" i="10"/>
  <c r="D1800" i="10" s="1"/>
  <c r="C1800" i="10" s="1"/>
  <c r="I1677" i="10"/>
  <c r="B1677" i="10" s="1"/>
  <c r="K25" i="6"/>
  <c r="K17" i="6"/>
  <c r="K9" i="6"/>
  <c r="E1732" i="10"/>
  <c r="C1732" i="10" s="1"/>
  <c r="E1591" i="10"/>
  <c r="C1585" i="10"/>
  <c r="B1585" i="10" s="1"/>
  <c r="I1657" i="10"/>
  <c r="B1657" i="10" s="1"/>
  <c r="F1623" i="10"/>
  <c r="C1623" i="10" s="1"/>
  <c r="C1619" i="10"/>
  <c r="B1619" i="10" s="1"/>
  <c r="B2237" i="10"/>
  <c r="E2086" i="10"/>
  <c r="C2189" i="10"/>
  <c r="B1609" i="10"/>
  <c r="K27" i="6"/>
  <c r="K19" i="6"/>
  <c r="K11" i="6"/>
  <c r="C1693" i="10"/>
  <c r="B1693" i="10" s="1"/>
  <c r="I1685" i="10"/>
  <c r="B1685" i="10" s="1"/>
  <c r="B1517" i="10"/>
  <c r="K16" i="6"/>
  <c r="K8" i="6"/>
  <c r="C2158" i="10"/>
  <c r="K21" i="6"/>
  <c r="K13" i="6"/>
  <c r="K5" i="6"/>
  <c r="C2071" i="10"/>
  <c r="B2071" i="10" s="1"/>
  <c r="E1689" i="10"/>
  <c r="C1689" i="10" s="1"/>
  <c r="D1675" i="10"/>
  <c r="C1675" i="10" s="1"/>
  <c r="B1675" i="10" s="1"/>
  <c r="C2188" i="10"/>
  <c r="F1875" i="10"/>
  <c r="D1792" i="10"/>
  <c r="F2127" i="10"/>
  <c r="F2160" i="10" s="1"/>
  <c r="D1655" i="10"/>
  <c r="C1655" i="10" s="1"/>
  <c r="D1653" i="10"/>
  <c r="D1659" i="10" s="1"/>
  <c r="C1659" i="10" s="1"/>
  <c r="C859" i="10"/>
  <c r="B615" i="10"/>
  <c r="C227" i="10"/>
  <c r="D545" i="10"/>
  <c r="I545" i="10"/>
  <c r="B545" i="10" s="1"/>
  <c r="E312" i="10"/>
  <c r="C312" i="10" s="1"/>
  <c r="C310" i="10"/>
  <c r="C1627" i="10"/>
  <c r="B1627" i="10" s="1"/>
  <c r="C1537" i="10"/>
  <c r="C545" i="10"/>
  <c r="C241" i="10"/>
  <c r="C150" i="10"/>
  <c r="E800" i="10"/>
  <c r="D611" i="10"/>
  <c r="D617" i="10" s="1"/>
  <c r="I611" i="10"/>
  <c r="C239" i="10"/>
  <c r="B239" i="10" s="1"/>
  <c r="D576" i="10"/>
  <c r="D582" i="10" s="1"/>
  <c r="D590" i="10" s="1"/>
  <c r="D599" i="10" s="1"/>
  <c r="I576" i="10"/>
  <c r="B469" i="10"/>
  <c r="L477" i="10"/>
  <c r="C196" i="10"/>
  <c r="D547" i="10"/>
  <c r="D555" i="10" s="1"/>
  <c r="D564" i="10" s="1"/>
  <c r="B798" i="10"/>
  <c r="C342" i="10"/>
  <c r="E625" i="10"/>
  <c r="C403" i="10"/>
  <c r="F249" i="10"/>
  <c r="F284" i="10" s="1"/>
  <c r="C1621" i="10"/>
  <c r="B1621" i="10" s="1"/>
  <c r="E929" i="10"/>
  <c r="C929" i="10" s="1"/>
  <c r="C927" i="10"/>
  <c r="B927" i="10" s="1"/>
  <c r="B1038" i="10"/>
  <c r="D800" i="10"/>
  <c r="E229" i="10"/>
  <c r="E405" i="10"/>
  <c r="F152" i="10"/>
  <c r="E582" i="10"/>
  <c r="I194" i="10"/>
  <c r="B194" i="10" s="1"/>
  <c r="D436" i="10"/>
  <c r="B308" i="10"/>
  <c r="C245" i="10"/>
  <c r="B245" i="10" s="1"/>
  <c r="D235" i="10"/>
  <c r="C235" i="10" s="1"/>
  <c r="I227" i="10"/>
  <c r="B227" i="10" s="1"/>
  <c r="N15" i="25"/>
  <c r="O15" i="25"/>
  <c r="P15" i="25"/>
  <c r="Q15" i="25"/>
  <c r="R15" i="25"/>
  <c r="S15" i="25"/>
  <c r="T15" i="25"/>
  <c r="U15" i="25"/>
  <c r="V15" i="25"/>
  <c r="F15" i="25"/>
  <c r="W15" i="25"/>
  <c r="G15" i="25"/>
  <c r="X15" i="25"/>
  <c r="I15" i="25"/>
  <c r="J15" i="25"/>
  <c r="K15" i="25"/>
  <c r="L15" i="25"/>
  <c r="M15" i="25"/>
  <c r="K10" i="25"/>
  <c r="L10" i="25"/>
  <c r="X10" i="25"/>
  <c r="E10" i="25"/>
  <c r="F10" i="25"/>
  <c r="G10" i="25"/>
  <c r="I10" i="25"/>
  <c r="J10" i="25"/>
  <c r="I541" i="10"/>
  <c r="B541" i="10" s="1"/>
  <c r="I403" i="10"/>
  <c r="E20" i="25"/>
  <c r="F20" i="25"/>
  <c r="J20" i="25"/>
  <c r="K20" i="25"/>
  <c r="L20" i="25"/>
  <c r="N20" i="25"/>
  <c r="P20" i="25"/>
  <c r="R20" i="25"/>
  <c r="X20" i="25"/>
  <c r="C541" i="10"/>
  <c r="L551" i="10" s="1"/>
  <c r="I233" i="10"/>
  <c r="B233" i="10" s="1"/>
  <c r="C547" i="10"/>
  <c r="F8" i="25"/>
  <c r="G8" i="25"/>
  <c r="I8" i="25"/>
  <c r="J8" i="25"/>
  <c r="K8" i="25"/>
  <c r="L8" i="25"/>
  <c r="X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X18" i="25"/>
  <c r="F18" i="25"/>
  <c r="G18" i="25"/>
  <c r="J7" i="25"/>
  <c r="K7" i="25"/>
  <c r="L7" i="25"/>
  <c r="X7" i="25"/>
  <c r="F7" i="25"/>
  <c r="G7" i="25"/>
  <c r="I7" i="25"/>
  <c r="D440" i="10"/>
  <c r="C440" i="10" s="1"/>
  <c r="B440" i="10" s="1"/>
  <c r="B310" i="10"/>
  <c r="C189" i="10"/>
  <c r="B189" i="10" s="1"/>
  <c r="F6" i="25"/>
  <c r="G6" i="25"/>
  <c r="I6" i="25"/>
  <c r="J6" i="25"/>
  <c r="K6" i="25"/>
  <c r="L6" i="25"/>
  <c r="X6" i="25"/>
  <c r="E555" i="10"/>
  <c r="C247" i="10"/>
  <c r="J11" i="21"/>
  <c r="F19" i="25"/>
  <c r="E17" i="25"/>
  <c r="G16" i="25"/>
  <c r="I14" i="25"/>
  <c r="F9" i="25"/>
  <c r="J4" i="22"/>
  <c r="D12" i="1"/>
  <c r="F16" i="25"/>
  <c r="G14" i="25"/>
  <c r="X11" i="25"/>
  <c r="J10" i="21"/>
  <c r="S19" i="25"/>
  <c r="X16" i="25"/>
  <c r="P11" i="25"/>
  <c r="R19" i="25"/>
  <c r="X17" i="25"/>
  <c r="N11" i="25"/>
  <c r="J4" i="21"/>
  <c r="Q19" i="25"/>
  <c r="Q17" i="25"/>
  <c r="R16" i="25"/>
  <c r="X13" i="25"/>
  <c r="L11" i="25"/>
  <c r="J9" i="21"/>
  <c r="P19" i="25"/>
  <c r="P17" i="25"/>
  <c r="Q16" i="25"/>
  <c r="R13" i="25"/>
  <c r="K11" i="25"/>
  <c r="J14" i="21"/>
  <c r="O19" i="25"/>
  <c r="O17" i="25"/>
  <c r="P16" i="25"/>
  <c r="P13" i="25"/>
  <c r="J11" i="25"/>
  <c r="X9" i="25"/>
  <c r="N19" i="25"/>
  <c r="N17" i="25"/>
  <c r="O16" i="25"/>
  <c r="N13" i="25"/>
  <c r="I11" i="25"/>
  <c r="R9" i="25"/>
  <c r="J8" i="21"/>
  <c r="B24" i="2"/>
  <c r="M19" i="25"/>
  <c r="M17" i="25"/>
  <c r="N16" i="25"/>
  <c r="X14" i="25"/>
  <c r="L13" i="25"/>
  <c r="P9" i="25"/>
  <c r="L19" i="25"/>
  <c r="D18" i="1"/>
  <c r="K19" i="25"/>
  <c r="K17" i="25"/>
  <c r="L9" i="25"/>
  <c r="J7" i="21"/>
  <c r="J19" i="25"/>
  <c r="J17" i="25"/>
  <c r="K9" i="25"/>
  <c r="J12" i="21"/>
  <c r="B20" i="2"/>
  <c r="I19" i="25"/>
  <c r="I17" i="25"/>
  <c r="J16" i="25"/>
  <c r="L14" i="25"/>
  <c r="G13" i="25"/>
  <c r="J9" i="25"/>
  <c r="H19" i="25"/>
  <c r="G17" i="25"/>
  <c r="I16" i="25"/>
  <c r="K14" i="25"/>
  <c r="I9" i="25"/>
  <c r="C4" i="25" l="1"/>
  <c r="D1" i="1" s="1"/>
  <c r="J53" i="14"/>
  <c r="E53" i="14"/>
  <c r="C800" i="10"/>
  <c r="C1798" i="10"/>
  <c r="B1798" i="10" s="1"/>
  <c r="J80" i="7"/>
  <c r="E80" i="7"/>
  <c r="I34" i="7"/>
  <c r="F31" i="7"/>
  <c r="E138" i="14"/>
  <c r="J138" i="14"/>
  <c r="J141" i="7"/>
  <c r="F141" i="7" s="1"/>
  <c r="E141" i="7"/>
  <c r="E122" i="14"/>
  <c r="H122" i="14"/>
  <c r="F921" i="10"/>
  <c r="I921" i="10"/>
  <c r="E1577" i="10"/>
  <c r="C1575" i="10"/>
  <c r="B1575" i="10" s="1"/>
  <c r="E71" i="7"/>
  <c r="J71" i="7"/>
  <c r="G38" i="7"/>
  <c r="H38" i="7" s="1"/>
  <c r="G5" i="8"/>
  <c r="H27" i="7"/>
  <c r="F6" i="6" s="1"/>
  <c r="F26" i="7"/>
  <c r="F149" i="7"/>
  <c r="F1063" i="10"/>
  <c r="I1063" i="10"/>
  <c r="H73" i="14"/>
  <c r="E73" i="14"/>
  <c r="E115" i="14"/>
  <c r="H115" i="14"/>
  <c r="E65" i="7"/>
  <c r="J65" i="7"/>
  <c r="E150" i="14"/>
  <c r="H150" i="14"/>
  <c r="I90" i="10"/>
  <c r="F90" i="10"/>
  <c r="C1908" i="10"/>
  <c r="F1910" i="10"/>
  <c r="H52" i="14"/>
  <c r="E52" i="14"/>
  <c r="C229" i="10"/>
  <c r="E249" i="10"/>
  <c r="F2016" i="10"/>
  <c r="C2015" i="10"/>
  <c r="J38" i="7"/>
  <c r="F111" i="7"/>
  <c r="F1003" i="10"/>
  <c r="I1003" i="10"/>
  <c r="I1509" i="10"/>
  <c r="E1509" i="10"/>
  <c r="I1233" i="10"/>
  <c r="F1233" i="10"/>
  <c r="E157" i="14"/>
  <c r="H157" i="14"/>
  <c r="L1183" i="10"/>
  <c r="L1116" i="10"/>
  <c r="I6" i="24"/>
  <c r="E108" i="14"/>
  <c r="H108" i="14"/>
  <c r="G67" i="5"/>
  <c r="D10" i="4" s="1"/>
  <c r="B1908" i="10"/>
  <c r="E143" i="14"/>
  <c r="H143" i="14"/>
  <c r="C1782" i="10"/>
  <c r="B1782" i="10" s="1"/>
  <c r="J184" i="7"/>
  <c r="F184" i="7" s="1"/>
  <c r="E184" i="7"/>
  <c r="I43" i="11"/>
  <c r="L58" i="5"/>
  <c r="M58" i="5" s="1"/>
  <c r="J38" i="14"/>
  <c r="E38" i="14"/>
  <c r="J1112" i="10"/>
  <c r="J1179" i="10"/>
  <c r="G6" i="24"/>
  <c r="I1447" i="10"/>
  <c r="F1447" i="10"/>
  <c r="H16" i="14"/>
  <c r="E16" i="14"/>
  <c r="G13" i="13"/>
  <c r="K1906" i="10" s="1"/>
  <c r="J17" i="10"/>
  <c r="G18" i="24"/>
  <c r="H59" i="14"/>
  <c r="E59" i="14"/>
  <c r="F86" i="14"/>
  <c r="L90" i="14"/>
  <c r="H16" i="13" s="1"/>
  <c r="F551" i="10"/>
  <c r="I551" i="10"/>
  <c r="B403" i="10"/>
  <c r="E634" i="10"/>
  <c r="F477" i="10"/>
  <c r="I477" i="10"/>
  <c r="C1653" i="10"/>
  <c r="B1653" i="10" s="1"/>
  <c r="B1513" i="10"/>
  <c r="K60" i="7"/>
  <c r="J132" i="14"/>
  <c r="H94" i="14"/>
  <c r="E94" i="14"/>
  <c r="L1302" i="10"/>
  <c r="I16" i="24"/>
  <c r="F82" i="14"/>
  <c r="J83" i="14"/>
  <c r="E116" i="14"/>
  <c r="J116" i="14"/>
  <c r="H8" i="14"/>
  <c r="E8" i="14"/>
  <c r="I1643" i="10"/>
  <c r="E1643" i="10"/>
  <c r="D1532" i="10"/>
  <c r="C1513" i="10"/>
  <c r="L1521" i="10" s="1"/>
  <c r="G41" i="11"/>
  <c r="H56" i="5"/>
  <c r="I56" i="5" s="1"/>
  <c r="I11" i="7"/>
  <c r="I10" i="7"/>
  <c r="F8" i="7"/>
  <c r="L19" i="7"/>
  <c r="E19" i="7"/>
  <c r="B1790" i="10"/>
  <c r="K84" i="7"/>
  <c r="H85" i="7"/>
  <c r="F14" i="6" s="1"/>
  <c r="L720" i="10"/>
  <c r="I15" i="24"/>
  <c r="B2125" i="10"/>
  <c r="E87" i="14"/>
  <c r="H87" i="14"/>
  <c r="B1537" i="10"/>
  <c r="F1722" i="10"/>
  <c r="C1722" i="10" s="1"/>
  <c r="I1722" i="10"/>
  <c r="E101" i="14"/>
  <c r="H101" i="14"/>
  <c r="H30" i="14"/>
  <c r="E30" i="14"/>
  <c r="E1530" i="10"/>
  <c r="C1530" i="10" s="1"/>
  <c r="I1530" i="10"/>
  <c r="B1530" i="10" s="1"/>
  <c r="F182" i="7"/>
  <c r="E123" i="14"/>
  <c r="J123" i="14"/>
  <c r="G26" i="13"/>
  <c r="L2067" i="10"/>
  <c r="L1998" i="10"/>
  <c r="F1720" i="10"/>
  <c r="I1720" i="10"/>
  <c r="E136" i="14"/>
  <c r="H136" i="14"/>
  <c r="E564" i="10"/>
  <c r="C436" i="10"/>
  <c r="B436" i="10" s="1"/>
  <c r="D442" i="10"/>
  <c r="C576" i="10"/>
  <c r="L586" i="10" s="1"/>
  <c r="E42" i="9"/>
  <c r="C2086" i="10"/>
  <c r="C2257" i="10"/>
  <c r="C2017" i="10"/>
  <c r="E41" i="9"/>
  <c r="G7" i="8"/>
  <c r="G198" i="7"/>
  <c r="H198" i="7" s="1"/>
  <c r="E151" i="14"/>
  <c r="J151" i="14"/>
  <c r="L1554" i="10"/>
  <c r="I19" i="24"/>
  <c r="I75" i="14"/>
  <c r="F74" i="14"/>
  <c r="F867" i="10"/>
  <c r="I867" i="10"/>
  <c r="I1030" i="10"/>
  <c r="F1030" i="10"/>
  <c r="D565" i="10"/>
  <c r="F16" i="9"/>
  <c r="F51" i="7"/>
  <c r="F165" i="14"/>
  <c r="I166" i="14"/>
  <c r="I2233" i="10"/>
  <c r="F2233" i="10"/>
  <c r="F102" i="7"/>
  <c r="F1417" i="10"/>
  <c r="I1417" i="10"/>
  <c r="F215" i="10"/>
  <c r="H8" i="9"/>
  <c r="H66" i="14"/>
  <c r="E66" i="14"/>
  <c r="H41" i="11"/>
  <c r="J56" i="5"/>
  <c r="F89" i="7"/>
  <c r="L302" i="10"/>
  <c r="L489" i="10"/>
  <c r="L831" i="10"/>
  <c r="L790" i="10"/>
  <c r="L757" i="10"/>
  <c r="L1384" i="10"/>
  <c r="K98" i="7"/>
  <c r="L98" i="7" s="1"/>
  <c r="L99" i="7" s="1"/>
  <c r="H16" i="6" s="1"/>
  <c r="I17" i="24"/>
  <c r="E110" i="14"/>
  <c r="J110" i="14"/>
  <c r="F1207" i="10"/>
  <c r="I1207" i="10"/>
  <c r="G12" i="13"/>
  <c r="K2123" i="10" s="1"/>
  <c r="C2190" i="10"/>
  <c r="E43" i="9"/>
  <c r="D530" i="10"/>
  <c r="F15" i="9"/>
  <c r="D1802" i="10"/>
  <c r="D1807" i="10" s="1"/>
  <c r="D1808" i="10" s="1"/>
  <c r="C1591" i="10"/>
  <c r="F58" i="7"/>
  <c r="L21" i="10"/>
  <c r="I18" i="24"/>
  <c r="J9" i="14"/>
  <c r="E9" i="14"/>
  <c r="F24" i="7"/>
  <c r="J27" i="7"/>
  <c r="F1250" i="10"/>
  <c r="I1250" i="10"/>
  <c r="E166" i="7"/>
  <c r="J166" i="7"/>
  <c r="F166" i="7" s="1"/>
  <c r="L1667" i="10"/>
  <c r="L1599" i="10"/>
  <c r="I20" i="24"/>
  <c r="F26" i="14"/>
  <c r="E6" i="13" s="1"/>
  <c r="G6" i="13"/>
  <c r="E17" i="14"/>
  <c r="J17" i="14"/>
  <c r="G10" i="13"/>
  <c r="H10" i="24" s="1"/>
  <c r="F10" i="24" s="1"/>
  <c r="F48" i="14"/>
  <c r="E10" i="13" s="1"/>
  <c r="I1342" i="10"/>
  <c r="F1342" i="10"/>
  <c r="G7" i="13"/>
  <c r="L1541" i="10"/>
  <c r="I22" i="24"/>
  <c r="F1912" i="10"/>
  <c r="H40" i="11"/>
  <c r="J55" i="5"/>
  <c r="E590" i="10"/>
  <c r="C582" i="10"/>
  <c r="C611" i="10"/>
  <c r="L621" i="10" s="1"/>
  <c r="K53" i="7"/>
  <c r="L53" i="7" s="1"/>
  <c r="L54" i="7" s="1"/>
  <c r="H10" i="6" s="1"/>
  <c r="K91" i="7"/>
  <c r="L91" i="7" s="1"/>
  <c r="L92" i="7" s="1"/>
  <c r="H15" i="6" s="1"/>
  <c r="K46" i="7"/>
  <c r="L46" i="7" s="1"/>
  <c r="L47" i="7" s="1"/>
  <c r="H9" i="6" s="1"/>
  <c r="I21" i="24"/>
  <c r="B150" i="10"/>
  <c r="E102" i="14"/>
  <c r="J102" i="14"/>
  <c r="E185" i="7"/>
  <c r="J185" i="7"/>
  <c r="F185" i="7" s="1"/>
  <c r="H80" i="14"/>
  <c r="E80" i="14"/>
  <c r="I68" i="10"/>
  <c r="F68" i="10"/>
  <c r="F43" i="9"/>
  <c r="D2190" i="10"/>
  <c r="K60" i="5"/>
  <c r="F9" i="4" s="1"/>
  <c r="J146" i="14"/>
  <c r="J95" i="14"/>
  <c r="E95" i="14"/>
  <c r="L661" i="10"/>
  <c r="L1319" i="10"/>
  <c r="L1278" i="10"/>
  <c r="L118" i="10"/>
  <c r="L683" i="10"/>
  <c r="L947" i="10"/>
  <c r="I14" i="24"/>
  <c r="B1873" i="10"/>
  <c r="F1469" i="10"/>
  <c r="I1469" i="10"/>
  <c r="G39" i="11"/>
  <c r="F39" i="11" s="1"/>
  <c r="H54" i="5"/>
  <c r="E407" i="10"/>
  <c r="C405" i="10"/>
  <c r="D625" i="10"/>
  <c r="D634" i="10" s="1"/>
  <c r="C617" i="10"/>
  <c r="D215" i="10"/>
  <c r="F8" i="9"/>
  <c r="I41" i="11"/>
  <c r="L56" i="5"/>
  <c r="M56" i="5" s="1"/>
  <c r="F66" i="5"/>
  <c r="K66" i="5"/>
  <c r="G66" i="5" s="1"/>
  <c r="G60" i="5" s="1"/>
  <c r="D9" i="4" s="1"/>
  <c r="J88" i="14"/>
  <c r="E88" i="14"/>
  <c r="E1788" i="10"/>
  <c r="C1788" i="10" s="1"/>
  <c r="I1788" i="10"/>
  <c r="B1788" i="10" s="1"/>
  <c r="H37" i="14"/>
  <c r="E37" i="14"/>
  <c r="J118" i="7"/>
  <c r="F118" i="7" s="1"/>
  <c r="E118" i="7"/>
  <c r="F1344" i="10"/>
  <c r="C1344" i="10" s="1"/>
  <c r="I1344" i="10"/>
  <c r="B1344" i="10" s="1"/>
  <c r="F902" i="10"/>
  <c r="I902" i="10"/>
  <c r="H40" i="9" l="1"/>
  <c r="F1948" i="10"/>
  <c r="C2016" i="10"/>
  <c r="H40" i="14"/>
  <c r="F8" i="13" s="1"/>
  <c r="F37" i="14"/>
  <c r="K1181" i="10"/>
  <c r="K1114" i="10"/>
  <c r="H6" i="24"/>
  <c r="F6" i="24" s="1"/>
  <c r="F757" i="10"/>
  <c r="I757" i="10"/>
  <c r="G15" i="13"/>
  <c r="K1871" i="10" s="1"/>
  <c r="D1112" i="10"/>
  <c r="I1112" i="10"/>
  <c r="F1116" i="10"/>
  <c r="I1116" i="10"/>
  <c r="C249" i="10"/>
  <c r="E284" i="10"/>
  <c r="C442" i="10"/>
  <c r="D459" i="10"/>
  <c r="H76" i="14"/>
  <c r="F14" i="13" s="1"/>
  <c r="F73" i="14"/>
  <c r="E530" i="10"/>
  <c r="G15" i="9"/>
  <c r="F1065" i="10"/>
  <c r="C1063" i="10"/>
  <c r="B1063" i="10" s="1"/>
  <c r="B1469" i="10"/>
  <c r="B611" i="10"/>
  <c r="E599" i="10"/>
  <c r="F30" i="14"/>
  <c r="H33" i="14"/>
  <c r="L375" i="10"/>
  <c r="I13" i="24"/>
  <c r="I39" i="14"/>
  <c r="F38" i="14"/>
  <c r="F157" i="14"/>
  <c r="H161" i="14"/>
  <c r="F790" i="10"/>
  <c r="I790" i="10"/>
  <c r="J75" i="14"/>
  <c r="E75" i="14"/>
  <c r="D1775" i="10"/>
  <c r="F38" i="9"/>
  <c r="I831" i="10"/>
  <c r="F831" i="10"/>
  <c r="B2233" i="10"/>
  <c r="F1471" i="10"/>
  <c r="C1469" i="10"/>
  <c r="F70" i="10"/>
  <c r="F74" i="10" s="1"/>
  <c r="C68" i="10"/>
  <c r="B68" i="10" s="1"/>
  <c r="K55" i="5"/>
  <c r="F1599" i="10"/>
  <c r="I1599" i="10"/>
  <c r="G15" i="11"/>
  <c r="G75" i="7"/>
  <c r="H75" i="7" s="1"/>
  <c r="H76" i="7" s="1"/>
  <c r="F13" i="6" s="1"/>
  <c r="F489" i="10"/>
  <c r="I489" i="10"/>
  <c r="E166" i="14"/>
  <c r="J166" i="14"/>
  <c r="F1554" i="10"/>
  <c r="I1554" i="10"/>
  <c r="F136" i="14"/>
  <c r="H139" i="14"/>
  <c r="F23" i="13" s="1"/>
  <c r="F101" i="14"/>
  <c r="H104" i="14"/>
  <c r="F18" i="13" s="1"/>
  <c r="J10" i="7"/>
  <c r="E10" i="7"/>
  <c r="F1302" i="10"/>
  <c r="I1302" i="10"/>
  <c r="H55" i="14"/>
  <c r="F11" i="13" s="1"/>
  <c r="F52" i="14"/>
  <c r="F138" i="14"/>
  <c r="J139" i="14"/>
  <c r="G43" i="11"/>
  <c r="F43" i="11" s="1"/>
  <c r="H58" i="5"/>
  <c r="C2233" i="10"/>
  <c r="F2235" i="10"/>
  <c r="C551" i="10"/>
  <c r="B551" i="10" s="1"/>
  <c r="F553" i="10"/>
  <c r="I1183" i="10"/>
  <c r="F1183" i="10"/>
  <c r="F88" i="14"/>
  <c r="I89" i="14"/>
  <c r="F1667" i="10"/>
  <c r="I1667" i="10"/>
  <c r="I302" i="10"/>
  <c r="F302" i="10"/>
  <c r="F151" i="14"/>
  <c r="I152" i="14"/>
  <c r="J11" i="7"/>
  <c r="F11" i="7" s="1"/>
  <c r="E11" i="7"/>
  <c r="F1236" i="10"/>
  <c r="C1233" i="10"/>
  <c r="F122" i="14"/>
  <c r="H125" i="14"/>
  <c r="F21" i="13" s="1"/>
  <c r="I54" i="5"/>
  <c r="F54" i="5"/>
  <c r="F621" i="10"/>
  <c r="I621" i="10"/>
  <c r="L20" i="7"/>
  <c r="F19" i="7"/>
  <c r="B1720" i="10"/>
  <c r="B1722" i="10"/>
  <c r="H97" i="14"/>
  <c r="F17" i="13" s="1"/>
  <c r="F94" i="14"/>
  <c r="H62" i="14"/>
  <c r="F59" i="14"/>
  <c r="B1233" i="10"/>
  <c r="G114" i="7"/>
  <c r="H114" i="7" s="1"/>
  <c r="G6" i="8"/>
  <c r="G139" i="7"/>
  <c r="H139" i="7" s="1"/>
  <c r="G165" i="7"/>
  <c r="H165" i="7" s="1"/>
  <c r="K162" i="7"/>
  <c r="L162" i="7" s="1"/>
  <c r="I10" i="8"/>
  <c r="H83" i="14"/>
  <c r="F15" i="13" s="1"/>
  <c r="J1869" i="10" s="1"/>
  <c r="F80" i="14"/>
  <c r="F1724" i="10"/>
  <c r="F1740" i="10" s="1"/>
  <c r="F1773" i="10" s="1"/>
  <c r="F1774" i="10" s="1"/>
  <c r="C1720" i="10"/>
  <c r="E424" i="10"/>
  <c r="C407" i="10"/>
  <c r="I1384" i="10"/>
  <c r="F1384" i="10"/>
  <c r="G22" i="13"/>
  <c r="F132" i="14"/>
  <c r="E22" i="13" s="1"/>
  <c r="C1509" i="10"/>
  <c r="E1532" i="10"/>
  <c r="F92" i="10"/>
  <c r="C90" i="10"/>
  <c r="B90" i="10" s="1"/>
  <c r="F683" i="10"/>
  <c r="I683" i="10"/>
  <c r="B1250" i="10"/>
  <c r="D17" i="10"/>
  <c r="I17" i="10"/>
  <c r="B1509" i="10"/>
  <c r="J34" i="7"/>
  <c r="E34" i="7"/>
  <c r="I1179" i="10"/>
  <c r="D1179" i="10"/>
  <c r="F947" i="10"/>
  <c r="I947" i="10"/>
  <c r="I1541" i="10"/>
  <c r="F1541" i="10"/>
  <c r="I2123" i="10"/>
  <c r="E2123" i="10"/>
  <c r="K56" i="5"/>
  <c r="G56" i="5" s="1"/>
  <c r="F56" i="5"/>
  <c r="F1998" i="10"/>
  <c r="I1998" i="10"/>
  <c r="F118" i="10"/>
  <c r="I118" i="10"/>
  <c r="K1001" i="10"/>
  <c r="K1061" i="10"/>
  <c r="H7" i="24"/>
  <c r="C1250" i="10"/>
  <c r="F1252" i="10"/>
  <c r="F41" i="11"/>
  <c r="I2067" i="10"/>
  <c r="F2067" i="10"/>
  <c r="H90" i="14"/>
  <c r="F16" i="13" s="1"/>
  <c r="F87" i="14"/>
  <c r="I1521" i="10"/>
  <c r="F1521" i="10"/>
  <c r="E60" i="7"/>
  <c r="L60" i="7"/>
  <c r="E1906" i="10"/>
  <c r="I1906" i="10"/>
  <c r="E1792" i="10"/>
  <c r="F150" i="14"/>
  <c r="H153" i="14"/>
  <c r="F25" i="13" s="1"/>
  <c r="J2229" i="10" s="1"/>
  <c r="I73" i="7"/>
  <c r="I74" i="7"/>
  <c r="F71" i="7"/>
  <c r="F143" i="14"/>
  <c r="H146" i="14"/>
  <c r="F24" i="13" s="1"/>
  <c r="F904" i="10"/>
  <c r="F911" i="10" s="1"/>
  <c r="F912" i="10" s="1"/>
  <c r="C902" i="10"/>
  <c r="I1319" i="10"/>
  <c r="F1319" i="10"/>
  <c r="C1207" i="10"/>
  <c r="F1209" i="10"/>
  <c r="H69" i="14"/>
  <c r="F66" i="14"/>
  <c r="I91" i="7"/>
  <c r="I46" i="7"/>
  <c r="I53" i="7"/>
  <c r="H21" i="24"/>
  <c r="C1643" i="10"/>
  <c r="E1645" i="10"/>
  <c r="J67" i="7"/>
  <c r="F65" i="7"/>
  <c r="F146" i="14"/>
  <c r="E24" i="13" s="1"/>
  <c r="G24" i="13"/>
  <c r="F1278" i="10"/>
  <c r="I1278" i="10"/>
  <c r="I103" i="14"/>
  <c r="F102" i="14"/>
  <c r="F661" i="10"/>
  <c r="I661" i="10"/>
  <c r="C1577" i="10"/>
  <c r="B1342" i="10"/>
  <c r="F110" i="14"/>
  <c r="J111" i="14"/>
  <c r="I8" i="11"/>
  <c r="K215" i="7"/>
  <c r="L215" i="7" s="1"/>
  <c r="L219" i="7" s="1"/>
  <c r="L220" i="7" s="1"/>
  <c r="H28" i="6" s="1"/>
  <c r="F1032" i="10"/>
  <c r="F1067" i="10" s="1"/>
  <c r="F1083" i="10" s="1"/>
  <c r="F1084" i="10" s="1"/>
  <c r="C1030" i="10"/>
  <c r="B1030" i="10" s="1"/>
  <c r="F123" i="14"/>
  <c r="I124" i="14"/>
  <c r="B1643" i="10"/>
  <c r="F16" i="14"/>
  <c r="H19" i="14"/>
  <c r="F5" i="13" s="1"/>
  <c r="I10" i="14"/>
  <c r="F9" i="14"/>
  <c r="F720" i="10"/>
  <c r="I720" i="10"/>
  <c r="F479" i="10"/>
  <c r="C477" i="10"/>
  <c r="B477" i="10" s="1"/>
  <c r="F1449" i="10"/>
  <c r="C1447" i="10"/>
  <c r="B1447" i="10" s="1"/>
  <c r="F115" i="14"/>
  <c r="H118" i="14"/>
  <c r="F20" i="13" s="1"/>
  <c r="B902" i="10"/>
  <c r="G6" i="6"/>
  <c r="F27" i="7"/>
  <c r="E6" i="6" s="1"/>
  <c r="B1207" i="10"/>
  <c r="G16" i="11"/>
  <c r="G12" i="7"/>
  <c r="H12" i="7" s="1"/>
  <c r="H13" i="7" s="1"/>
  <c r="F4" i="6" s="1"/>
  <c r="C1003" i="10"/>
  <c r="B1003" i="10" s="1"/>
  <c r="F1005" i="10"/>
  <c r="F1014" i="10" s="1"/>
  <c r="F1015" i="10" s="1"/>
  <c r="J85" i="7"/>
  <c r="F80" i="7"/>
  <c r="G8" i="11"/>
  <c r="G215" i="7"/>
  <c r="H215" i="7" s="1"/>
  <c r="C1342" i="10"/>
  <c r="F1346" i="10"/>
  <c r="F1359" i="10" s="1"/>
  <c r="F1360" i="10" s="1"/>
  <c r="D600" i="10"/>
  <c r="F17" i="9"/>
  <c r="I96" i="14"/>
  <c r="F95" i="14"/>
  <c r="I9" i="8"/>
  <c r="K174" i="7"/>
  <c r="L174" i="7" s="1"/>
  <c r="B1417" i="10"/>
  <c r="B576" i="10"/>
  <c r="G14" i="8"/>
  <c r="G39" i="7"/>
  <c r="H39" i="7" s="1"/>
  <c r="H40" i="7" s="1"/>
  <c r="F8" i="6" s="1"/>
  <c r="H11" i="14"/>
  <c r="F4" i="13" s="1"/>
  <c r="F8" i="14"/>
  <c r="E600" i="10"/>
  <c r="G17" i="9"/>
  <c r="F108" i="14"/>
  <c r="H111" i="14"/>
  <c r="F19" i="13" s="1"/>
  <c r="I15" i="8"/>
  <c r="K161" i="7"/>
  <c r="L161" i="7" s="1"/>
  <c r="K136" i="7"/>
  <c r="L136" i="7" s="1"/>
  <c r="K112" i="7"/>
  <c r="L112" i="7" s="1"/>
  <c r="F17" i="14"/>
  <c r="I18" i="14"/>
  <c r="F21" i="10"/>
  <c r="I21" i="10"/>
  <c r="I16" i="8"/>
  <c r="K150" i="7"/>
  <c r="L150" i="7" s="1"/>
  <c r="C1417" i="10"/>
  <c r="F1419" i="10"/>
  <c r="F869" i="10"/>
  <c r="F871" i="10" s="1"/>
  <c r="F877" i="10" s="1"/>
  <c r="F878" i="10" s="1"/>
  <c r="C867" i="10"/>
  <c r="B867" i="10" s="1"/>
  <c r="F586" i="10"/>
  <c r="I586" i="10"/>
  <c r="E84" i="7"/>
  <c r="L84" i="7"/>
  <c r="F116" i="14"/>
  <c r="I117" i="14"/>
  <c r="F923" i="10"/>
  <c r="C921" i="10"/>
  <c r="B921" i="10" s="1"/>
  <c r="I54" i="14"/>
  <c r="F53" i="14"/>
  <c r="G8" i="8" l="1"/>
  <c r="G199" i="7"/>
  <c r="H199" i="7" s="1"/>
  <c r="F1016" i="10"/>
  <c r="H26" i="9"/>
  <c r="K1597" i="10"/>
  <c r="K1665" i="10"/>
  <c r="H20" i="24"/>
  <c r="F1532" i="10"/>
  <c r="C1521" i="10"/>
  <c r="D23" i="10"/>
  <c r="D39" i="10" s="1"/>
  <c r="C17" i="10"/>
  <c r="F1706" i="10"/>
  <c r="H37" i="9"/>
  <c r="F139" i="14"/>
  <c r="E23" i="13" s="1"/>
  <c r="G23" i="13"/>
  <c r="B1112" i="10"/>
  <c r="D1118" i="10"/>
  <c r="D1152" i="10" s="1"/>
  <c r="D1153" i="10" s="1"/>
  <c r="C1112" i="10"/>
  <c r="F982" i="10"/>
  <c r="H25" i="9"/>
  <c r="B720" i="10"/>
  <c r="J1663" i="10"/>
  <c r="J1595" i="10"/>
  <c r="G20" i="24"/>
  <c r="C2123" i="10"/>
  <c r="B2123" i="10" s="1"/>
  <c r="E2127" i="10"/>
  <c r="I1869" i="10"/>
  <c r="D1869" i="10"/>
  <c r="C1667" i="10"/>
  <c r="F1669" i="10"/>
  <c r="F1679" i="10" s="1"/>
  <c r="F1704" i="10" s="1"/>
  <c r="F1705" i="10" s="1"/>
  <c r="G13" i="8"/>
  <c r="G127" i="7"/>
  <c r="H127" i="7" s="1"/>
  <c r="G190" i="7"/>
  <c r="H190" i="7" s="1"/>
  <c r="H192" i="7" s="1"/>
  <c r="H193" i="7" s="1"/>
  <c r="F25" i="6" s="1"/>
  <c r="G209" i="7"/>
  <c r="H209" i="7" s="1"/>
  <c r="F75" i="14"/>
  <c r="J76" i="14"/>
  <c r="F60" i="7"/>
  <c r="L62" i="7"/>
  <c r="H11" i="6" s="1"/>
  <c r="C1278" i="10"/>
  <c r="F1280" i="10"/>
  <c r="C302" i="10"/>
  <c r="B302" i="10" s="1"/>
  <c r="F304" i="10"/>
  <c r="F314" i="10" s="1"/>
  <c r="F319" i="10" s="1"/>
  <c r="C1116" i="10"/>
  <c r="B1116" i="10" s="1"/>
  <c r="F1118" i="10"/>
  <c r="F1152" i="10" s="1"/>
  <c r="F1153" i="10" s="1"/>
  <c r="E117" i="14"/>
  <c r="J117" i="14"/>
  <c r="E18" i="14"/>
  <c r="J18" i="14"/>
  <c r="H5" i="6"/>
  <c r="F20" i="7"/>
  <c r="E5" i="6" s="1"/>
  <c r="B1667" i="10"/>
  <c r="L85" i="7"/>
  <c r="H14" i="6" s="1"/>
  <c r="F84" i="7"/>
  <c r="C720" i="10"/>
  <c r="F722" i="10"/>
  <c r="F111" i="14"/>
  <c r="E19" i="13" s="1"/>
  <c r="G19" i="13"/>
  <c r="G12" i="6"/>
  <c r="F67" i="7"/>
  <c r="E12" i="6" s="1"/>
  <c r="J371" i="10"/>
  <c r="G13" i="24"/>
  <c r="F685" i="10"/>
  <c r="C683" i="10"/>
  <c r="B683" i="10" s="1"/>
  <c r="C621" i="10"/>
  <c r="B621" i="10" s="1"/>
  <c r="F623" i="10"/>
  <c r="J146" i="10"/>
  <c r="G11" i="24"/>
  <c r="B790" i="10"/>
  <c r="I1871" i="10"/>
  <c r="E1871" i="10"/>
  <c r="G61" i="7"/>
  <c r="H61" i="7" s="1"/>
  <c r="H62" i="7" s="1"/>
  <c r="F11" i="6" s="1"/>
  <c r="G4" i="24"/>
  <c r="F2000" i="10"/>
  <c r="C1998" i="10"/>
  <c r="G197" i="7"/>
  <c r="H197" i="7" s="1"/>
  <c r="G4" i="8"/>
  <c r="C1645" i="10"/>
  <c r="C2067" i="10"/>
  <c r="F2069" i="10"/>
  <c r="C1541" i="10"/>
  <c r="B1541" i="10" s="1"/>
  <c r="F1543" i="10"/>
  <c r="B1599" i="10"/>
  <c r="C790" i="10"/>
  <c r="F792" i="10"/>
  <c r="F802" i="10" s="1"/>
  <c r="F809" i="10" s="1"/>
  <c r="H15" i="11"/>
  <c r="I75" i="7"/>
  <c r="F83" i="14"/>
  <c r="E15" i="13" s="1"/>
  <c r="F879" i="10"/>
  <c r="H23" i="9"/>
  <c r="F491" i="10"/>
  <c r="C489" i="10"/>
  <c r="B489" i="10" s="1"/>
  <c r="E74" i="7"/>
  <c r="J74" i="7"/>
  <c r="F74" i="7" s="1"/>
  <c r="B2067" i="10"/>
  <c r="I53" i="5"/>
  <c r="E8" i="4" s="1"/>
  <c r="G54" i="5"/>
  <c r="F1304" i="10"/>
  <c r="C1302" i="10"/>
  <c r="B1302" i="10" s="1"/>
  <c r="C1599" i="10"/>
  <c r="F1601" i="10"/>
  <c r="F1603" i="10" s="1"/>
  <c r="F1631" i="10" s="1"/>
  <c r="F1635" i="10" s="1"/>
  <c r="F1636" i="10" s="1"/>
  <c r="F26" i="13"/>
  <c r="F161" i="14"/>
  <c r="E26" i="13" s="1"/>
  <c r="I28" i="8"/>
  <c r="L50" i="5"/>
  <c r="M50" i="5" s="1"/>
  <c r="M49" i="5" s="1"/>
  <c r="G7" i="4" s="1"/>
  <c r="J1994" i="10"/>
  <c r="J2063" i="10"/>
  <c r="J89" i="14"/>
  <c r="E89" i="14"/>
  <c r="K53" i="5"/>
  <c r="F8" i="4" s="1"/>
  <c r="C757" i="10"/>
  <c r="B757" i="10" s="1"/>
  <c r="F759" i="10"/>
  <c r="F774" i="10" s="1"/>
  <c r="E73" i="7"/>
  <c r="J73" i="7"/>
  <c r="B947" i="10"/>
  <c r="E10" i="14"/>
  <c r="J10" i="14"/>
  <c r="J53" i="7"/>
  <c r="C947" i="10"/>
  <c r="F949" i="10"/>
  <c r="C1532" i="10"/>
  <c r="F10" i="7"/>
  <c r="F950" i="10"/>
  <c r="F980" i="10" s="1"/>
  <c r="F981" i="10" s="1"/>
  <c r="B1521" i="10"/>
  <c r="F845" i="10"/>
  <c r="H22" i="9"/>
  <c r="J1298" i="10"/>
  <c r="G16" i="24"/>
  <c r="I114" i="7"/>
  <c r="I165" i="7"/>
  <c r="H6" i="8"/>
  <c r="F6" i="8" s="1"/>
  <c r="I139" i="7"/>
  <c r="J1026" i="10"/>
  <c r="J919" i="10"/>
  <c r="J86" i="10"/>
  <c r="G5" i="24"/>
  <c r="J46" i="7"/>
  <c r="I2229" i="10"/>
  <c r="D2229" i="10"/>
  <c r="D1185" i="10"/>
  <c r="D1187" i="10" s="1"/>
  <c r="D1188" i="10" s="1"/>
  <c r="C1179" i="10"/>
  <c r="B1179" i="10" s="1"/>
  <c r="C1183" i="10"/>
  <c r="F1185" i="10"/>
  <c r="F1187" i="10" s="1"/>
  <c r="F1188" i="10" s="1"/>
  <c r="J716" i="10"/>
  <c r="G15" i="24"/>
  <c r="J1229" i="10"/>
  <c r="J1443" i="10"/>
  <c r="G12" i="24"/>
  <c r="E1114" i="10"/>
  <c r="I1114" i="10"/>
  <c r="B1183" i="10"/>
  <c r="C1319" i="10"/>
  <c r="B1319" i="10" s="1"/>
  <c r="F1321" i="10"/>
  <c r="F1473" i="10"/>
  <c r="F1497" i="10" s="1"/>
  <c r="F1498" i="10" s="1"/>
  <c r="J96" i="14"/>
  <c r="E96" i="14"/>
  <c r="B661" i="10"/>
  <c r="F40" i="10"/>
  <c r="H5" i="9"/>
  <c r="E39" i="14"/>
  <c r="J39" i="14"/>
  <c r="D425" i="10"/>
  <c r="F13" i="9"/>
  <c r="C459" i="10"/>
  <c r="E1181" i="10"/>
  <c r="I1181" i="10"/>
  <c r="G17" i="11"/>
  <c r="G183" i="7"/>
  <c r="H183" i="7" s="1"/>
  <c r="H186" i="7" s="1"/>
  <c r="H187" i="7" s="1"/>
  <c r="F24" i="6" s="1"/>
  <c r="J753" i="10"/>
  <c r="J298" i="10"/>
  <c r="J485" i="10"/>
  <c r="J786" i="10"/>
  <c r="J1380" i="10"/>
  <c r="J827" i="10"/>
  <c r="G98" i="7"/>
  <c r="H98" i="7" s="1"/>
  <c r="H99" i="7" s="1"/>
  <c r="F16" i="6" s="1"/>
  <c r="G17" i="24"/>
  <c r="C661" i="10"/>
  <c r="F663" i="10"/>
  <c r="F724" i="10" s="1"/>
  <c r="F739" i="10" s="1"/>
  <c r="E1061" i="10"/>
  <c r="I1061" i="10"/>
  <c r="K19" i="10"/>
  <c r="H18" i="24"/>
  <c r="F18" i="24" s="1"/>
  <c r="F555" i="10"/>
  <c r="C553" i="10"/>
  <c r="J1550" i="10"/>
  <c r="G19" i="24"/>
  <c r="B1278" i="10"/>
  <c r="B1998" i="10"/>
  <c r="B17" i="10"/>
  <c r="G14" i="6"/>
  <c r="F85" i="7"/>
  <c r="E14" i="6" s="1"/>
  <c r="F13" i="13"/>
  <c r="J1904" i="10" s="1"/>
  <c r="F69" i="14"/>
  <c r="E13" i="13" s="1"/>
  <c r="E1802" i="10"/>
  <c r="C1792" i="10"/>
  <c r="I1001" i="10"/>
  <c r="E1001" i="10"/>
  <c r="F34" i="7"/>
  <c r="J35" i="7"/>
  <c r="F1386" i="10"/>
  <c r="F1393" i="10" s="1"/>
  <c r="F1394" i="10" s="1"/>
  <c r="C1384" i="10"/>
  <c r="F12" i="13"/>
  <c r="J2121" i="10" s="1"/>
  <c r="F62" i="14"/>
  <c r="E12" i="13" s="1"/>
  <c r="F375" i="10"/>
  <c r="I375" i="10"/>
  <c r="J863" i="10"/>
  <c r="J898" i="10"/>
  <c r="J64" i="10"/>
  <c r="J1413" i="10"/>
  <c r="J1246" i="10"/>
  <c r="J1203" i="10"/>
  <c r="J1716" i="10"/>
  <c r="J1465" i="10"/>
  <c r="J1338" i="10"/>
  <c r="G8" i="24"/>
  <c r="F23" i="10"/>
  <c r="F39" i="10" s="1"/>
  <c r="C21" i="10"/>
  <c r="B21" i="10" s="1"/>
  <c r="J91" i="7"/>
  <c r="F1327" i="10"/>
  <c r="H31" i="9"/>
  <c r="F7" i="13"/>
  <c r="F33" i="14"/>
  <c r="E7" i="13" s="1"/>
  <c r="C284" i="10"/>
  <c r="E215" i="10"/>
  <c r="G8" i="9"/>
  <c r="E40" i="9"/>
  <c r="C1948" i="10"/>
  <c r="G38" i="11"/>
  <c r="H51" i="5"/>
  <c r="I51" i="5" s="1"/>
  <c r="F493" i="10"/>
  <c r="F529" i="10" s="1"/>
  <c r="C479" i="10"/>
  <c r="F588" i="10"/>
  <c r="C586" i="10"/>
  <c r="B586" i="10" s="1"/>
  <c r="H17" i="11"/>
  <c r="I183" i="7"/>
  <c r="F1254" i="10"/>
  <c r="F1256" i="10" s="1"/>
  <c r="F1257" i="10" s="1"/>
  <c r="B1384" i="10"/>
  <c r="E54" i="14"/>
  <c r="J54" i="14"/>
  <c r="E124" i="14"/>
  <c r="J124" i="14"/>
  <c r="E103" i="14"/>
  <c r="J103" i="14"/>
  <c r="E1910" i="10"/>
  <c r="C1906" i="10"/>
  <c r="B1906" i="10" s="1"/>
  <c r="F120" i="10"/>
  <c r="F154" i="10" s="1"/>
  <c r="F179" i="10" s="1"/>
  <c r="C118" i="10"/>
  <c r="B118" i="10" s="1"/>
  <c r="J114" i="10"/>
  <c r="J657" i="10"/>
  <c r="J945" i="10"/>
  <c r="J1274" i="10"/>
  <c r="J679" i="10"/>
  <c r="J1315" i="10"/>
  <c r="G14" i="24"/>
  <c r="E152" i="14"/>
  <c r="J152" i="14"/>
  <c r="F1556" i="10"/>
  <c r="C1554" i="10"/>
  <c r="B1554" i="10" s="1"/>
  <c r="C831" i="10"/>
  <c r="B831" i="10" s="1"/>
  <c r="F833" i="10"/>
  <c r="F844" i="10" s="1"/>
  <c r="C424" i="10"/>
  <c r="E390" i="10"/>
  <c r="G12" i="9"/>
  <c r="I58" i="5"/>
  <c r="G58" i="5" s="1"/>
  <c r="F58" i="5"/>
  <c r="F166" i="14"/>
  <c r="J167" i="14"/>
  <c r="E565" i="10"/>
  <c r="G16" i="9"/>
  <c r="I40" i="11"/>
  <c r="F40" i="11" s="1"/>
  <c r="L55" i="5"/>
  <c r="F75" i="10" l="1"/>
  <c r="H6" i="9"/>
  <c r="D2121" i="10"/>
  <c r="I2121" i="10"/>
  <c r="H12" i="8"/>
  <c r="F12" i="8" s="1"/>
  <c r="I201" i="7"/>
  <c r="M55" i="5"/>
  <c r="F55" i="5"/>
  <c r="F460" i="10"/>
  <c r="H14" i="9"/>
  <c r="I298" i="10"/>
  <c r="D298" i="10"/>
  <c r="D1154" i="10"/>
  <c r="F28" i="9"/>
  <c r="J75" i="7"/>
  <c r="K1300" i="10"/>
  <c r="H16" i="24"/>
  <c r="F16" i="24" s="1"/>
  <c r="F285" i="10"/>
  <c r="H9" i="9"/>
  <c r="K1552" i="10"/>
  <c r="H19" i="24"/>
  <c r="F19" i="24" s="1"/>
  <c r="F124" i="14"/>
  <c r="J125" i="14"/>
  <c r="D1550" i="10"/>
  <c r="I1550" i="10"/>
  <c r="I753" i="10"/>
  <c r="D753" i="10"/>
  <c r="F96" i="14"/>
  <c r="J97" i="14"/>
  <c r="D2235" i="10"/>
  <c r="C2229" i="10"/>
  <c r="F740" i="10"/>
  <c r="H19" i="9"/>
  <c r="G103" i="7"/>
  <c r="H103" i="7" s="1"/>
  <c r="G11" i="8"/>
  <c r="F1395" i="10"/>
  <c r="H33" i="9"/>
  <c r="B2229" i="10"/>
  <c r="F775" i="10"/>
  <c r="H20" i="9"/>
  <c r="E1875" i="10"/>
  <c r="C1871" i="10"/>
  <c r="F1323" i="10"/>
  <c r="F1325" i="10" s="1"/>
  <c r="F1326" i="10" s="1"/>
  <c r="E2160" i="10"/>
  <c r="I37" i="11"/>
  <c r="L47" i="5"/>
  <c r="M47" i="5" s="1"/>
  <c r="M46" i="5" s="1"/>
  <c r="F1568" i="10"/>
  <c r="H35" i="9"/>
  <c r="F913" i="10"/>
  <c r="H24" i="9"/>
  <c r="H16" i="11"/>
  <c r="I12" i="7"/>
  <c r="D1338" i="10"/>
  <c r="I1338" i="10"/>
  <c r="F564" i="10"/>
  <c r="C555" i="10"/>
  <c r="J47" i="7"/>
  <c r="B1871" i="10"/>
  <c r="F152" i="14"/>
  <c r="J153" i="14"/>
  <c r="K103" i="7"/>
  <c r="L103" i="7" s="1"/>
  <c r="I11" i="8"/>
  <c r="F35" i="7"/>
  <c r="E7" i="6" s="1"/>
  <c r="G7" i="6"/>
  <c r="E1005" i="10"/>
  <c r="C1001" i="10"/>
  <c r="B1001" i="10"/>
  <c r="E19" i="10"/>
  <c r="I19" i="10"/>
  <c r="C1181" i="10"/>
  <c r="B1181" i="10" s="1"/>
  <c r="E1185" i="10"/>
  <c r="I1595" i="10"/>
  <c r="D1595" i="10"/>
  <c r="D5" i="10"/>
  <c r="F4" i="9"/>
  <c r="F5" i="10"/>
  <c r="H4" i="9"/>
  <c r="D1716" i="10"/>
  <c r="I1716" i="10"/>
  <c r="D679" i="10"/>
  <c r="I679" i="10"/>
  <c r="H8" i="11"/>
  <c r="F8" i="11" s="1"/>
  <c r="I215" i="7"/>
  <c r="D1203" i="10"/>
  <c r="I1203" i="10"/>
  <c r="B1061" i="10"/>
  <c r="C425" i="10"/>
  <c r="E13" i="9"/>
  <c r="B1114" i="10"/>
  <c r="D86" i="10"/>
  <c r="I86" i="10"/>
  <c r="F89" i="14"/>
  <c r="J90" i="14"/>
  <c r="D146" i="10"/>
  <c r="I146" i="10"/>
  <c r="I14" i="8"/>
  <c r="K39" i="7"/>
  <c r="L39" i="7" s="1"/>
  <c r="G14" i="13"/>
  <c r="F76" i="14"/>
  <c r="E14" i="13" s="1"/>
  <c r="D1663" i="10"/>
  <c r="I1663" i="10"/>
  <c r="F103" i="14"/>
  <c r="J104" i="14"/>
  <c r="G24" i="8"/>
  <c r="H38" i="5"/>
  <c r="I38" i="5" s="1"/>
  <c r="G27" i="13"/>
  <c r="F167" i="14"/>
  <c r="E27" i="13" s="1"/>
  <c r="F1558" i="10"/>
  <c r="F1566" i="10" s="1"/>
  <c r="F1567" i="10" s="1"/>
  <c r="D1246" i="10"/>
  <c r="I1246" i="10"/>
  <c r="E1065" i="10"/>
  <c r="C1061" i="10"/>
  <c r="E1118" i="10"/>
  <c r="C1114" i="10"/>
  <c r="I919" i="10"/>
  <c r="D919" i="10"/>
  <c r="F635" i="10"/>
  <c r="H18" i="9"/>
  <c r="D1026" i="10"/>
  <c r="I1026" i="10"/>
  <c r="D1994" i="10"/>
  <c r="I1994" i="10"/>
  <c r="I25" i="11"/>
  <c r="L13" i="5"/>
  <c r="M13" i="5" s="1"/>
  <c r="F20" i="24"/>
  <c r="F1189" i="10"/>
  <c r="H29" i="9"/>
  <c r="D64" i="10"/>
  <c r="I64" i="10"/>
  <c r="D1904" i="10"/>
  <c r="I1904" i="10"/>
  <c r="F39" i="14"/>
  <c r="J40" i="14"/>
  <c r="D1443" i="10"/>
  <c r="I1443" i="10"/>
  <c r="E139" i="7"/>
  <c r="J139" i="7"/>
  <c r="F139" i="7" s="1"/>
  <c r="I5" i="8"/>
  <c r="F5" i="8" s="1"/>
  <c r="K38" i="7"/>
  <c r="G25" i="8"/>
  <c r="H39" i="5"/>
  <c r="I39" i="5" s="1"/>
  <c r="E1665" i="10"/>
  <c r="I1665" i="10"/>
  <c r="I485" i="10"/>
  <c r="D485" i="10"/>
  <c r="I22" i="11"/>
  <c r="L9" i="5"/>
  <c r="M9" i="5" s="1"/>
  <c r="M8" i="5" s="1"/>
  <c r="C1869" i="10"/>
  <c r="B1869" i="10" s="1"/>
  <c r="D1875" i="10"/>
  <c r="D1315" i="10"/>
  <c r="I1315" i="10"/>
  <c r="D1274" i="10"/>
  <c r="I1274" i="10"/>
  <c r="D2063" i="10"/>
  <c r="I2063" i="10"/>
  <c r="D945" i="10"/>
  <c r="I945" i="10"/>
  <c r="C215" i="10"/>
  <c r="E8" i="9"/>
  <c r="D1413" i="10"/>
  <c r="I1413" i="10"/>
  <c r="J183" i="7"/>
  <c r="J54" i="7"/>
  <c r="F18" i="14"/>
  <c r="J19" i="14"/>
  <c r="I1597" i="10"/>
  <c r="E1597" i="10"/>
  <c r="H32" i="9"/>
  <c r="F1361" i="10"/>
  <c r="F54" i="14"/>
  <c r="J55" i="14"/>
  <c r="I1465" i="10"/>
  <c r="D1465" i="10"/>
  <c r="C1802" i="10"/>
  <c r="E1807" i="10"/>
  <c r="G13" i="11"/>
  <c r="F13" i="11" s="1"/>
  <c r="G216" i="7"/>
  <c r="C623" i="10"/>
  <c r="F625" i="10"/>
  <c r="I657" i="10"/>
  <c r="D657" i="10"/>
  <c r="I114" i="10"/>
  <c r="D114" i="10"/>
  <c r="J1059" i="10"/>
  <c r="J999" i="10"/>
  <c r="G7" i="24"/>
  <c r="F7" i="24" s="1"/>
  <c r="D898" i="10"/>
  <c r="I898" i="10"/>
  <c r="I1229" i="10"/>
  <c r="D1229" i="10"/>
  <c r="I218" i="7"/>
  <c r="H12" i="11"/>
  <c r="F12" i="11" s="1"/>
  <c r="I863" i="10"/>
  <c r="D863" i="10"/>
  <c r="I39" i="7"/>
  <c r="H14" i="8"/>
  <c r="F14" i="8" s="1"/>
  <c r="G16" i="8"/>
  <c r="G150" i="7"/>
  <c r="H150" i="7" s="1"/>
  <c r="K163" i="7"/>
  <c r="L163" i="7" s="1"/>
  <c r="K115" i="7"/>
  <c r="L115" i="7" s="1"/>
  <c r="K151" i="7"/>
  <c r="L151" i="7" s="1"/>
  <c r="K137" i="7"/>
  <c r="L137" i="7" s="1"/>
  <c r="I5" i="11"/>
  <c r="E165" i="7"/>
  <c r="J165" i="7"/>
  <c r="F165" i="7" s="1"/>
  <c r="F10" i="14"/>
  <c r="J11" i="14"/>
  <c r="I26" i="11"/>
  <c r="L14" i="5"/>
  <c r="M14" i="5" s="1"/>
  <c r="I31" i="11"/>
  <c r="L22" i="5"/>
  <c r="M22" i="5" s="1"/>
  <c r="B375" i="10"/>
  <c r="I827" i="10"/>
  <c r="D827" i="10"/>
  <c r="D716" i="10"/>
  <c r="I716" i="10"/>
  <c r="J114" i="7"/>
  <c r="F114" i="7" s="1"/>
  <c r="E114" i="7"/>
  <c r="F117" i="14"/>
  <c r="J118" i="14"/>
  <c r="F1637" i="10"/>
  <c r="H36" i="9"/>
  <c r="D1085" i="10"/>
  <c r="F27" i="9"/>
  <c r="D1380" i="10"/>
  <c r="I1380" i="10"/>
  <c r="F1154" i="10"/>
  <c r="H28" i="9"/>
  <c r="I23" i="11"/>
  <c r="L11" i="5"/>
  <c r="M11" i="5" s="1"/>
  <c r="I371" i="10"/>
  <c r="D371" i="10"/>
  <c r="C390" i="10"/>
  <c r="E12" i="9"/>
  <c r="C375" i="10"/>
  <c r="F377" i="10"/>
  <c r="F380" i="10" s="1"/>
  <c r="F389" i="10" s="1"/>
  <c r="F810" i="10"/>
  <c r="H21" i="9"/>
  <c r="F590" i="10"/>
  <c r="C588" i="10"/>
  <c r="J92" i="7"/>
  <c r="I786" i="10"/>
  <c r="D786" i="10"/>
  <c r="D1298" i="10"/>
  <c r="I1298" i="10"/>
  <c r="F73" i="7"/>
  <c r="G46" i="7"/>
  <c r="G53" i="7"/>
  <c r="G91" i="7"/>
  <c r="G21" i="24"/>
  <c r="F21" i="24" s="1"/>
  <c r="F1085" i="10"/>
  <c r="H27" i="9"/>
  <c r="D792" i="10" l="1"/>
  <c r="D802" i="10" s="1"/>
  <c r="D809" i="10" s="1"/>
  <c r="C786" i="10"/>
  <c r="D1280" i="10"/>
  <c r="C1274" i="10"/>
  <c r="B1026" i="10"/>
  <c r="C1595" i="10"/>
  <c r="B1595" i="10" s="1"/>
  <c r="D1601" i="10"/>
  <c r="D1603" i="10" s="1"/>
  <c r="D1631" i="10" s="1"/>
  <c r="D1635" i="10" s="1"/>
  <c r="D1636" i="10" s="1"/>
  <c r="G17" i="13"/>
  <c r="F97" i="14"/>
  <c r="E17" i="13" s="1"/>
  <c r="C1298" i="10"/>
  <c r="D1304" i="10"/>
  <c r="E1601" i="10"/>
  <c r="C1597" i="10"/>
  <c r="B1597" i="10" s="1"/>
  <c r="G18" i="13"/>
  <c r="F104" i="14"/>
  <c r="E18" i="13" s="1"/>
  <c r="G9" i="6"/>
  <c r="F1258" i="10"/>
  <c r="H30" i="9"/>
  <c r="G28" i="11"/>
  <c r="H18" i="5"/>
  <c r="I18" i="5" s="1"/>
  <c r="E39" i="7"/>
  <c r="J39" i="7"/>
  <c r="E1187" i="10"/>
  <c r="C1185" i="10"/>
  <c r="D759" i="10"/>
  <c r="D774" i="10" s="1"/>
  <c r="C753" i="10"/>
  <c r="D1032" i="10"/>
  <c r="C1026" i="10"/>
  <c r="F40" i="14"/>
  <c r="E8" i="13" s="1"/>
  <c r="G8" i="13"/>
  <c r="C1875" i="10"/>
  <c r="E1912" i="10"/>
  <c r="B753" i="10"/>
  <c r="D304" i="10"/>
  <c r="D314" i="10" s="1"/>
  <c r="D319" i="10" s="1"/>
  <c r="C298" i="10"/>
  <c r="D1449" i="10"/>
  <c r="C1443" i="10"/>
  <c r="G10" i="6"/>
  <c r="D1386" i="10"/>
  <c r="D1393" i="10" s="1"/>
  <c r="D1394" i="10" s="1"/>
  <c r="C1380" i="10"/>
  <c r="C919" i="10"/>
  <c r="D923" i="10"/>
  <c r="D1669" i="10"/>
  <c r="D1679" i="10" s="1"/>
  <c r="D1704" i="10" s="1"/>
  <c r="D1705" i="10" s="1"/>
  <c r="C1663" i="10"/>
  <c r="B1663" i="10" s="1"/>
  <c r="D1209" i="10"/>
  <c r="C1203" i="10"/>
  <c r="B1203" i="10" s="1"/>
  <c r="F530" i="10"/>
  <c r="H15" i="9"/>
  <c r="C564" i="10"/>
  <c r="K105" i="7"/>
  <c r="L105" i="7" s="1"/>
  <c r="K120" i="7"/>
  <c r="L120" i="7" s="1"/>
  <c r="I20" i="11"/>
  <c r="K154" i="7"/>
  <c r="L154" i="7" s="1"/>
  <c r="K203" i="7"/>
  <c r="L203" i="7" s="1"/>
  <c r="K143" i="7"/>
  <c r="L143" i="7" s="1"/>
  <c r="K129" i="7"/>
  <c r="L129" i="7" s="1"/>
  <c r="B298" i="10"/>
  <c r="D663" i="10"/>
  <c r="C657" i="10"/>
  <c r="F599" i="10"/>
  <c r="C590" i="10"/>
  <c r="G27" i="11"/>
  <c r="H17" i="5"/>
  <c r="I17" i="5" s="1"/>
  <c r="E216" i="7"/>
  <c r="H216" i="7"/>
  <c r="J186" i="7"/>
  <c r="B919" i="10"/>
  <c r="J215" i="7"/>
  <c r="E215" i="7"/>
  <c r="C19" i="10"/>
  <c r="B19" i="10" s="1"/>
  <c r="E23" i="10"/>
  <c r="D1556" i="10"/>
  <c r="D1558" i="10" s="1"/>
  <c r="D1566" i="10" s="1"/>
  <c r="D1567" i="10" s="1"/>
  <c r="C1550" i="10"/>
  <c r="B1550" i="10" s="1"/>
  <c r="K126" i="7"/>
  <c r="L126" i="7" s="1"/>
  <c r="K208" i="7"/>
  <c r="L208" i="7" s="1"/>
  <c r="K196" i="7"/>
  <c r="L196" i="7" s="1"/>
  <c r="I14" i="11"/>
  <c r="F125" i="14"/>
  <c r="E21" i="13" s="1"/>
  <c r="G21" i="13"/>
  <c r="B786" i="10"/>
  <c r="I28" i="11"/>
  <c r="L18" i="5"/>
  <c r="M18" i="5" s="1"/>
  <c r="D1321" i="10"/>
  <c r="C1315" i="10"/>
  <c r="D1910" i="10"/>
  <c r="C1910" i="10" s="1"/>
  <c r="C1904" i="10"/>
  <c r="B1904" i="10" s="1"/>
  <c r="D1346" i="10"/>
  <c r="D1359" i="10" s="1"/>
  <c r="D1360" i="10" s="1"/>
  <c r="C1338" i="10"/>
  <c r="B1338" i="10" s="1"/>
  <c r="I21" i="11"/>
  <c r="K121" i="7"/>
  <c r="L121" i="7" s="1"/>
  <c r="K130" i="7"/>
  <c r="L130" i="7" s="1"/>
  <c r="K155" i="7"/>
  <c r="L155" i="7" s="1"/>
  <c r="L156" i="7" s="1"/>
  <c r="L157" i="7" s="1"/>
  <c r="H21" i="6" s="1"/>
  <c r="K144" i="7"/>
  <c r="L144" i="7" s="1"/>
  <c r="K106" i="7"/>
  <c r="L106" i="7" s="1"/>
  <c r="K168" i="7"/>
  <c r="L168" i="7" s="1"/>
  <c r="K177" i="7"/>
  <c r="L177" i="7" s="1"/>
  <c r="I36" i="11"/>
  <c r="L44" i="5"/>
  <c r="M44" i="5" s="1"/>
  <c r="E218" i="7"/>
  <c r="J218" i="7"/>
  <c r="F218" i="7" s="1"/>
  <c r="C1807" i="10"/>
  <c r="E1808" i="10"/>
  <c r="D491" i="10"/>
  <c r="D493" i="10" s="1"/>
  <c r="D529" i="10" s="1"/>
  <c r="C485" i="10"/>
  <c r="B64" i="10"/>
  <c r="E1152" i="10"/>
  <c r="C1118" i="10"/>
  <c r="J12" i="7"/>
  <c r="I33" i="11"/>
  <c r="L25" i="5"/>
  <c r="M25" i="5" s="1"/>
  <c r="M24" i="5" s="1"/>
  <c r="D833" i="10"/>
  <c r="D844" i="10" s="1"/>
  <c r="C827" i="10"/>
  <c r="B827" i="10" s="1"/>
  <c r="B1274" i="10"/>
  <c r="B1443" i="10"/>
  <c r="B657" i="10"/>
  <c r="B1380" i="10"/>
  <c r="D1236" i="10"/>
  <c r="C1229" i="10"/>
  <c r="C1413" i="10"/>
  <c r="B1413" i="10" s="1"/>
  <c r="D1419" i="10"/>
  <c r="B485" i="10"/>
  <c r="D70" i="10"/>
  <c r="D74" i="10" s="1"/>
  <c r="C64" i="10"/>
  <c r="D685" i="10"/>
  <c r="C679" i="10"/>
  <c r="B679" i="10" s="1"/>
  <c r="E1014" i="10"/>
  <c r="M53" i="5"/>
  <c r="G8" i="4" s="1"/>
  <c r="G55" i="5"/>
  <c r="G53" i="5" s="1"/>
  <c r="D8" i="4" s="1"/>
  <c r="M21" i="5"/>
  <c r="D869" i="10"/>
  <c r="D871" i="10" s="1"/>
  <c r="D877" i="10" s="1"/>
  <c r="D878" i="10" s="1"/>
  <c r="C863" i="10"/>
  <c r="B863" i="10" s="1"/>
  <c r="I27" i="11"/>
  <c r="L17" i="5"/>
  <c r="M17" i="5" s="1"/>
  <c r="K1445" i="10"/>
  <c r="K1231" i="10"/>
  <c r="H12" i="24"/>
  <c r="F12" i="24" s="1"/>
  <c r="H91" i="7"/>
  <c r="E91" i="7"/>
  <c r="F118" i="14"/>
  <c r="E20" i="13" s="1"/>
  <c r="G20" i="13"/>
  <c r="B1229" i="10"/>
  <c r="D1471" i="10"/>
  <c r="C1465" i="10"/>
  <c r="I29" i="11"/>
  <c r="L19" i="5"/>
  <c r="M19" i="5" s="1"/>
  <c r="B146" i="10"/>
  <c r="B1716" i="10"/>
  <c r="I198" i="7"/>
  <c r="H7" i="8"/>
  <c r="F7" i="8" s="1"/>
  <c r="I24" i="11"/>
  <c r="L12" i="5"/>
  <c r="M12" i="5" s="1"/>
  <c r="I1552" i="10"/>
  <c r="E1552" i="10"/>
  <c r="E201" i="7"/>
  <c r="J201" i="7"/>
  <c r="F201" i="7" s="1"/>
  <c r="F19" i="14"/>
  <c r="E5" i="13" s="1"/>
  <c r="G5" i="13"/>
  <c r="F355" i="10"/>
  <c r="H11" i="9"/>
  <c r="H53" i="7"/>
  <c r="E53" i="7"/>
  <c r="B1465" i="10"/>
  <c r="E1669" i="10"/>
  <c r="C1665" i="10"/>
  <c r="B1665" i="10" s="1"/>
  <c r="B1246" i="10"/>
  <c r="D152" i="10"/>
  <c r="C146" i="10"/>
  <c r="D1724" i="10"/>
  <c r="D1740" i="10" s="1"/>
  <c r="D1773" i="10" s="1"/>
  <c r="D1774" i="10" s="1"/>
  <c r="C1716" i="10"/>
  <c r="D120" i="10"/>
  <c r="C114" i="10"/>
  <c r="B114" i="10" s="1"/>
  <c r="F634" i="10"/>
  <c r="C625" i="10"/>
  <c r="H46" i="7"/>
  <c r="E46" i="7"/>
  <c r="D904" i="10"/>
  <c r="D911" i="10" s="1"/>
  <c r="D912" i="10" s="1"/>
  <c r="C898" i="10"/>
  <c r="B898" i="10" s="1"/>
  <c r="F55" i="14"/>
  <c r="E11" i="13" s="1"/>
  <c r="G11" i="13"/>
  <c r="C1246" i="10"/>
  <c r="D1252" i="10"/>
  <c r="G16" i="13"/>
  <c r="F90" i="14"/>
  <c r="E16" i="13" s="1"/>
  <c r="I35" i="11"/>
  <c r="L43" i="5"/>
  <c r="M43" i="5" s="1"/>
  <c r="I9" i="11"/>
  <c r="K152" i="7"/>
  <c r="L152" i="7" s="1"/>
  <c r="K117" i="7"/>
  <c r="L117" i="7" s="1"/>
  <c r="K140" i="7"/>
  <c r="L140" i="7" s="1"/>
  <c r="B2121" i="10"/>
  <c r="M10" i="5"/>
  <c r="D2000" i="10"/>
  <c r="C1994" i="10"/>
  <c r="B1994" i="10" s="1"/>
  <c r="F11" i="14"/>
  <c r="E4" i="13" s="1"/>
  <c r="G4" i="13"/>
  <c r="F1499" i="10"/>
  <c r="H34" i="9"/>
  <c r="L200" i="10"/>
  <c r="F200" i="10" s="1"/>
  <c r="F202" i="10" s="1"/>
  <c r="F204" i="10" s="1"/>
  <c r="F214" i="10" s="1"/>
  <c r="L346" i="10"/>
  <c r="F346" i="10" s="1"/>
  <c r="F348" i="10" s="1"/>
  <c r="F350" i="10" s="1"/>
  <c r="F354" i="10" s="1"/>
  <c r="I4" i="11"/>
  <c r="I19" i="11"/>
  <c r="K104" i="7"/>
  <c r="L104" i="7" s="1"/>
  <c r="L107" i="7" s="1"/>
  <c r="L108" i="7" s="1"/>
  <c r="H17" i="6" s="1"/>
  <c r="K176" i="7"/>
  <c r="L176" i="7" s="1"/>
  <c r="K153" i="7"/>
  <c r="L153" i="7" s="1"/>
  <c r="K167" i="7"/>
  <c r="L167" i="7" s="1"/>
  <c r="K142" i="7"/>
  <c r="L142" i="7" s="1"/>
  <c r="K128" i="7"/>
  <c r="L128" i="7" s="1"/>
  <c r="K119" i="7"/>
  <c r="L119" i="7" s="1"/>
  <c r="K202" i="7"/>
  <c r="L202" i="7" s="1"/>
  <c r="C2121" i="10"/>
  <c r="D2127" i="10"/>
  <c r="G15" i="6"/>
  <c r="I18" i="11"/>
  <c r="K173" i="7"/>
  <c r="L173" i="7" s="1"/>
  <c r="J76" i="7"/>
  <c r="D377" i="10"/>
  <c r="D380" i="10" s="1"/>
  <c r="D389" i="10" s="1"/>
  <c r="C371" i="10"/>
  <c r="I999" i="10"/>
  <c r="D999" i="10"/>
  <c r="B2063" i="10"/>
  <c r="L38" i="7"/>
  <c r="E38" i="7"/>
  <c r="B86" i="10"/>
  <c r="F153" i="14"/>
  <c r="E25" i="13" s="1"/>
  <c r="G25" i="13"/>
  <c r="K2231" i="10" s="1"/>
  <c r="I6" i="11"/>
  <c r="K116" i="7"/>
  <c r="L116" i="7" s="1"/>
  <c r="B1315" i="10"/>
  <c r="D949" i="10"/>
  <c r="C945" i="10"/>
  <c r="B945" i="10" s="1"/>
  <c r="B1298" i="10"/>
  <c r="B371" i="10"/>
  <c r="D722" i="10"/>
  <c r="C716" i="10"/>
  <c r="B716" i="10" s="1"/>
  <c r="I1059" i="10"/>
  <c r="D1059" i="10"/>
  <c r="I32" i="11"/>
  <c r="L23" i="5"/>
  <c r="M23" i="5" s="1"/>
  <c r="D2069" i="10"/>
  <c r="C2063" i="10"/>
  <c r="K1539" i="10"/>
  <c r="H22" i="24"/>
  <c r="F22" i="24" s="1"/>
  <c r="C86" i="10"/>
  <c r="D92" i="10"/>
  <c r="D154" i="10" s="1"/>
  <c r="D179" i="10" s="1"/>
  <c r="J200" i="10"/>
  <c r="D200" i="10" s="1"/>
  <c r="D202" i="10" s="1"/>
  <c r="D204" i="10" s="1"/>
  <c r="D214" i="10" s="1"/>
  <c r="J346" i="10"/>
  <c r="D346" i="10" s="1"/>
  <c r="D348" i="10" s="1"/>
  <c r="D350" i="10" s="1"/>
  <c r="D354" i="10" s="1"/>
  <c r="G4" i="11"/>
  <c r="I1300" i="10"/>
  <c r="E1300" i="10"/>
  <c r="I17" i="8" l="1"/>
  <c r="L29" i="5"/>
  <c r="M29" i="5" s="1"/>
  <c r="I21" i="8"/>
  <c r="L34" i="5"/>
  <c r="M34" i="5" s="1"/>
  <c r="C530" i="10"/>
  <c r="E15" i="9"/>
  <c r="C1669" i="10"/>
  <c r="E1679" i="10"/>
  <c r="J198" i="7"/>
  <c r="F198" i="7" s="1"/>
  <c r="E198" i="7"/>
  <c r="E1445" i="10"/>
  <c r="I1445" i="10"/>
  <c r="D1473" i="10"/>
  <c r="D1497" i="10" s="1"/>
  <c r="D1498" i="10" s="1"/>
  <c r="C1152" i="10"/>
  <c r="E1153" i="10"/>
  <c r="I15" i="11"/>
  <c r="F15" i="11" s="1"/>
  <c r="K75" i="7"/>
  <c r="C1187" i="10"/>
  <c r="E1188" i="10"/>
  <c r="D285" i="10"/>
  <c r="F9" i="9"/>
  <c r="F39" i="7"/>
  <c r="J40" i="7"/>
  <c r="K681" i="10"/>
  <c r="K659" i="10"/>
  <c r="K1317" i="10"/>
  <c r="K946" i="10"/>
  <c r="K116" i="10"/>
  <c r="K1276" i="10"/>
  <c r="H14" i="24"/>
  <c r="F14" i="24" s="1"/>
  <c r="E1231" i="10"/>
  <c r="I1231" i="10"/>
  <c r="L40" i="7"/>
  <c r="H8" i="6" s="1"/>
  <c r="F38" i="7"/>
  <c r="D1065" i="10"/>
  <c r="C1065" i="10" s="1"/>
  <c r="C1059" i="10"/>
  <c r="B1059" i="10" s="1"/>
  <c r="D1499" i="10"/>
  <c r="F34" i="9"/>
  <c r="F565" i="10"/>
  <c r="H16" i="9"/>
  <c r="C599" i="10"/>
  <c r="F35" i="9"/>
  <c r="D1568" i="10"/>
  <c r="D879" i="10"/>
  <c r="F23" i="9"/>
  <c r="H54" i="7"/>
  <c r="F53" i="7"/>
  <c r="D845" i="10"/>
  <c r="F22" i="9"/>
  <c r="D1327" i="10"/>
  <c r="F31" i="9"/>
  <c r="D1254" i="10"/>
  <c r="D1256" i="10" s="1"/>
  <c r="D1257" i="10" s="1"/>
  <c r="D460" i="10"/>
  <c r="F14" i="9"/>
  <c r="C1808" i="10"/>
  <c r="G38" i="9"/>
  <c r="E1775" i="10"/>
  <c r="E39" i="10"/>
  <c r="C23" i="10"/>
  <c r="D724" i="10"/>
  <c r="D739" i="10" s="1"/>
  <c r="I30" i="11"/>
  <c r="L20" i="5"/>
  <c r="M20" i="5" s="1"/>
  <c r="M15" i="5" s="1"/>
  <c r="M7" i="5" s="1"/>
  <c r="D1637" i="10"/>
  <c r="F36" i="9"/>
  <c r="H47" i="7"/>
  <c r="F46" i="7"/>
  <c r="F600" i="10"/>
  <c r="H17" i="9"/>
  <c r="C634" i="10"/>
  <c r="G13" i="6"/>
  <c r="K88" i="10"/>
  <c r="K920" i="10"/>
  <c r="K1028" i="10"/>
  <c r="H5" i="24"/>
  <c r="F5" i="24" s="1"/>
  <c r="D950" i="10"/>
  <c r="D980" i="10" s="1"/>
  <c r="D981" i="10" s="1"/>
  <c r="K66" i="10"/>
  <c r="K900" i="10"/>
  <c r="K1340" i="10"/>
  <c r="K1415" i="10"/>
  <c r="K1467" i="10"/>
  <c r="K1205" i="10"/>
  <c r="K865" i="10"/>
  <c r="K1248" i="10"/>
  <c r="K1718" i="10"/>
  <c r="H8" i="24"/>
  <c r="F8" i="24" s="1"/>
  <c r="D1323" i="10"/>
  <c r="D1325" i="10" s="1"/>
  <c r="D1326" i="10" s="1"/>
  <c r="F215" i="7"/>
  <c r="J219" i="7"/>
  <c r="H9" i="8"/>
  <c r="I174" i="7"/>
  <c r="D180" i="10"/>
  <c r="F7" i="9"/>
  <c r="I11" i="11"/>
  <c r="K175" i="7"/>
  <c r="L175" i="7" s="1"/>
  <c r="L178" i="7" s="1"/>
  <c r="L179" i="7" s="1"/>
  <c r="H23" i="6" s="1"/>
  <c r="D810" i="10"/>
  <c r="F21" i="9"/>
  <c r="D1912" i="10"/>
  <c r="C1912" i="10" s="1"/>
  <c r="D355" i="10"/>
  <c r="F11" i="9"/>
  <c r="E1539" i="10"/>
  <c r="I1539" i="10"/>
  <c r="I112" i="7"/>
  <c r="I161" i="7"/>
  <c r="H15" i="8"/>
  <c r="I136" i="7"/>
  <c r="F180" i="10"/>
  <c r="H7" i="9"/>
  <c r="K373" i="10"/>
  <c r="H13" i="24"/>
  <c r="F13" i="24" s="1"/>
  <c r="K300" i="10"/>
  <c r="K829" i="10"/>
  <c r="K788" i="10"/>
  <c r="K1382" i="10"/>
  <c r="K487" i="10"/>
  <c r="K755" i="10"/>
  <c r="I98" i="7"/>
  <c r="H17" i="24"/>
  <c r="F17" i="24" s="1"/>
  <c r="E1015" i="10"/>
  <c r="D1005" i="10"/>
  <c r="C999" i="10"/>
  <c r="B999" i="10" s="1"/>
  <c r="F320" i="10"/>
  <c r="H10" i="9"/>
  <c r="I34" i="11"/>
  <c r="L40" i="5"/>
  <c r="M40" i="5" s="1"/>
  <c r="D1361" i="10"/>
  <c r="F32" i="9"/>
  <c r="D1067" i="10"/>
  <c r="D1083" i="10" s="1"/>
  <c r="D1084" i="10" s="1"/>
  <c r="K718" i="10"/>
  <c r="H15" i="24"/>
  <c r="F15" i="24" s="1"/>
  <c r="E1304" i="10"/>
  <c r="C1304" i="10" s="1"/>
  <c r="C1300" i="10"/>
  <c r="B1300" i="10" s="1"/>
  <c r="C1552" i="10"/>
  <c r="E1556" i="10"/>
  <c r="C1556" i="10" s="1"/>
  <c r="K2065" i="10"/>
  <c r="K1996" i="10"/>
  <c r="J187" i="7"/>
  <c r="H10" i="8"/>
  <c r="I162" i="7"/>
  <c r="D775" i="10"/>
  <c r="F20" i="9"/>
  <c r="D320" i="10"/>
  <c r="F10" i="9"/>
  <c r="D1706" i="10"/>
  <c r="F37" i="9"/>
  <c r="D2160" i="10"/>
  <c r="C2160" i="10" s="1"/>
  <c r="C2127" i="10"/>
  <c r="B1552" i="10"/>
  <c r="J13" i="7"/>
  <c r="E2231" i="10"/>
  <c r="I2231" i="10"/>
  <c r="I61" i="7"/>
  <c r="H4" i="24"/>
  <c r="F4" i="24" s="1"/>
  <c r="H92" i="7"/>
  <c r="F91" i="7"/>
  <c r="C1601" i="10"/>
  <c r="E1603" i="10"/>
  <c r="D75" i="10"/>
  <c r="F6" i="9"/>
  <c r="K148" i="10"/>
  <c r="H11" i="24"/>
  <c r="F11" i="24" s="1"/>
  <c r="D40" i="10"/>
  <c r="F5" i="9"/>
  <c r="F216" i="7"/>
  <c r="H219" i="7"/>
  <c r="H220" i="7" s="1"/>
  <c r="F28" i="6" s="1"/>
  <c r="D740" i="10"/>
  <c r="F19" i="9"/>
  <c r="I23" i="8" l="1"/>
  <c r="L36" i="5"/>
  <c r="M36" i="5" s="1"/>
  <c r="G5" i="4"/>
  <c r="G5" i="11"/>
  <c r="G137" i="7"/>
  <c r="H137" i="7" s="1"/>
  <c r="G163" i="7"/>
  <c r="H163" i="7" s="1"/>
  <c r="G115" i="7"/>
  <c r="H115" i="7" s="1"/>
  <c r="G151" i="7"/>
  <c r="H151" i="7" s="1"/>
  <c r="I755" i="10"/>
  <c r="E755" i="10"/>
  <c r="G11" i="11"/>
  <c r="G175" i="7"/>
  <c r="H175" i="7" s="1"/>
  <c r="E1718" i="10"/>
  <c r="I1718" i="10"/>
  <c r="C600" i="10"/>
  <c r="E17" i="9"/>
  <c r="E681" i="10"/>
  <c r="I681" i="10"/>
  <c r="D1189" i="10"/>
  <c r="F29" i="9"/>
  <c r="G34" i="11"/>
  <c r="H40" i="5"/>
  <c r="I40" i="5" s="1"/>
  <c r="I37" i="5" s="1"/>
  <c r="G8" i="6"/>
  <c r="F40" i="7"/>
  <c r="E8" i="6" s="1"/>
  <c r="C1445" i="10"/>
  <c r="B1445" i="10" s="1"/>
  <c r="E1449" i="10"/>
  <c r="C1449" i="10" s="1"/>
  <c r="D1395" i="10"/>
  <c r="F33" i="9"/>
  <c r="G6" i="11"/>
  <c r="G116" i="7"/>
  <c r="H116" i="7" s="1"/>
  <c r="E865" i="10"/>
  <c r="I865" i="10"/>
  <c r="G31" i="11"/>
  <c r="H22" i="5"/>
  <c r="I22" i="5" s="1"/>
  <c r="D1016" i="10"/>
  <c r="F26" i="9"/>
  <c r="I788" i="10"/>
  <c r="E788" i="10"/>
  <c r="G21" i="11"/>
  <c r="G144" i="7"/>
  <c r="H144" i="7" s="1"/>
  <c r="G168" i="7"/>
  <c r="H168" i="7" s="1"/>
  <c r="G106" i="7"/>
  <c r="H106" i="7" s="1"/>
  <c r="G130" i="7"/>
  <c r="H130" i="7" s="1"/>
  <c r="G121" i="7"/>
  <c r="H121" i="7" s="1"/>
  <c r="G177" i="7"/>
  <c r="H177" i="7" s="1"/>
  <c r="G155" i="7"/>
  <c r="H155" i="7" s="1"/>
  <c r="E1205" i="10"/>
  <c r="I1205" i="10"/>
  <c r="G152" i="7"/>
  <c r="H152" i="7" s="1"/>
  <c r="G9" i="11"/>
  <c r="G117" i="7"/>
  <c r="H117" i="7" s="1"/>
  <c r="G140" i="7"/>
  <c r="H140" i="7" s="1"/>
  <c r="I1248" i="10"/>
  <c r="E1248" i="10"/>
  <c r="E1382" i="10"/>
  <c r="I1382" i="10"/>
  <c r="E829" i="10"/>
  <c r="I829" i="10"/>
  <c r="E1467" i="10"/>
  <c r="I1467" i="10"/>
  <c r="C1679" i="10"/>
  <c r="E1704" i="10"/>
  <c r="I190" i="7"/>
  <c r="I127" i="7"/>
  <c r="I209" i="7"/>
  <c r="H13" i="8"/>
  <c r="I659" i="10"/>
  <c r="E659" i="10"/>
  <c r="E148" i="10"/>
  <c r="I148" i="10"/>
  <c r="F9" i="6"/>
  <c r="F47" i="7"/>
  <c r="E9" i="6" s="1"/>
  <c r="G22" i="11"/>
  <c r="H9" i="5"/>
  <c r="I9" i="5" s="1"/>
  <c r="I8" i="5" s="1"/>
  <c r="G20" i="11"/>
  <c r="G105" i="7"/>
  <c r="H105" i="7" s="1"/>
  <c r="G203" i="7"/>
  <c r="H203" i="7" s="1"/>
  <c r="G154" i="7"/>
  <c r="H154" i="7" s="1"/>
  <c r="G143" i="7"/>
  <c r="H143" i="7" s="1"/>
  <c r="G129" i="7"/>
  <c r="H129" i="7" s="1"/>
  <c r="G120" i="7"/>
  <c r="H120" i="7" s="1"/>
  <c r="I300" i="10"/>
  <c r="E300" i="10"/>
  <c r="I1415" i="10"/>
  <c r="E1415" i="10"/>
  <c r="G36" i="11"/>
  <c r="H44" i="5"/>
  <c r="I44" i="5" s="1"/>
  <c r="G196" i="7"/>
  <c r="H196" i="7" s="1"/>
  <c r="G14" i="11"/>
  <c r="G126" i="7"/>
  <c r="H126" i="7" s="1"/>
  <c r="G208" i="7"/>
  <c r="H208" i="7" s="1"/>
  <c r="H210" i="7" s="1"/>
  <c r="H211" i="7" s="1"/>
  <c r="F27" i="6" s="1"/>
  <c r="G37" i="11"/>
  <c r="H47" i="5"/>
  <c r="I47" i="5" s="1"/>
  <c r="I46" i="5" s="1"/>
  <c r="I487" i="10"/>
  <c r="E487" i="10"/>
  <c r="I17" i="11"/>
  <c r="F17" i="11" s="1"/>
  <c r="K183" i="7"/>
  <c r="I718" i="10"/>
  <c r="E718" i="10"/>
  <c r="G10" i="11"/>
  <c r="G138" i="7"/>
  <c r="H138" i="7" s="1"/>
  <c r="G164" i="7"/>
  <c r="H164" i="7" s="1"/>
  <c r="E1340" i="10"/>
  <c r="I1340" i="10"/>
  <c r="C1603" i="10"/>
  <c r="E1631" i="10"/>
  <c r="G32" i="11"/>
  <c r="H23" i="5"/>
  <c r="I23" i="5" s="1"/>
  <c r="J162" i="7"/>
  <c r="E373" i="10"/>
  <c r="I373" i="10"/>
  <c r="F10" i="6"/>
  <c r="F54" i="7"/>
  <c r="E10" i="6" s="1"/>
  <c r="I8" i="8"/>
  <c r="K199" i="7"/>
  <c r="L199" i="7" s="1"/>
  <c r="E1154" i="10"/>
  <c r="C1188" i="10"/>
  <c r="G28" i="9"/>
  <c r="K12" i="7"/>
  <c r="I16" i="11"/>
  <c r="F16" i="11" s="1"/>
  <c r="F15" i="6"/>
  <c r="F92" i="7"/>
  <c r="E15" i="6" s="1"/>
  <c r="G7" i="11"/>
  <c r="G113" i="7"/>
  <c r="H113" i="7" s="1"/>
  <c r="E900" i="10"/>
  <c r="I900" i="10"/>
  <c r="K138" i="7"/>
  <c r="L138" i="7" s="1"/>
  <c r="L145" i="7" s="1"/>
  <c r="L146" i="7" s="1"/>
  <c r="H20" i="6" s="1"/>
  <c r="I10" i="11"/>
  <c r="K164" i="7"/>
  <c r="L164" i="7" s="1"/>
  <c r="L169" i="7" s="1"/>
  <c r="L170" i="7" s="1"/>
  <c r="H22" i="6" s="1"/>
  <c r="I7" i="11"/>
  <c r="K113" i="7"/>
  <c r="L113" i="7" s="1"/>
  <c r="L122" i="7" s="1"/>
  <c r="L123" i="7" s="1"/>
  <c r="H18" i="6" s="1"/>
  <c r="E66" i="10"/>
  <c r="I66" i="10"/>
  <c r="B1231" i="10"/>
  <c r="G24" i="6"/>
  <c r="D635" i="10"/>
  <c r="F18" i="9"/>
  <c r="G23" i="11"/>
  <c r="H11" i="5"/>
  <c r="I11" i="5" s="1"/>
  <c r="C1231" i="10"/>
  <c r="E1236" i="10"/>
  <c r="C1236" i="10" s="1"/>
  <c r="L75" i="7"/>
  <c r="E75" i="7"/>
  <c r="D913" i="10"/>
  <c r="F24" i="9"/>
  <c r="G19" i="11"/>
  <c r="G176" i="7"/>
  <c r="H176" i="7" s="1"/>
  <c r="G104" i="7"/>
  <c r="H104" i="7" s="1"/>
  <c r="H107" i="7" s="1"/>
  <c r="H108" i="7" s="1"/>
  <c r="F17" i="6" s="1"/>
  <c r="G153" i="7"/>
  <c r="H153" i="7" s="1"/>
  <c r="G167" i="7"/>
  <c r="H167" i="7" s="1"/>
  <c r="G142" i="7"/>
  <c r="H142" i="7" s="1"/>
  <c r="G128" i="7"/>
  <c r="H128" i="7" s="1"/>
  <c r="G119" i="7"/>
  <c r="H119" i="7" s="1"/>
  <c r="G202" i="7"/>
  <c r="H202" i="7" s="1"/>
  <c r="B2231" i="10"/>
  <c r="J136" i="7"/>
  <c r="E98" i="7"/>
  <c r="J98" i="7"/>
  <c r="D1014" i="10"/>
  <c r="C1005" i="10"/>
  <c r="F219" i="7"/>
  <c r="J220" i="7"/>
  <c r="E1028" i="10"/>
  <c r="I1028" i="10"/>
  <c r="E5" i="10"/>
  <c r="C39" i="10"/>
  <c r="G4" i="9"/>
  <c r="I1276" i="10"/>
  <c r="E1276" i="10"/>
  <c r="C1539" i="10"/>
  <c r="E1543" i="10"/>
  <c r="J61" i="7"/>
  <c r="E61" i="7"/>
  <c r="C2231" i="10"/>
  <c r="E2235" i="10"/>
  <c r="C2235" i="10" s="1"/>
  <c r="E1996" i="10"/>
  <c r="I1996" i="10"/>
  <c r="G4" i="6"/>
  <c r="E2065" i="10"/>
  <c r="I2065" i="10"/>
  <c r="E982" i="10"/>
  <c r="G25" i="9"/>
  <c r="J161" i="7"/>
  <c r="E920" i="10"/>
  <c r="I920" i="10"/>
  <c r="G35" i="11"/>
  <c r="H43" i="5"/>
  <c r="I43" i="5" s="1"/>
  <c r="E116" i="10"/>
  <c r="I116" i="10"/>
  <c r="J174" i="7"/>
  <c r="H50" i="5"/>
  <c r="I50" i="5" s="1"/>
  <c r="I49" i="5" s="1"/>
  <c r="E7" i="4" s="1"/>
  <c r="G28" i="8"/>
  <c r="J112" i="7"/>
  <c r="E88" i="10"/>
  <c r="I88" i="10"/>
  <c r="H38" i="11"/>
  <c r="F38" i="11" s="1"/>
  <c r="J51" i="5"/>
  <c r="I946" i="10"/>
  <c r="E946" i="10"/>
  <c r="C1153" i="10"/>
  <c r="G27" i="9"/>
  <c r="E1085" i="10"/>
  <c r="B1539" i="10"/>
  <c r="D1258" i="10"/>
  <c r="F30" i="9"/>
  <c r="C1775" i="10"/>
  <c r="E38" i="9"/>
  <c r="C565" i="10"/>
  <c r="E16" i="9"/>
  <c r="E1317" i="10"/>
  <c r="I1317" i="10"/>
  <c r="C900" i="10" l="1"/>
  <c r="E904" i="10"/>
  <c r="E1705" i="10"/>
  <c r="C1704" i="10"/>
  <c r="K346" i="10"/>
  <c r="K200" i="10"/>
  <c r="H4" i="11"/>
  <c r="F4" i="11" s="1"/>
  <c r="C5" i="10"/>
  <c r="E4" i="9"/>
  <c r="G18" i="11"/>
  <c r="G173" i="7"/>
  <c r="H173" i="7" s="1"/>
  <c r="B1467" i="10"/>
  <c r="G33" i="11"/>
  <c r="H25" i="5"/>
  <c r="I25" i="5" s="1"/>
  <c r="I24" i="5" s="1"/>
  <c r="C1718" i="10"/>
  <c r="B1718" i="10" s="1"/>
  <c r="E1724" i="10"/>
  <c r="G27" i="8"/>
  <c r="H45" i="5"/>
  <c r="I45" i="5" s="1"/>
  <c r="C1467" i="10"/>
  <c r="E1471" i="10"/>
  <c r="C1471" i="10" s="1"/>
  <c r="E92" i="10"/>
  <c r="C88" i="10"/>
  <c r="B829" i="10"/>
  <c r="H131" i="7"/>
  <c r="H132" i="7" s="1"/>
  <c r="F19" i="6" s="1"/>
  <c r="G30" i="11"/>
  <c r="H20" i="5"/>
  <c r="I20" i="5" s="1"/>
  <c r="H4" i="8"/>
  <c r="I197" i="7"/>
  <c r="C1028" i="10"/>
  <c r="E1032" i="10"/>
  <c r="H24" i="8"/>
  <c r="J38" i="5"/>
  <c r="C829" i="10"/>
  <c r="E833" i="10"/>
  <c r="C755" i="10"/>
  <c r="E759" i="10"/>
  <c r="L12" i="7"/>
  <c r="E12" i="7"/>
  <c r="B1340" i="10"/>
  <c r="H204" i="7"/>
  <c r="H205" i="7" s="1"/>
  <c r="F26" i="6" s="1"/>
  <c r="B1382" i="10"/>
  <c r="B755" i="10"/>
  <c r="G17" i="8"/>
  <c r="H29" i="5"/>
  <c r="I29" i="5" s="1"/>
  <c r="H28" i="11"/>
  <c r="F28" i="11" s="1"/>
  <c r="J18" i="5"/>
  <c r="C1340" i="10"/>
  <c r="E1346" i="10"/>
  <c r="G9" i="8"/>
  <c r="F9" i="8" s="1"/>
  <c r="G174" i="7"/>
  <c r="C1382" i="10"/>
  <c r="E1386" i="10"/>
  <c r="H8" i="8"/>
  <c r="F8" i="8" s="1"/>
  <c r="I199" i="7"/>
  <c r="H156" i="7"/>
  <c r="H157" i="7" s="1"/>
  <c r="F21" i="6" s="1"/>
  <c r="B116" i="10"/>
  <c r="C1996" i="10"/>
  <c r="B1996" i="10" s="1"/>
  <c r="E2000" i="10"/>
  <c r="C2000" i="10" s="1"/>
  <c r="C66" i="10"/>
  <c r="B66" i="10" s="1"/>
  <c r="E70" i="10"/>
  <c r="C1154" i="10"/>
  <c r="E28" i="9"/>
  <c r="C1248" i="10"/>
  <c r="B1248" i="10" s="1"/>
  <c r="E1252" i="10"/>
  <c r="C1252" i="10" s="1"/>
  <c r="C788" i="10"/>
  <c r="B788" i="10" s="1"/>
  <c r="E792" i="10"/>
  <c r="E1635" i="10"/>
  <c r="C1631" i="10"/>
  <c r="G28" i="6"/>
  <c r="F220" i="7"/>
  <c r="E28" i="6" s="1"/>
  <c r="I18" i="8"/>
  <c r="L30" i="5"/>
  <c r="M30" i="5" s="1"/>
  <c r="M28" i="5" s="1"/>
  <c r="C1415" i="10"/>
  <c r="E1419" i="10"/>
  <c r="C148" i="10"/>
  <c r="B148" i="10" s="1"/>
  <c r="E152" i="10"/>
  <c r="C152" i="10" s="1"/>
  <c r="H27" i="11"/>
  <c r="F27" i="11" s="1"/>
  <c r="J17" i="5"/>
  <c r="D1015" i="10"/>
  <c r="C1014" i="10"/>
  <c r="G24" i="11"/>
  <c r="H12" i="5"/>
  <c r="I12" i="5" s="1"/>
  <c r="B1415" i="10"/>
  <c r="C659" i="10"/>
  <c r="B659" i="10" s="1"/>
  <c r="E663" i="10"/>
  <c r="G26" i="11"/>
  <c r="H14" i="5"/>
  <c r="I14" i="5" s="1"/>
  <c r="G29" i="11"/>
  <c r="H19" i="5"/>
  <c r="I19" i="5" s="1"/>
  <c r="I15" i="5" s="1"/>
  <c r="E120" i="10"/>
  <c r="C120" i="10" s="1"/>
  <c r="C116" i="10"/>
  <c r="F98" i="7"/>
  <c r="J99" i="7"/>
  <c r="I22" i="8"/>
  <c r="L35" i="5"/>
  <c r="M35" i="5" s="1"/>
  <c r="C718" i="10"/>
  <c r="B718" i="10" s="1"/>
  <c r="E722" i="10"/>
  <c r="C722" i="10" s="1"/>
  <c r="C300" i="10"/>
  <c r="B300" i="10" s="1"/>
  <c r="E304" i="10"/>
  <c r="B487" i="10"/>
  <c r="C946" i="10"/>
  <c r="B946" i="10" s="1"/>
  <c r="E949" i="10"/>
  <c r="C949" i="10" s="1"/>
  <c r="B920" i="10"/>
  <c r="F61" i="7"/>
  <c r="J62" i="7"/>
  <c r="I21" i="5"/>
  <c r="C1317" i="10"/>
  <c r="E1321" i="10"/>
  <c r="C1321" i="10" s="1"/>
  <c r="H25" i="11"/>
  <c r="J13" i="5"/>
  <c r="C2065" i="10"/>
  <c r="B2065" i="10" s="1"/>
  <c r="E2069" i="10"/>
  <c r="C2069" i="10" s="1"/>
  <c r="I20" i="8"/>
  <c r="L33" i="5"/>
  <c r="M33" i="5" s="1"/>
  <c r="G10" i="8"/>
  <c r="F10" i="8" s="1"/>
  <c r="G162" i="7"/>
  <c r="L183" i="7"/>
  <c r="E183" i="7"/>
  <c r="J209" i="7"/>
  <c r="G15" i="8"/>
  <c r="F15" i="8" s="1"/>
  <c r="G161" i="7"/>
  <c r="G136" i="7"/>
  <c r="G112" i="7"/>
  <c r="C1085" i="10"/>
  <c r="E27" i="9"/>
  <c r="K51" i="5"/>
  <c r="G51" i="5" s="1"/>
  <c r="F51" i="5"/>
  <c r="C920" i="10"/>
  <c r="E923" i="10"/>
  <c r="J127" i="7"/>
  <c r="C681" i="10"/>
  <c r="B681" i="10" s="1"/>
  <c r="E685" i="10"/>
  <c r="C685" i="10" s="1"/>
  <c r="B1028" i="10"/>
  <c r="C1543" i="10"/>
  <c r="E1558" i="10"/>
  <c r="L76" i="7"/>
  <c r="F75" i="7"/>
  <c r="B1317" i="10"/>
  <c r="B88" i="10"/>
  <c r="C1276" i="10"/>
  <c r="B1276" i="10" s="1"/>
  <c r="E1280" i="10"/>
  <c r="B900" i="10"/>
  <c r="C373" i="10"/>
  <c r="B373" i="10" s="1"/>
  <c r="E377" i="10"/>
  <c r="C487" i="10"/>
  <c r="E491" i="10"/>
  <c r="J190" i="7"/>
  <c r="E1209" i="10"/>
  <c r="C1205" i="10"/>
  <c r="B1205" i="10" s="1"/>
  <c r="E869" i="10"/>
  <c r="C865" i="10"/>
  <c r="B865" i="10" s="1"/>
  <c r="G21" i="8" l="1"/>
  <c r="H34" i="5"/>
  <c r="I34" i="5" s="1"/>
  <c r="H28" i="8"/>
  <c r="F28" i="8" s="1"/>
  <c r="J50" i="5"/>
  <c r="E199" i="7"/>
  <c r="J199" i="7"/>
  <c r="F199" i="7" s="1"/>
  <c r="G26" i="8"/>
  <c r="H42" i="5"/>
  <c r="I42" i="5" s="1"/>
  <c r="I41" i="5" s="1"/>
  <c r="G19" i="8"/>
  <c r="H32" i="5"/>
  <c r="I32" i="5" s="1"/>
  <c r="C1558" i="10"/>
  <c r="E1566" i="10"/>
  <c r="E314" i="10"/>
  <c r="C304" i="10"/>
  <c r="H161" i="7"/>
  <c r="E161" i="7"/>
  <c r="C1386" i="10"/>
  <c r="E1393" i="10"/>
  <c r="H112" i="7"/>
  <c r="E112" i="7"/>
  <c r="K13" i="5"/>
  <c r="C792" i="10"/>
  <c r="E802" i="10"/>
  <c r="L13" i="7"/>
  <c r="F12" i="7"/>
  <c r="E724" i="10"/>
  <c r="C663" i="10"/>
  <c r="E1636" i="10"/>
  <c r="C1635" i="10"/>
  <c r="D982" i="10"/>
  <c r="F25" i="9"/>
  <c r="C1015" i="10"/>
  <c r="H174" i="7"/>
  <c r="F174" i="7" s="1"/>
  <c r="E174" i="7"/>
  <c r="C759" i="10"/>
  <c r="E774" i="10"/>
  <c r="I200" i="10"/>
  <c r="E200" i="10"/>
  <c r="E1323" i="10"/>
  <c r="C1280" i="10"/>
  <c r="K17" i="5"/>
  <c r="F17" i="5"/>
  <c r="C92" i="10"/>
  <c r="E154" i="10"/>
  <c r="E346" i="10"/>
  <c r="I346" i="10"/>
  <c r="G16" i="6"/>
  <c r="F99" i="7"/>
  <c r="E16" i="6" s="1"/>
  <c r="C1346" i="10"/>
  <c r="E1359" i="10"/>
  <c r="C833" i="10"/>
  <c r="E844" i="10"/>
  <c r="C377" i="10"/>
  <c r="E380" i="10"/>
  <c r="E1637" i="10"/>
  <c r="G36" i="9"/>
  <c r="C1705" i="10"/>
  <c r="C491" i="10"/>
  <c r="E493" i="10"/>
  <c r="E950" i="10"/>
  <c r="C923" i="10"/>
  <c r="F62" i="7"/>
  <c r="E11" i="6" s="1"/>
  <c r="G11" i="6"/>
  <c r="F18" i="5"/>
  <c r="K18" i="5"/>
  <c r="G18" i="5" s="1"/>
  <c r="K38" i="5"/>
  <c r="H136" i="7"/>
  <c r="E136" i="7"/>
  <c r="C869" i="10"/>
  <c r="E871" i="10"/>
  <c r="L186" i="7"/>
  <c r="F183" i="7"/>
  <c r="C70" i="10"/>
  <c r="E74" i="10"/>
  <c r="C1032" i="10"/>
  <c r="E1067" i="10"/>
  <c r="E1740" i="10"/>
  <c r="C1724" i="10"/>
  <c r="H162" i="7"/>
  <c r="F162" i="7" s="1"/>
  <c r="E162" i="7"/>
  <c r="C1209" i="10"/>
  <c r="E1254" i="10"/>
  <c r="E1473" i="10"/>
  <c r="C1419" i="10"/>
  <c r="E911" i="10"/>
  <c r="C904" i="10"/>
  <c r="J192" i="7"/>
  <c r="H13" i="6"/>
  <c r="F76" i="7"/>
  <c r="E13" i="6" s="1"/>
  <c r="J197" i="7"/>
  <c r="C154" i="10" l="1"/>
  <c r="E179" i="10"/>
  <c r="L187" i="7"/>
  <c r="F186" i="7"/>
  <c r="H36" i="11"/>
  <c r="F36" i="11" s="1"/>
  <c r="J44" i="5"/>
  <c r="C1636" i="10"/>
  <c r="E1568" i="10"/>
  <c r="G35" i="9"/>
  <c r="C314" i="10"/>
  <c r="E319" i="10"/>
  <c r="C1566" i="10"/>
  <c r="E1567" i="10"/>
  <c r="C724" i="10"/>
  <c r="E739" i="10"/>
  <c r="E1256" i="10"/>
  <c r="C1254" i="10"/>
  <c r="C1323" i="10"/>
  <c r="E1325" i="10"/>
  <c r="H4" i="6"/>
  <c r="F13" i="7"/>
  <c r="E4" i="6" s="1"/>
  <c r="E348" i="10"/>
  <c r="C346" i="10"/>
  <c r="C380" i="10"/>
  <c r="E389" i="10"/>
  <c r="H169" i="7"/>
  <c r="H170" i="7" s="1"/>
  <c r="F22" i="6" s="1"/>
  <c r="F161" i="7"/>
  <c r="C802" i="10"/>
  <c r="E809" i="10"/>
  <c r="C200" i="10"/>
  <c r="E202" i="10"/>
  <c r="E1497" i="10"/>
  <c r="C1473" i="10"/>
  <c r="E810" i="10"/>
  <c r="C844" i="10"/>
  <c r="G21" i="9"/>
  <c r="B200" i="10"/>
  <c r="C1740" i="10"/>
  <c r="E1773" i="10"/>
  <c r="E740" i="10"/>
  <c r="C774" i="10"/>
  <c r="G19" i="9"/>
  <c r="E36" i="9"/>
  <c r="C1637" i="10"/>
  <c r="H145" i="7"/>
  <c r="H146" i="7" s="1"/>
  <c r="F20" i="6" s="1"/>
  <c r="F136" i="7"/>
  <c r="C1359" i="10"/>
  <c r="E1360" i="10"/>
  <c r="F50" i="5"/>
  <c r="K50" i="5"/>
  <c r="G17" i="5"/>
  <c r="C1067" i="10"/>
  <c r="E1083" i="10"/>
  <c r="H11" i="8"/>
  <c r="F11" i="8" s="1"/>
  <c r="I103" i="7"/>
  <c r="H122" i="7"/>
  <c r="H123" i="7" s="1"/>
  <c r="F18" i="6" s="1"/>
  <c r="F112" i="7"/>
  <c r="C911" i="10"/>
  <c r="E912" i="10"/>
  <c r="E40" i="10"/>
  <c r="C74" i="10"/>
  <c r="G5" i="9"/>
  <c r="C1393" i="10"/>
  <c r="E1394" i="10"/>
  <c r="H178" i="7"/>
  <c r="H179" i="7" s="1"/>
  <c r="F23" i="6" s="1"/>
  <c r="C871" i="10"/>
  <c r="E877" i="10"/>
  <c r="J193" i="7"/>
  <c r="C950" i="10"/>
  <c r="E980" i="10"/>
  <c r="I150" i="7"/>
  <c r="H16" i="8"/>
  <c r="F16" i="8" s="1"/>
  <c r="E25" i="9"/>
  <c r="C982" i="10"/>
  <c r="I13" i="8"/>
  <c r="F13" i="8" s="1"/>
  <c r="K190" i="7"/>
  <c r="K127" i="7"/>
  <c r="K209" i="7"/>
  <c r="E529" i="10"/>
  <c r="C493" i="10"/>
  <c r="B346" i="10"/>
  <c r="G25" i="11"/>
  <c r="F25" i="11" s="1"/>
  <c r="H13" i="5"/>
  <c r="E635" i="10" l="1"/>
  <c r="C739" i="10"/>
  <c r="G18" i="9"/>
  <c r="E775" i="10"/>
  <c r="C809" i="10"/>
  <c r="G20" i="9"/>
  <c r="G18" i="8"/>
  <c r="H30" i="5"/>
  <c r="I30" i="5" s="1"/>
  <c r="I28" i="5" s="1"/>
  <c r="E103" i="7"/>
  <c r="J103" i="7"/>
  <c r="H19" i="11"/>
  <c r="F19" i="11" s="1"/>
  <c r="I167" i="7"/>
  <c r="I119" i="7"/>
  <c r="I128" i="7"/>
  <c r="I142" i="7"/>
  <c r="I104" i="7"/>
  <c r="I153" i="7"/>
  <c r="I176" i="7"/>
  <c r="I202" i="7"/>
  <c r="E1499" i="10"/>
  <c r="C1567" i="10"/>
  <c r="G34" i="9"/>
  <c r="C980" i="10"/>
  <c r="E981" i="10"/>
  <c r="C740" i="10"/>
  <c r="E19" i="9"/>
  <c r="G22" i="8"/>
  <c r="H35" i="5"/>
  <c r="I35" i="5" s="1"/>
  <c r="E285" i="10"/>
  <c r="C319" i="10"/>
  <c r="G9" i="9"/>
  <c r="C1773" i="10"/>
  <c r="E1774" i="10"/>
  <c r="C389" i="10"/>
  <c r="E355" i="10"/>
  <c r="G11" i="9"/>
  <c r="C877" i="10"/>
  <c r="E878" i="10"/>
  <c r="H35" i="11"/>
  <c r="F35" i="11" s="1"/>
  <c r="J43" i="5"/>
  <c r="G23" i="8"/>
  <c r="H36" i="5"/>
  <c r="I36" i="5" s="1"/>
  <c r="C348" i="10"/>
  <c r="E350" i="10"/>
  <c r="C1568" i="10"/>
  <c r="E35" i="9"/>
  <c r="C1083" i="10"/>
  <c r="E1084" i="10"/>
  <c r="C529" i="10"/>
  <c r="E460" i="10"/>
  <c r="G14" i="9"/>
  <c r="C1394" i="10"/>
  <c r="E1361" i="10"/>
  <c r="G32" i="9"/>
  <c r="C810" i="10"/>
  <c r="E21" i="9"/>
  <c r="F44" i="5"/>
  <c r="K44" i="5"/>
  <c r="G44" i="5" s="1"/>
  <c r="C1256" i="10"/>
  <c r="E1257" i="10"/>
  <c r="K49" i="5"/>
  <c r="F7" i="4" s="1"/>
  <c r="G50" i="5"/>
  <c r="G49" i="5" s="1"/>
  <c r="D7" i="4" s="1"/>
  <c r="I106" i="7"/>
  <c r="I121" i="7"/>
  <c r="I130" i="7"/>
  <c r="H21" i="11"/>
  <c r="F21" i="11" s="1"/>
  <c r="I144" i="7"/>
  <c r="I168" i="7"/>
  <c r="I177" i="7"/>
  <c r="I155" i="7"/>
  <c r="L209" i="7"/>
  <c r="E209" i="7"/>
  <c r="C1360" i="10"/>
  <c r="E1327" i="10"/>
  <c r="G31" i="9"/>
  <c r="I4" i="8"/>
  <c r="F4" i="8" s="1"/>
  <c r="K197" i="7"/>
  <c r="L127" i="7"/>
  <c r="E127" i="7"/>
  <c r="H5" i="11"/>
  <c r="F5" i="11" s="1"/>
  <c r="I115" i="7"/>
  <c r="I137" i="7"/>
  <c r="I151" i="7"/>
  <c r="I163" i="7"/>
  <c r="C1325" i="10"/>
  <c r="E1326" i="10"/>
  <c r="I13" i="5"/>
  <c r="F13" i="5"/>
  <c r="L190" i="7"/>
  <c r="E190" i="7"/>
  <c r="C40" i="10"/>
  <c r="E5" i="9"/>
  <c r="E1498" i="10"/>
  <c r="C1497" i="10"/>
  <c r="H24" i="6"/>
  <c r="F187" i="7"/>
  <c r="E24" i="6" s="1"/>
  <c r="E150" i="7"/>
  <c r="J150" i="7"/>
  <c r="C202" i="10"/>
  <c r="E204" i="10"/>
  <c r="C179" i="10"/>
  <c r="E75" i="10"/>
  <c r="G6" i="9"/>
  <c r="G25" i="6"/>
  <c r="E879" i="10"/>
  <c r="C912" i="10"/>
  <c r="G23" i="9"/>
  <c r="G20" i="8"/>
  <c r="H33" i="5"/>
  <c r="I33" i="5" s="1"/>
  <c r="I31" i="5" s="1"/>
  <c r="I24" i="8" l="1"/>
  <c r="F24" i="8" s="1"/>
  <c r="L38" i="5"/>
  <c r="H9" i="11"/>
  <c r="F9" i="11" s="1"/>
  <c r="I140" i="7"/>
  <c r="I117" i="7"/>
  <c r="I152" i="7"/>
  <c r="J142" i="7"/>
  <c r="F142" i="7" s="1"/>
  <c r="E142" i="7"/>
  <c r="C285" i="10"/>
  <c r="E9" i="9"/>
  <c r="E128" i="7"/>
  <c r="J128" i="7"/>
  <c r="F128" i="7" s="1"/>
  <c r="J119" i="7"/>
  <c r="F119" i="7" s="1"/>
  <c r="E119" i="7"/>
  <c r="J106" i="7"/>
  <c r="F106" i="7" s="1"/>
  <c r="E106" i="7"/>
  <c r="E167" i="7"/>
  <c r="J167" i="7"/>
  <c r="F167" i="7" s="1"/>
  <c r="L131" i="7"/>
  <c r="L132" i="7" s="1"/>
  <c r="H19" i="6" s="1"/>
  <c r="F127" i="7"/>
  <c r="L197" i="7"/>
  <c r="E197" i="7"/>
  <c r="F103" i="7"/>
  <c r="E1016" i="10"/>
  <c r="C1084" i="10"/>
  <c r="G26" i="9"/>
  <c r="H31" i="11"/>
  <c r="F31" i="11" s="1"/>
  <c r="J22" i="5"/>
  <c r="I27" i="5"/>
  <c r="E6" i="4" s="1"/>
  <c r="C350" i="10"/>
  <c r="E354" i="10"/>
  <c r="C1327" i="10"/>
  <c r="E31" i="9"/>
  <c r="I10" i="5"/>
  <c r="I7" i="5" s="1"/>
  <c r="G13" i="5"/>
  <c r="F43" i="5"/>
  <c r="K43" i="5"/>
  <c r="G43" i="5" s="1"/>
  <c r="H32" i="11"/>
  <c r="F32" i="11" s="1"/>
  <c r="J23" i="5"/>
  <c r="C878" i="10"/>
  <c r="E845" i="10"/>
  <c r="G22" i="9"/>
  <c r="H34" i="11"/>
  <c r="F34" i="11" s="1"/>
  <c r="J40" i="5"/>
  <c r="H20" i="11"/>
  <c r="F20" i="11" s="1"/>
  <c r="I129" i="7"/>
  <c r="I143" i="7"/>
  <c r="I154" i="7"/>
  <c r="I203" i="7"/>
  <c r="I105" i="7"/>
  <c r="I120" i="7"/>
  <c r="E1189" i="10"/>
  <c r="C1257" i="10"/>
  <c r="G29" i="9"/>
  <c r="E913" i="10"/>
  <c r="C981" i="10"/>
  <c r="G24" i="9"/>
  <c r="J155" i="7"/>
  <c r="F155" i="7" s="1"/>
  <c r="E155" i="7"/>
  <c r="J168" i="7"/>
  <c r="F168" i="7" s="1"/>
  <c r="E168" i="7"/>
  <c r="C1499" i="10"/>
  <c r="E34" i="9"/>
  <c r="C775" i="10"/>
  <c r="E20" i="9"/>
  <c r="E214" i="10"/>
  <c r="C204" i="10"/>
  <c r="E151" i="7"/>
  <c r="J151" i="7"/>
  <c r="F151" i="7" s="1"/>
  <c r="J144" i="7"/>
  <c r="F144" i="7" s="1"/>
  <c r="E144" i="7"/>
  <c r="C1361" i="10"/>
  <c r="E32" i="9"/>
  <c r="H11" i="11"/>
  <c r="F11" i="11" s="1"/>
  <c r="I175" i="7"/>
  <c r="L192" i="7"/>
  <c r="F190" i="7"/>
  <c r="I116" i="7"/>
  <c r="H6" i="11"/>
  <c r="F6" i="11" s="1"/>
  <c r="F150" i="7"/>
  <c r="H14" i="11"/>
  <c r="F14" i="11" s="1"/>
  <c r="I196" i="7"/>
  <c r="I126" i="7"/>
  <c r="I208" i="7"/>
  <c r="E202" i="7"/>
  <c r="J202" i="7"/>
  <c r="F202" i="7" s="1"/>
  <c r="H18" i="11"/>
  <c r="F18" i="11" s="1"/>
  <c r="I173" i="7"/>
  <c r="H25" i="8"/>
  <c r="J39" i="5"/>
  <c r="J177" i="7"/>
  <c r="F177" i="7" s="1"/>
  <c r="E177" i="7"/>
  <c r="E163" i="7"/>
  <c r="J163" i="7"/>
  <c r="E137" i="7"/>
  <c r="J137" i="7"/>
  <c r="E115" i="7"/>
  <c r="J115" i="7"/>
  <c r="F115" i="7" s="1"/>
  <c r="E130" i="7"/>
  <c r="J130" i="7"/>
  <c r="F130" i="7" s="1"/>
  <c r="C355" i="10"/>
  <c r="E11" i="9"/>
  <c r="J176" i="7"/>
  <c r="F176" i="7" s="1"/>
  <c r="E176" i="7"/>
  <c r="C635" i="10"/>
  <c r="E18" i="9"/>
  <c r="E104" i="7"/>
  <c r="J104" i="7"/>
  <c r="F104" i="7" s="1"/>
  <c r="C1498" i="10"/>
  <c r="G33" i="9"/>
  <c r="E1395" i="10"/>
  <c r="H23" i="11"/>
  <c r="F23" i="11" s="1"/>
  <c r="J11" i="5"/>
  <c r="C879" i="10"/>
  <c r="E23" i="9"/>
  <c r="L210" i="7"/>
  <c r="L211" i="7" s="1"/>
  <c r="H27" i="6" s="1"/>
  <c r="F209" i="7"/>
  <c r="E1258" i="10"/>
  <c r="C1326" i="10"/>
  <c r="G30" i="9"/>
  <c r="C75" i="10"/>
  <c r="E6" i="9"/>
  <c r="J121" i="7"/>
  <c r="F121" i="7" s="1"/>
  <c r="E121" i="7"/>
  <c r="C460" i="10"/>
  <c r="E14" i="9"/>
  <c r="C1774" i="10"/>
  <c r="G37" i="9"/>
  <c r="E1706" i="10"/>
  <c r="J153" i="7"/>
  <c r="F153" i="7" s="1"/>
  <c r="E153" i="7"/>
  <c r="E320" i="10" l="1"/>
  <c r="C354" i="10"/>
  <c r="G10" i="9"/>
  <c r="C1395" i="10"/>
  <c r="E33" i="9"/>
  <c r="E116" i="7"/>
  <c r="J116" i="7"/>
  <c r="F116" i="7" s="1"/>
  <c r="E129" i="7"/>
  <c r="J129" i="7"/>
  <c r="F129" i="7" s="1"/>
  <c r="H33" i="11"/>
  <c r="F33" i="11" s="1"/>
  <c r="J25" i="5"/>
  <c r="F22" i="5"/>
  <c r="K22" i="5"/>
  <c r="F163" i="7"/>
  <c r="H22" i="11"/>
  <c r="F22" i="11" s="1"/>
  <c r="J9" i="5"/>
  <c r="H26" i="11"/>
  <c r="F26" i="11" s="1"/>
  <c r="J14" i="5"/>
  <c r="H30" i="11"/>
  <c r="F30" i="11" s="1"/>
  <c r="J20" i="5"/>
  <c r="E173" i="7"/>
  <c r="J173" i="7"/>
  <c r="H24" i="11"/>
  <c r="F24" i="11" s="1"/>
  <c r="J12" i="5"/>
  <c r="C1016" i="10"/>
  <c r="E26" i="9"/>
  <c r="L193" i="7"/>
  <c r="F192" i="7"/>
  <c r="C1258" i="10"/>
  <c r="E30" i="9"/>
  <c r="C913" i="10"/>
  <c r="E24" i="9"/>
  <c r="C845" i="10"/>
  <c r="E22" i="9"/>
  <c r="J107" i="7"/>
  <c r="F40" i="5"/>
  <c r="K40" i="5"/>
  <c r="G40" i="5" s="1"/>
  <c r="J175" i="7"/>
  <c r="F175" i="7" s="1"/>
  <c r="E175" i="7"/>
  <c r="H29" i="11"/>
  <c r="F29" i="11" s="1"/>
  <c r="J19" i="5"/>
  <c r="K39" i="5"/>
  <c r="E208" i="7"/>
  <c r="J208" i="7"/>
  <c r="C1189" i="10"/>
  <c r="E29" i="9"/>
  <c r="J152" i="7"/>
  <c r="E152" i="7"/>
  <c r="E143" i="7"/>
  <c r="J143" i="7"/>
  <c r="F143" i="7" s="1"/>
  <c r="F23" i="5"/>
  <c r="K23" i="5"/>
  <c r="G23" i="5" s="1"/>
  <c r="J126" i="7"/>
  <c r="E126" i="7"/>
  <c r="L204" i="7"/>
  <c r="L205" i="7" s="1"/>
  <c r="H26" i="6" s="1"/>
  <c r="F197" i="7"/>
  <c r="E117" i="7"/>
  <c r="J117" i="7"/>
  <c r="F117" i="7" s="1"/>
  <c r="I27" i="8"/>
  <c r="L45" i="5"/>
  <c r="M45" i="5" s="1"/>
  <c r="E196" i="7"/>
  <c r="J196" i="7"/>
  <c r="J120" i="7"/>
  <c r="F120" i="7" s="1"/>
  <c r="E120" i="7"/>
  <c r="J140" i="7"/>
  <c r="F140" i="7" s="1"/>
  <c r="E140" i="7"/>
  <c r="E5" i="4"/>
  <c r="I5" i="5"/>
  <c r="I19" i="8"/>
  <c r="L32" i="5"/>
  <c r="M32" i="5" s="1"/>
  <c r="M31" i="5" s="1"/>
  <c r="F11" i="5"/>
  <c r="K11" i="5"/>
  <c r="E203" i="7"/>
  <c r="J203" i="7"/>
  <c r="F203" i="7" s="1"/>
  <c r="M38" i="5"/>
  <c r="F38" i="5"/>
  <c r="E180" i="10"/>
  <c r="G7" i="9"/>
  <c r="C214" i="10"/>
  <c r="E105" i="7"/>
  <c r="J105" i="7"/>
  <c r="F105" i="7" s="1"/>
  <c r="H37" i="11"/>
  <c r="F37" i="11" s="1"/>
  <c r="J47" i="5"/>
  <c r="F137" i="7"/>
  <c r="C1706" i="10"/>
  <c r="E37" i="9"/>
  <c r="E154" i="7"/>
  <c r="J154" i="7"/>
  <c r="F154" i="7" s="1"/>
  <c r="K21" i="5" l="1"/>
  <c r="G22" i="5"/>
  <c r="G21" i="5" s="1"/>
  <c r="G38" i="5"/>
  <c r="H25" i="6"/>
  <c r="F193" i="7"/>
  <c r="E25" i="6" s="1"/>
  <c r="F19" i="5"/>
  <c r="K19" i="5"/>
  <c r="K25" i="5"/>
  <c r="F25" i="5"/>
  <c r="F12" i="5"/>
  <c r="K12" i="5"/>
  <c r="G12" i="5" s="1"/>
  <c r="G11" i="5"/>
  <c r="G10" i="5" s="1"/>
  <c r="K10" i="5"/>
  <c r="F173" i="7"/>
  <c r="J178" i="7"/>
  <c r="F47" i="5"/>
  <c r="K47" i="5"/>
  <c r="K20" i="5"/>
  <c r="G20" i="5" s="1"/>
  <c r="F20" i="5"/>
  <c r="F107" i="7"/>
  <c r="J108" i="7"/>
  <c r="E4" i="4"/>
  <c r="I76" i="5"/>
  <c r="E12" i="4" s="1"/>
  <c r="F14" i="5"/>
  <c r="K14" i="5"/>
  <c r="G14" i="5" s="1"/>
  <c r="K37" i="5"/>
  <c r="F126" i="7"/>
  <c r="J131" i="7"/>
  <c r="H10" i="11"/>
  <c r="F10" i="11" s="1"/>
  <c r="I164" i="7"/>
  <c r="I138" i="7"/>
  <c r="J210" i="7"/>
  <c r="F208" i="7"/>
  <c r="C180" i="10"/>
  <c r="E7" i="9"/>
  <c r="F152" i="7"/>
  <c r="J156" i="7"/>
  <c r="K9" i="5"/>
  <c r="F9" i="5"/>
  <c r="C320" i="10"/>
  <c r="E10" i="9"/>
  <c r="I26" i="8"/>
  <c r="L42" i="5"/>
  <c r="M42" i="5" s="1"/>
  <c r="M41" i="5" s="1"/>
  <c r="H7" i="11"/>
  <c r="F7" i="11" s="1"/>
  <c r="I113" i="7"/>
  <c r="F196" i="7"/>
  <c r="J204" i="7"/>
  <c r="E113" i="7" l="1"/>
  <c r="J113" i="7"/>
  <c r="F131" i="7"/>
  <c r="J132" i="7"/>
  <c r="K24" i="5"/>
  <c r="G25" i="5"/>
  <c r="G24" i="5" s="1"/>
  <c r="D9" i="3"/>
  <c r="J16" i="4"/>
  <c r="J18" i="4"/>
  <c r="D13" i="4"/>
  <c r="D10" i="3" s="1"/>
  <c r="G19" i="5"/>
  <c r="G15" i="5" s="1"/>
  <c r="K15" i="5"/>
  <c r="F108" i="7"/>
  <c r="E17" i="6" s="1"/>
  <c r="G17" i="6"/>
  <c r="J157" i="7"/>
  <c r="F156" i="7"/>
  <c r="K8" i="5"/>
  <c r="G9" i="5"/>
  <c r="G8" i="5" s="1"/>
  <c r="I25" i="8"/>
  <c r="F25" i="8" s="1"/>
  <c r="L39" i="5"/>
  <c r="F178" i="7"/>
  <c r="J179" i="7"/>
  <c r="J211" i="7"/>
  <c r="F210" i="7"/>
  <c r="K46" i="5"/>
  <c r="G47" i="5"/>
  <c r="G46" i="5" s="1"/>
  <c r="F204" i="7"/>
  <c r="J205" i="7"/>
  <c r="J138" i="7"/>
  <c r="E138" i="7"/>
  <c r="J164" i="7"/>
  <c r="E164" i="7"/>
  <c r="G27" i="6" l="1"/>
  <c r="F211" i="7"/>
  <c r="E27" i="6" s="1"/>
  <c r="D14" i="4"/>
  <c r="D13" i="3" s="1"/>
  <c r="G23" i="6"/>
  <c r="F179" i="7"/>
  <c r="E23" i="6" s="1"/>
  <c r="D11" i="3"/>
  <c r="M39" i="5"/>
  <c r="F39" i="5"/>
  <c r="F164" i="7"/>
  <c r="J169" i="7"/>
  <c r="F132" i="7"/>
  <c r="E19" i="6" s="1"/>
  <c r="G19" i="6"/>
  <c r="K7" i="5"/>
  <c r="G21" i="6"/>
  <c r="F157" i="7"/>
  <c r="E21" i="6" s="1"/>
  <c r="G7" i="5"/>
  <c r="F138" i="7"/>
  <c r="J145" i="7"/>
  <c r="H17" i="8"/>
  <c r="F17" i="8" s="1"/>
  <c r="J29" i="5"/>
  <c r="F113" i="7"/>
  <c r="J122" i="7"/>
  <c r="D15" i="4"/>
  <c r="D14" i="3" s="1"/>
  <c r="F205" i="7"/>
  <c r="E26" i="6" s="1"/>
  <c r="G26" i="6"/>
  <c r="H19" i="8" l="1"/>
  <c r="F19" i="8" s="1"/>
  <c r="J32" i="5"/>
  <c r="F5" i="4"/>
  <c r="H26" i="8"/>
  <c r="F26" i="8" s="1"/>
  <c r="J42" i="5"/>
  <c r="F29" i="5"/>
  <c r="K29" i="5"/>
  <c r="J146" i="7"/>
  <c r="F145" i="7"/>
  <c r="J123" i="7"/>
  <c r="F122" i="7"/>
  <c r="J170" i="7"/>
  <c r="F169" i="7"/>
  <c r="M37" i="5"/>
  <c r="M27" i="5" s="1"/>
  <c r="G39" i="5"/>
  <c r="G37" i="5" s="1"/>
  <c r="H23" i="8"/>
  <c r="F23" i="8" s="1"/>
  <c r="J36" i="5"/>
  <c r="H27" i="8"/>
  <c r="F27" i="8" s="1"/>
  <c r="J45" i="5"/>
  <c r="D5" i="4"/>
  <c r="H21" i="8"/>
  <c r="F21" i="8" s="1"/>
  <c r="J34" i="5"/>
  <c r="G6" i="4" l="1"/>
  <c r="M5" i="5"/>
  <c r="G22" i="6"/>
  <c r="F170" i="7"/>
  <c r="E22" i="6" s="1"/>
  <c r="K34" i="5"/>
  <c r="G34" i="5" s="1"/>
  <c r="F34" i="5"/>
  <c r="F45" i="5"/>
  <c r="K45" i="5"/>
  <c r="G45" i="5" s="1"/>
  <c r="K42" i="5"/>
  <c r="F42" i="5"/>
  <c r="F123" i="7"/>
  <c r="E18" i="6" s="1"/>
  <c r="G18" i="6"/>
  <c r="G29" i="5"/>
  <c r="G20" i="6"/>
  <c r="F146" i="7"/>
  <c r="E20" i="6" s="1"/>
  <c r="F36" i="5"/>
  <c r="K36" i="5"/>
  <c r="G36" i="5" s="1"/>
  <c r="K32" i="5"/>
  <c r="F32" i="5"/>
  <c r="H20" i="8" l="1"/>
  <c r="F20" i="8" s="1"/>
  <c r="J33" i="5"/>
  <c r="G42" i="5"/>
  <c r="G41" i="5" s="1"/>
  <c r="K41" i="5"/>
  <c r="H18" i="8"/>
  <c r="F18" i="8" s="1"/>
  <c r="J30" i="5"/>
  <c r="H22" i="8"/>
  <c r="F22" i="8" s="1"/>
  <c r="J35" i="5"/>
  <c r="M76" i="5"/>
  <c r="G12" i="4" s="1"/>
  <c r="D12" i="3" s="1"/>
  <c r="G4" i="4"/>
  <c r="G32" i="5"/>
  <c r="F35" i="5" l="1"/>
  <c r="K35" i="5"/>
  <c r="G35" i="5" s="1"/>
  <c r="K30" i="5"/>
  <c r="F30" i="5"/>
  <c r="F33" i="5"/>
  <c r="K33" i="5"/>
  <c r="G33" i="5" l="1"/>
  <c r="G31" i="5" s="1"/>
  <c r="K31" i="5"/>
  <c r="G30" i="5"/>
  <c r="G28" i="5" s="1"/>
  <c r="G27" i="5" s="1"/>
  <c r="K28" i="5"/>
  <c r="K27" i="5" s="1"/>
  <c r="F6" i="4" l="1"/>
  <c r="K5" i="5"/>
  <c r="D6" i="4"/>
  <c r="G5" i="5"/>
  <c r="F4" i="4" l="1"/>
  <c r="K76" i="5"/>
  <c r="F12" i="4" s="1"/>
  <c r="G76" i="5"/>
  <c r="D12" i="4" s="1"/>
  <c r="D4" i="4"/>
  <c r="D21" i="4" l="1"/>
  <c r="D20" i="3" s="1"/>
  <c r="D22" i="4"/>
  <c r="D21" i="3" s="1"/>
  <c r="D5" i="3"/>
  <c r="J19" i="4"/>
  <c r="D20" i="4"/>
  <c r="D19" i="3" s="1"/>
  <c r="D8" i="3" l="1"/>
  <c r="D22" i="3"/>
  <c r="D23" i="4"/>
  <c r="D24" i="4" l="1"/>
  <c r="D23" i="3" s="1"/>
  <c r="D25" i="4" l="1"/>
  <c r="L25" i="4" l="1"/>
  <c r="J25" i="4"/>
  <c r="J26" i="4" l="1"/>
  <c r="E26" i="4" s="1"/>
  <c r="J28" i="4" l="1"/>
  <c r="J29" i="4" l="1"/>
  <c r="J30" i="4" s="1"/>
  <c r="J32" i="4" s="1"/>
  <c r="I26" i="4" s="1"/>
  <c r="L26" i="4" l="1"/>
  <c r="L28" i="4" s="1"/>
  <c r="L29" i="4" l="1"/>
  <c r="L30" i="4"/>
  <c r="L32" i="4" s="1"/>
  <c r="K26" i="4" s="1"/>
  <c r="D26" i="4" s="1"/>
  <c r="D24" i="3" l="1"/>
  <c r="D28" i="4"/>
  <c r="D26" i="3" l="1"/>
  <c r="D29" i="4"/>
  <c r="D27" i="3" s="1"/>
  <c r="D30" i="4" l="1"/>
  <c r="D28" i="3" l="1"/>
  <c r="D32" i="4"/>
  <c r="D30" i="3" s="1"/>
  <c r="E25" i="3" l="1"/>
  <c r="E16" i="3"/>
  <c r="E6" i="3"/>
  <c r="E7" i="3"/>
  <c r="E15" i="3"/>
  <c r="E29" i="3"/>
  <c r="E17" i="3"/>
  <c r="E18" i="3"/>
  <c r="E10" i="3"/>
  <c r="E9" i="3"/>
  <c r="E14" i="3"/>
  <c r="E11" i="3"/>
  <c r="E13" i="3"/>
  <c r="E12" i="3"/>
  <c r="E5" i="3"/>
  <c r="E19" i="3"/>
  <c r="E21" i="3"/>
  <c r="E20" i="3"/>
  <c r="E8" i="3"/>
  <c r="E22" i="3"/>
  <c r="E23" i="3"/>
  <c r="E24" i="3"/>
  <c r="E27" i="3"/>
  <c r="E26" i="3"/>
  <c r="E28" i="3"/>
</calcChain>
</file>

<file path=xl/comments1.xml><?xml version="1.0" encoding="utf-8"?>
<comments xmlns="http://schemas.openxmlformats.org/spreadsheetml/2006/main">
  <authors>
    <author/>
  </authors>
  <commentList>
    <comment ref="D4" authorId="0" shapeId="0">
      <text>
        <r>
          <rPr>
            <sz val="9"/>
            <color theme="1"/>
            <rFont val="굴림체"/>
            <family val="3"/>
            <charset val="129"/>
          </rPr>
          <t>해당 페이지 이동은 아래의 HyperLink(→) 셀을 클릭하세요!!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G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Y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J1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N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Z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7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H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8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19.xml><?xml version="1.0" encoding="utf-8"?>
<comments xmlns="http://schemas.openxmlformats.org/spreadsheetml/2006/main">
  <authors>
    <author/>
  </authors>
  <commentList>
    <comment ref="R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S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B8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0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1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2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3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24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H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Q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  <comment ref="I26" authorId="0" shapeId="0">
      <text>
        <r>
          <rPr>
            <sz val="9"/>
            <color theme="1"/>
            <rFont val="굴림체"/>
            <family val="3"/>
            <charset val="129"/>
          </rPr>
          <t>이윤보정액 : 총공사비 금액이 다를경우 임의조정(±α) 하십시요</t>
        </r>
      </text>
    </comment>
    <comment ref="K26" authorId="0" shapeId="0">
      <text>
        <r>
          <rPr>
            <sz val="9"/>
            <color theme="1"/>
            <rFont val="굴림체"/>
            <family val="3"/>
            <charset val="129"/>
          </rPr>
          <t>I열의 이윤보정시
 1. K열의 계삭식 삭제
 2. I열의 값 조정(±α)</t>
        </r>
      </text>
    </comment>
    <comment ref="I29" authorId="0" shapeId="0">
      <text>
        <r>
          <rPr>
            <sz val="9"/>
            <color theme="1"/>
            <rFont val="굴림체"/>
            <family val="3"/>
            <charset val="129"/>
          </rPr>
          <t>부가세보정 : 총공사비 금액에 1원 차이 발생할 경우 부가세 조정(+1) 하십시요</t>
        </r>
      </text>
    </comment>
    <comment ref="I31" authorId="0" shapeId="0">
      <text>
        <r>
          <rPr>
            <sz val="9"/>
            <color theme="1"/>
            <rFont val="굴림체"/>
            <family val="3"/>
            <charset val="129"/>
          </rPr>
          <t>관급자재대(도급자설치) : 원자재대 금액을 입력하세요.</t>
        </r>
      </text>
    </comment>
    <comment ref="O31" authorId="0" shapeId="0">
      <text>
        <r>
          <rPr>
            <sz val="9"/>
            <color theme="1"/>
            <rFont val="굴림체"/>
            <family val="3"/>
            <charset val="129"/>
          </rPr>
          <t>조달수수료</t>
        </r>
      </text>
    </comment>
    <comment ref="D32" authorId="0" shapeId="0">
      <text>
        <r>
          <rPr>
            <sz val="9"/>
            <color theme="1"/>
            <rFont val="굴림체"/>
            <family val="3"/>
            <charset val="129"/>
          </rPr>
          <t>총공사비 금액이 절사기준과 다를경우 회색으로 표기됩니다.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AC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N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Z4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L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J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K3" authorId="0" shapeId="0">
      <text>
        <r>
          <rPr>
            <sz val="9"/>
            <color theme="1"/>
            <rFont val="굴림체"/>
            <family val="3"/>
            <charset val="129"/>
          </rPr>
          <t>해당 위치로 이동은 아래의 HyperLink(→) 셀을 클릭하세요!!</t>
        </r>
      </text>
    </comment>
  </commentList>
</comments>
</file>

<file path=xl/sharedStrings.xml><?xml version="1.0" encoding="utf-8"?>
<sst xmlns="http://schemas.openxmlformats.org/spreadsheetml/2006/main" count="8075" uniqueCount="2543">
  <si>
    <t>일위대가 목록표</t>
  </si>
  <si>
    <t>공사명 : 2025년 산불진화임도 신설사업(기번8/울진.금강송.소광.산29외)</t>
  </si>
  <si>
    <t>호표</t>
  </si>
  <si>
    <t>명      칭</t>
  </si>
  <si>
    <t>규      격</t>
  </si>
  <si>
    <t>단위</t>
  </si>
  <si>
    <t>합  계</t>
  </si>
  <si>
    <t>노 무 비</t>
  </si>
  <si>
    <t>재 료 비</t>
  </si>
  <si>
    <t>경  비</t>
  </si>
  <si>
    <t>비  고</t>
  </si>
  <si>
    <t>제   1호표</t>
  </si>
  <si>
    <t>유로폼</t>
  </si>
  <si>
    <t>보통</t>
  </si>
  <si>
    <t>m2</t>
  </si>
  <si>
    <t>B00011</t>
  </si>
  <si>
    <t xml:space="preserve"> 제    2 호표</t>
  </si>
  <si>
    <t>제   2호표</t>
  </si>
  <si>
    <t>철근(현장)가공</t>
  </si>
  <si>
    <t>Type-Ⅰ-----아님</t>
  </si>
  <si>
    <t>ton</t>
  </si>
  <si>
    <t>B00032</t>
  </si>
  <si>
    <t xml:space="preserve"> 제    3 호표</t>
  </si>
  <si>
    <t>제   3호표</t>
  </si>
  <si>
    <t>모르타르배합</t>
  </si>
  <si>
    <t>1:3</t>
  </si>
  <si>
    <t>m3</t>
  </si>
  <si>
    <t>B00048</t>
  </si>
  <si>
    <t xml:space="preserve"> 제    4 호표</t>
  </si>
  <si>
    <t>제   4호표</t>
  </si>
  <si>
    <t>문양 거푸집</t>
  </si>
  <si>
    <t>B00233</t>
  </si>
  <si>
    <t xml:space="preserve"> 제    5 호표</t>
  </si>
  <si>
    <t>제   5호표</t>
  </si>
  <si>
    <t>연결(이음)철근</t>
  </si>
  <si>
    <t>kg</t>
  </si>
  <si>
    <t>B00287</t>
  </si>
  <si>
    <t xml:space="preserve"> 제    6 호표</t>
  </si>
  <si>
    <t>제   6호표</t>
  </si>
  <si>
    <t>돌붙임</t>
  </si>
  <si>
    <t>메붙임,L3=35cm이하</t>
  </si>
  <si>
    <t>B00374</t>
  </si>
  <si>
    <t xml:space="preserve"> 제    7 호표</t>
  </si>
  <si>
    <t>제   7호표</t>
  </si>
  <si>
    <t>찰붙임,L3=55cm이하</t>
  </si>
  <si>
    <t>B00378</t>
  </si>
  <si>
    <t xml:space="preserve"> 제    8 호표</t>
  </si>
  <si>
    <t>제   8호표</t>
  </si>
  <si>
    <t>파형강관부설</t>
  </si>
  <si>
    <t>D=800mm</t>
  </si>
  <si>
    <t>m</t>
  </si>
  <si>
    <t>B00437</t>
  </si>
  <si>
    <t xml:space="preserve"> 제    9 호표</t>
  </si>
  <si>
    <t>제   9호표</t>
  </si>
  <si>
    <t>물구멍설치</t>
  </si>
  <si>
    <t>D=50mm</t>
  </si>
  <si>
    <t>B00442</t>
  </si>
  <si>
    <t xml:space="preserve"> 제   10 호표</t>
  </si>
  <si>
    <t>제  10호표</t>
  </si>
  <si>
    <t>간단</t>
  </si>
  <si>
    <t>B01299</t>
  </si>
  <si>
    <t xml:space="preserve"> 제   11 호표</t>
  </si>
  <si>
    <t>제  11호표</t>
  </si>
  <si>
    <t>철근(현장)조립</t>
  </si>
  <si>
    <t>B01582</t>
  </si>
  <si>
    <t xml:space="preserve"> 제   12 호표</t>
  </si>
  <si>
    <t>제  12호표</t>
  </si>
  <si>
    <t>돌쌓기</t>
  </si>
  <si>
    <t>찰(켜)쌓기,L3=55cm이하</t>
  </si>
  <si>
    <t>B01608</t>
  </si>
  <si>
    <t xml:space="preserve"> 제   13 호표</t>
  </si>
  <si>
    <t>제  13호표</t>
  </si>
  <si>
    <t>돌쌓기(깬돌)</t>
  </si>
  <si>
    <t>메(골)쌓기,L3=55cm이하</t>
  </si>
  <si>
    <t>B01680</t>
  </si>
  <si>
    <t xml:space="preserve"> 제   14 호표</t>
  </si>
  <si>
    <t>제  14호표</t>
  </si>
  <si>
    <t>B02119</t>
  </si>
  <si>
    <t xml:space="preserve"> 제   15 호표</t>
  </si>
  <si>
    <t>제  15호표</t>
  </si>
  <si>
    <t>관보호공</t>
  </si>
  <si>
    <t>돌쌓기(ㅁ형)</t>
  </si>
  <si>
    <t>개소</t>
  </si>
  <si>
    <t>B02120</t>
  </si>
  <si>
    <t xml:space="preserve"> 제   16 호표</t>
  </si>
  <si>
    <t>제  16호표</t>
  </si>
  <si>
    <t>기초CON'C</t>
  </si>
  <si>
    <t>T=50cm, B=70cm</t>
  </si>
  <si>
    <t>B02121</t>
  </si>
  <si>
    <t xml:space="preserve"> 제   17 호표</t>
  </si>
  <si>
    <t>제  17호표</t>
  </si>
  <si>
    <t>돌기슭막이(고1.0)</t>
  </si>
  <si>
    <t>(찰쌓기,L3=45cm)</t>
  </si>
  <si>
    <t>B02122</t>
  </si>
  <si>
    <t xml:space="preserve"> 제   18 호표</t>
  </si>
  <si>
    <t>제  18호표</t>
  </si>
  <si>
    <t>돌조공(고0.5)</t>
  </si>
  <si>
    <t>(메쌓기,L3=45cm)</t>
  </si>
  <si>
    <t>B02123</t>
  </si>
  <si>
    <t xml:space="preserve"> 제   19 호표</t>
  </si>
  <si>
    <t>제  19호표</t>
  </si>
  <si>
    <t>제형돌수로</t>
  </si>
  <si>
    <t>B=0.75m</t>
  </si>
  <si>
    <t>B02124</t>
  </si>
  <si>
    <t xml:space="preserve"> 제   20 호표</t>
  </si>
  <si>
    <t>제  20호표</t>
  </si>
  <si>
    <t>깬돌,메붙임 L3=35cm</t>
  </si>
  <si>
    <t>B02125</t>
  </si>
  <si>
    <t xml:space="preserve"> 제   21 호표</t>
  </si>
  <si>
    <t>제  21호표</t>
  </si>
  <si>
    <t>콘크리트포장</t>
  </si>
  <si>
    <t>T=20㎝</t>
  </si>
  <si>
    <t>B02126</t>
  </si>
  <si>
    <t xml:space="preserve"> 제   22 호표</t>
  </si>
  <si>
    <t>제  22호표</t>
  </si>
  <si>
    <t>포장거푸집</t>
  </si>
  <si>
    <t>T=20cm(1면기준)</t>
  </si>
  <si>
    <t>B02127</t>
  </si>
  <si>
    <t xml:space="preserve"> 제   23 호표</t>
  </si>
  <si>
    <t>제  23호표</t>
  </si>
  <si>
    <t>L형옹벽측구</t>
  </si>
  <si>
    <t>H=1.05m</t>
  </si>
  <si>
    <t>B02128</t>
  </si>
  <si>
    <t xml:space="preserve"> 제   24 호표</t>
  </si>
  <si>
    <t>제  24호표</t>
  </si>
  <si>
    <t>(0.4×0.4 H:0.6)</t>
  </si>
  <si>
    <t>B02129</t>
  </si>
  <si>
    <t xml:space="preserve"> 제   25 호표</t>
  </si>
  <si>
    <t>제  25호표</t>
  </si>
  <si>
    <t>선떼(7급)붙이기</t>
  </si>
  <si>
    <t>(단끊기無;천단부)</t>
  </si>
  <si>
    <t>B02130</t>
  </si>
  <si>
    <t>일위대가 수량,금액 집계표</t>
  </si>
  <si>
    <t>STmate</t>
  </si>
  <si>
    <t>단가산출근거 목록표</t>
  </si>
  <si>
    <t>콘크리트믹서사용</t>
  </si>
  <si>
    <t>0.45 m3</t>
  </si>
  <si>
    <t>D00083</t>
  </si>
  <si>
    <t>고임돌채집 굴삭기0.7m3  / m3</t>
  </si>
  <si>
    <t>고임돌채집</t>
  </si>
  <si>
    <t>굴삭기0.7m3</t>
  </si>
  <si>
    <t>D00091</t>
  </si>
  <si>
    <t>막자갈(파쇄석)채집   / m3</t>
  </si>
  <si>
    <t>막자갈(파쇄석)채집</t>
  </si>
  <si>
    <t>D00408</t>
  </si>
  <si>
    <t>채움 콘크리트 기계비빔  / m3</t>
  </si>
  <si>
    <t>채움 콘크리트</t>
  </si>
  <si>
    <t>기계비빔</t>
  </si>
  <si>
    <t>D00492</t>
  </si>
  <si>
    <t>단끊기 절취없음  / m</t>
  </si>
  <si>
    <t>단끊기</t>
  </si>
  <si>
    <t>절취없음</t>
  </si>
  <si>
    <t>D00794</t>
  </si>
  <si>
    <t>막자갈채우기 150mm내외  / m3</t>
  </si>
  <si>
    <t>막자갈채우기</t>
  </si>
  <si>
    <t>150mm내외</t>
  </si>
  <si>
    <t>D00867</t>
  </si>
  <si>
    <t>채움CON'C 기계비빔  / m3</t>
  </si>
  <si>
    <t>채움CON'C</t>
  </si>
  <si>
    <t>D00918</t>
  </si>
  <si>
    <t>고임돌채집 굴삭기0.2m3  / m3</t>
  </si>
  <si>
    <t>굴삭기0.2m3</t>
  </si>
  <si>
    <t>D01030</t>
  </si>
  <si>
    <t>떼 하차비   / m2</t>
  </si>
  <si>
    <t>떼 하차비</t>
  </si>
  <si>
    <t>D01129</t>
  </si>
  <si>
    <t>평떼붙이기   / m2</t>
  </si>
  <si>
    <t>평떼붙이기</t>
  </si>
  <si>
    <t>D01329</t>
  </si>
  <si>
    <t>레미콘타설 무근(장비)  / m3</t>
  </si>
  <si>
    <t>레미콘타설</t>
  </si>
  <si>
    <t>무근(장비)</t>
  </si>
  <si>
    <t>D01336</t>
  </si>
  <si>
    <t>유로폼 설치 및 해체 간단  / m2</t>
  </si>
  <si>
    <t>유로폼 설치 및 해체</t>
  </si>
  <si>
    <t>D01351</t>
  </si>
  <si>
    <t>유로폼 설치 및 해체 보통  / m2</t>
  </si>
  <si>
    <t>D01352</t>
  </si>
  <si>
    <t>콘크리포장(T=20cm)포설 인력포설  / m3</t>
  </si>
  <si>
    <t>콘크리포장(T=20cm)포설</t>
  </si>
  <si>
    <t>인력포설</t>
  </si>
  <si>
    <t>D01354</t>
  </si>
  <si>
    <t>파쇄석 채집 L3=35cm내외  / m2</t>
  </si>
  <si>
    <t>파쇄석 채집</t>
  </si>
  <si>
    <t>L3=35cm내외</t>
  </si>
  <si>
    <t>D01448</t>
  </si>
  <si>
    <t>구조물터파기(토사) 굴착기0.6m3  / m3</t>
  </si>
  <si>
    <t>구조물터파기(토사)</t>
  </si>
  <si>
    <t>굴착기0.6m3</t>
  </si>
  <si>
    <t>D01456</t>
  </si>
  <si>
    <t>구조물되메우기 굴착기0.6m3  / m3</t>
  </si>
  <si>
    <t>구조물되메우기</t>
  </si>
  <si>
    <t>D01474</t>
  </si>
  <si>
    <t>구조물잔토처리 굴착기0.6m3  / m3</t>
  </si>
  <si>
    <t>구조물잔토처리</t>
  </si>
  <si>
    <t>D01475</t>
  </si>
  <si>
    <t>제근 밀림(90m3/ha이상)  / m2</t>
  </si>
  <si>
    <t>제근</t>
  </si>
  <si>
    <t>밀림(90m3/ha이상)</t>
  </si>
  <si>
    <t>D01476</t>
  </si>
  <si>
    <t>토사절취 굴삭기 0.7m3  / m3</t>
  </si>
  <si>
    <t>토사절취</t>
  </si>
  <si>
    <t>굴삭기 0.7m3</t>
  </si>
  <si>
    <t>D01477</t>
  </si>
  <si>
    <t>암(연암)절취 굴삭기07+브레카  / m3</t>
  </si>
  <si>
    <t>암(연암)절취</t>
  </si>
  <si>
    <t>굴삭기07+브레카</t>
  </si>
  <si>
    <t>D01478</t>
  </si>
  <si>
    <t>옆도랑파기(토사) 굴삭기 0.4m3  / m3</t>
  </si>
  <si>
    <t>옆도랑파기(토사)</t>
  </si>
  <si>
    <t>굴삭기 0.4m3</t>
  </si>
  <si>
    <t>D01479</t>
  </si>
  <si>
    <t>옆도랑파기(연암) 대형브레카(굴삭기0.7㎥)  / m3</t>
  </si>
  <si>
    <t>옆도랑파기(연암)</t>
  </si>
  <si>
    <t>대형브레카(굴삭기0.7㎥)</t>
  </si>
  <si>
    <t>D01480</t>
  </si>
  <si>
    <t>도자운반-토사 L=46m  / m3</t>
  </si>
  <si>
    <t>도자운반-토사</t>
  </si>
  <si>
    <t>L=46m</t>
  </si>
  <si>
    <t>D01481</t>
  </si>
  <si>
    <t>도자운반-연암 L=44m  / m3</t>
  </si>
  <si>
    <t>도자운반-연암</t>
  </si>
  <si>
    <t>L=44m</t>
  </si>
  <si>
    <t>D01482</t>
  </si>
  <si>
    <t>덤프운반-토사 L=85m  / m3</t>
  </si>
  <si>
    <t>제  26호표</t>
  </si>
  <si>
    <t>덤프운반-토사</t>
  </si>
  <si>
    <t>L=85m</t>
  </si>
  <si>
    <t>D01483</t>
  </si>
  <si>
    <t>덤프운반-연암 L=82m  / m3</t>
  </si>
  <si>
    <t>제  27호표</t>
  </si>
  <si>
    <t>덤프운반-연암</t>
  </si>
  <si>
    <t>L=82m</t>
  </si>
  <si>
    <t>D01484</t>
  </si>
  <si>
    <t>성토사면다짐 진동콤팩터  / m2</t>
  </si>
  <si>
    <t>제  28호표</t>
  </si>
  <si>
    <t>성토사면다짐</t>
  </si>
  <si>
    <t>진동콤팩터</t>
  </si>
  <si>
    <t>D01485</t>
  </si>
  <si>
    <t>노면 고르기   / m2</t>
  </si>
  <si>
    <t>제  29호표</t>
  </si>
  <si>
    <t>노면 고르기</t>
  </si>
  <si>
    <t>D01486</t>
  </si>
  <si>
    <t>사토운반 L=409m  / m3</t>
  </si>
  <si>
    <t>제  30호표</t>
  </si>
  <si>
    <t>사토운반</t>
  </si>
  <si>
    <t>L=409m</t>
  </si>
  <si>
    <t>D01487</t>
  </si>
  <si>
    <t>수축줄눈(컷팅) 콘크리트포장  / m</t>
  </si>
  <si>
    <t>제  31호표</t>
  </si>
  <si>
    <t>수축줄눈(컷팅)</t>
  </si>
  <si>
    <t>D01488</t>
  </si>
  <si>
    <t>낙석방지책(표준부) H=2.5m,B=2.0m  / 경간</t>
  </si>
  <si>
    <t>제  32호표</t>
  </si>
  <si>
    <t>낙석방지책(표준부)</t>
  </si>
  <si>
    <t>H=2.5m,B=2.0m</t>
  </si>
  <si>
    <t>경간</t>
  </si>
  <si>
    <t>D01489</t>
  </si>
  <si>
    <t>낙석방지책(단부) H=2.5m,B=2.0m  / 경간</t>
  </si>
  <si>
    <t>제  33호표</t>
  </si>
  <si>
    <t>낙석방지책(단부)</t>
  </si>
  <si>
    <t>D01490</t>
  </si>
  <si>
    <t>구조물헐기 무근,30cm미만  / m3</t>
  </si>
  <si>
    <t>제  34호표</t>
  </si>
  <si>
    <t>구조물헐기</t>
  </si>
  <si>
    <t>무근,30cm미만</t>
  </si>
  <si>
    <t>D01491</t>
  </si>
  <si>
    <t>씨뿌리기   / m</t>
  </si>
  <si>
    <t>제  35호표</t>
  </si>
  <si>
    <t>씨뿌리기</t>
  </si>
  <si>
    <t>D01492</t>
  </si>
  <si>
    <t>중기운반 L=34.5km  / 식</t>
  </si>
  <si>
    <t>제  36호표</t>
  </si>
  <si>
    <t>중기운반</t>
  </si>
  <si>
    <t>L=34.5km</t>
  </si>
  <si>
    <t>식</t>
  </si>
  <si>
    <t>D01493</t>
  </si>
  <si>
    <t>모래(대)운반  L=103.3km  / m3</t>
  </si>
  <si>
    <t>제  37호표</t>
  </si>
  <si>
    <t>모래(대)운반</t>
  </si>
  <si>
    <t xml:space="preserve"> L=103.3km</t>
  </si>
  <si>
    <t>D01494</t>
  </si>
  <si>
    <t>자갈류(대)운반 L=77.4km  / m3</t>
  </si>
  <si>
    <t>제  38호표</t>
  </si>
  <si>
    <t>자갈류(대)운반</t>
  </si>
  <si>
    <t>L=77.4km</t>
  </si>
  <si>
    <t>D01495</t>
  </si>
  <si>
    <t>시멘트(대)운반 L=77.4km  / 대</t>
  </si>
  <si>
    <t>제  39호표</t>
  </si>
  <si>
    <t>시멘트(대)운반</t>
  </si>
  <si>
    <t>대</t>
  </si>
  <si>
    <t>D01496</t>
  </si>
  <si>
    <t>파쇄(굴림)석 대운반 L=77.4km  / 톤</t>
  </si>
  <si>
    <t>제  40호표</t>
  </si>
  <si>
    <t>파쇄(굴림)석 대운반</t>
  </si>
  <si>
    <t>톤</t>
  </si>
  <si>
    <t>D01497</t>
  </si>
  <si>
    <t>단가산출근거 수량,금액 집계표</t>
  </si>
  <si>
    <t>중기 목록표</t>
  </si>
  <si>
    <t>1</t>
  </si>
  <si>
    <t>트럭탑재형 크레인</t>
  </si>
  <si>
    <t>5톤</t>
  </si>
  <si>
    <t>시간</t>
  </si>
  <si>
    <t>X00002</t>
  </si>
  <si>
    <t>제 2 호표</t>
  </si>
  <si>
    <t>2</t>
  </si>
  <si>
    <t>굴삭기+브레카(0.7m3)</t>
  </si>
  <si>
    <t>X00004</t>
  </si>
  <si>
    <t>제 3 호표</t>
  </si>
  <si>
    <t>3</t>
  </si>
  <si>
    <t>불도저(무한궤도)</t>
  </si>
  <si>
    <t>19톤</t>
  </si>
  <si>
    <t>X00008</t>
  </si>
  <si>
    <t>제 4 호표</t>
  </si>
  <si>
    <t>4</t>
  </si>
  <si>
    <t>굴삭기(무한궤도)</t>
  </si>
  <si>
    <t>0.4㎥</t>
  </si>
  <si>
    <t>X00021</t>
  </si>
  <si>
    <t>제 5 호표</t>
  </si>
  <si>
    <t>5</t>
  </si>
  <si>
    <t>0.7㎥</t>
  </si>
  <si>
    <t>X00022</t>
  </si>
  <si>
    <t>제 6 호표</t>
  </si>
  <si>
    <t>6</t>
  </si>
  <si>
    <t>대형 브레이커</t>
  </si>
  <si>
    <t>X00029</t>
  </si>
  <si>
    <t>제 7 호표</t>
  </si>
  <si>
    <t>7</t>
  </si>
  <si>
    <t>유압식 진동콤팩터(굴삭기 부착용)</t>
  </si>
  <si>
    <t>X00032</t>
  </si>
  <si>
    <t>제 8 호표</t>
  </si>
  <si>
    <t>8</t>
  </si>
  <si>
    <t>덤프트럭</t>
  </si>
  <si>
    <t>2.5톤</t>
  </si>
  <si>
    <t>X00060</t>
  </si>
  <si>
    <t>제 9 호표</t>
  </si>
  <si>
    <t>9</t>
  </si>
  <si>
    <t>4.5톤</t>
  </si>
  <si>
    <t>X00061</t>
  </si>
  <si>
    <t>제 10 호표</t>
  </si>
  <si>
    <t>10</t>
  </si>
  <si>
    <t>10.5톤</t>
  </si>
  <si>
    <t>X00063</t>
  </si>
  <si>
    <t>제 11 호표</t>
  </si>
  <si>
    <t>11</t>
  </si>
  <si>
    <t>15톤</t>
  </si>
  <si>
    <t>X00064</t>
  </si>
  <si>
    <t>제 12 호표</t>
  </si>
  <si>
    <t>12</t>
  </si>
  <si>
    <t>트럭트랙터및트레일러</t>
  </si>
  <si>
    <t>20톤</t>
  </si>
  <si>
    <t>X00127</t>
  </si>
  <si>
    <t>제 13 호표</t>
  </si>
  <si>
    <t>13</t>
  </si>
  <si>
    <t>0.2㎥:할증120%</t>
  </si>
  <si>
    <t>X00268</t>
  </si>
  <si>
    <t>제 14 호표</t>
  </si>
  <si>
    <t>14</t>
  </si>
  <si>
    <t>0.7㎥:할증120%</t>
  </si>
  <si>
    <t>X00270</t>
  </si>
  <si>
    <t>제 15 호표</t>
  </si>
  <si>
    <t>15</t>
  </si>
  <si>
    <t>2.5톤:할증125%</t>
  </si>
  <si>
    <t>X00272</t>
  </si>
  <si>
    <t>제 16 호표</t>
  </si>
  <si>
    <t>16</t>
  </si>
  <si>
    <t>15톤:할증125%</t>
  </si>
  <si>
    <t>X00275</t>
  </si>
  <si>
    <t>제 17 호표</t>
  </si>
  <si>
    <t>17</t>
  </si>
  <si>
    <t>굴삭기(타이어)</t>
  </si>
  <si>
    <t>0.6㎥</t>
  </si>
  <si>
    <t>X00283</t>
  </si>
  <si>
    <t>제 18 호표</t>
  </si>
  <si>
    <t>18</t>
  </si>
  <si>
    <t>24톤</t>
  </si>
  <si>
    <t>X00292</t>
  </si>
  <si>
    <t>제 19 호표</t>
  </si>
  <si>
    <t>19</t>
  </si>
  <si>
    <t>콘크리트 믹서</t>
  </si>
  <si>
    <t>0.45㎥</t>
  </si>
  <si>
    <t>X00350</t>
  </si>
  <si>
    <t>제 20 호표</t>
  </si>
  <si>
    <t>20</t>
  </si>
  <si>
    <t>커터(콘크리트 및 아스팔트용)</t>
  </si>
  <si>
    <t>320-440mm</t>
  </si>
  <si>
    <t>X00352</t>
  </si>
  <si>
    <t>제 21 호표</t>
  </si>
  <si>
    <t>21</t>
  </si>
  <si>
    <t>10톤</t>
  </si>
  <si>
    <t>X00568</t>
  </si>
  <si>
    <t>제 22 호표</t>
  </si>
  <si>
    <t>22</t>
  </si>
  <si>
    <t>24톤(할증125%)</t>
  </si>
  <si>
    <t>X00740</t>
  </si>
  <si>
    <t>제 23 호표</t>
  </si>
  <si>
    <t>23</t>
  </si>
  <si>
    <t>굴삭기+부착용집게(06)</t>
  </si>
  <si>
    <t>X00750</t>
  </si>
  <si>
    <t>제 24 호표</t>
  </si>
  <si>
    <t>24</t>
  </si>
  <si>
    <t>동력분무기</t>
  </si>
  <si>
    <t>4.85㎾</t>
  </si>
  <si>
    <t>X00751</t>
  </si>
  <si>
    <t>재료비 수량,금액 집계표</t>
  </si>
  <si>
    <t>재료비 목록표</t>
  </si>
  <si>
    <t>단   가</t>
  </si>
  <si>
    <t>비닐</t>
  </si>
  <si>
    <t>0.07mm</t>
  </si>
  <si>
    <t>M2</t>
  </si>
  <si>
    <t>_x0007_`COD|M00011_x0005_`QTY1|1_x0005_`BQC|_x0005_`EQC|_x0005_`JDC|_x0005_`WQC|_x0005_`EDT|_x0005_`</t>
  </si>
  <si>
    <t>M00011</t>
  </si>
  <si>
    <t>면목</t>
  </si>
  <si>
    <t>A28</t>
  </si>
  <si>
    <t>M</t>
  </si>
  <si>
    <t>_x0007_`COD|M00026_x0005_`QTY1|1_x0005_`BQC|_x0005_`EQC|_x0005_`JDC|_x0005_`WQC|_x0005_`EDT|_x0005_`</t>
  </si>
  <si>
    <t>M00026</t>
  </si>
  <si>
    <t>문양거푸집</t>
  </si>
  <si>
    <t>910*910*25</t>
  </si>
  <si>
    <t>매</t>
  </si>
  <si>
    <t>_x0007_`COD|M00028_x0005_`QTY1|1_x0005_`BQC|_x0005_`EQC|_x0005_`JDC|_x0005_`WQC|_x0005_`EDT|_x0005_`</t>
  </si>
  <si>
    <t>M00028</t>
  </si>
  <si>
    <t>블레이드</t>
  </si>
  <si>
    <t>d=320~400mm t=3.2</t>
  </si>
  <si>
    <t>개</t>
  </si>
  <si>
    <t>_x0007_`COD|M00029_x0005_`QTY1|1_x0005_`BQC|_x0005_`EQC|_x0005_`JDC|_x0005_`WQC|_x0005_`EDT|_x0005_`</t>
  </si>
  <si>
    <t>M00029</t>
  </si>
  <si>
    <t>결속선</t>
  </si>
  <si>
    <t>#20 , 0.9M/M</t>
  </si>
  <si>
    <t>KG</t>
  </si>
  <si>
    <t>_x0007_`COD|M00034_x0005_`QTY1|1_x0005_`BQC|_x0005_`EQC|_x0005_`JDC|_x0005_`WQC|_x0005_`EDT|_x0005_`</t>
  </si>
  <si>
    <t>M00034</t>
  </si>
  <si>
    <t>요소</t>
  </si>
  <si>
    <t>_x0007_`COD|M00056_x0005_`QTY1|1_x0005_`BQC|_x0005_`EQC|_x0005_`JDC|_x0005_`WQC|_x0005_`EDT|_x0005_`</t>
  </si>
  <si>
    <t>M00056</t>
  </si>
  <si>
    <t>인산질비료</t>
  </si>
  <si>
    <t>용성인비인산</t>
  </si>
  <si>
    <t>_x0007_`COD|M00057_x0005_`QTY1|1_x0005_`BQC|_x0005_`EQC|_x0005_`JDC|_x0005_`WQC|_x0005_`EDT|_x0005_`</t>
  </si>
  <si>
    <t>M00057</t>
  </si>
  <si>
    <t>잡품</t>
  </si>
  <si>
    <t>주연료의 %</t>
  </si>
  <si>
    <t>%</t>
  </si>
  <si>
    <t>_x0007_`COD|M00109_x0005_`QTY1|1_x0005_`UNT|M%_x0005_`BQC|_x0005_`EQC|_x0005_`JDC|_x0005_`WQC|_x0005_`EDT|_x0005_`</t>
  </si>
  <si>
    <t>M00109</t>
  </si>
  <si>
    <t>시멘트</t>
  </si>
  <si>
    <t>별도계상</t>
  </si>
  <si>
    <t>_x0007_`COD|M00117_x0005_`QTY1|1_x0005_`BQC|_x0005_`EQC|_x0005_`JDC|_x0005_`WQC|_x0005_`EDT|_x0005_`</t>
  </si>
  <si>
    <t>M00117</t>
  </si>
  <si>
    <t>레미콘</t>
  </si>
  <si>
    <t>M3</t>
  </si>
  <si>
    <t>_x0007_`COD|M00125_x0005_`QTY1|1_x0005_`BQC|_x0005_`EQC|_x0005_`JDC|_x0005_`WQC|_x0005_`EDT|_x0005_`</t>
  </si>
  <si>
    <t>M00125</t>
  </si>
  <si>
    <t>패널</t>
  </si>
  <si>
    <t>600*1200mm</t>
  </si>
  <si>
    <t>_x0007_`COD|M00131_x0005_`QTY1|1_x0005_`BQC|_x0005_`EQC|_x0005_`JDC|_x0005_`WQC|_x0005_`EDT|_x0005_`</t>
  </si>
  <si>
    <t>M00131</t>
  </si>
  <si>
    <t>내부코너패널</t>
  </si>
  <si>
    <t>(200+200)*1200mm</t>
  </si>
  <si>
    <t>_x0007_`COD|M00132_x0005_`QTY1|1_x0005_`BQC|_x0005_`EQC|_x0005_`JDC|_x0005_`WQC|_x0005_`EDT|_x0005_`</t>
  </si>
  <si>
    <t>M00132</t>
  </si>
  <si>
    <t>천연부엽토</t>
  </si>
  <si>
    <t>_x0007_`COD|M00157_x0005_`QTY1|1_x0005_`BQC|_x0005_`EQC|_x0005_`JDC|_x0005_`WQC|_x0005_`EDT|_x0005_`</t>
  </si>
  <si>
    <t>M00157</t>
  </si>
  <si>
    <t>파형강관(800M/M)</t>
  </si>
  <si>
    <t>_x0007_`COD|M00214_x0005_`QTY1|1_x0005_`BQC|_x0005_`EQC|_x0005_`JDC|_x0005_`WQC|_x0005_`EDT|_x0005_`</t>
  </si>
  <si>
    <t>M00214</t>
  </si>
  <si>
    <t>이형철근 D13</t>
  </si>
  <si>
    <t>TON</t>
  </si>
  <si>
    <t>_x0007_`COD|M00227_x0005_`QTY1|1_x0005_`BQC|_x0005_`EQC|_x0005_`JDC|_x0005_`WQC|_x0005_`EDT|_x0005_`</t>
  </si>
  <si>
    <t>M00227</t>
  </si>
  <si>
    <t>와이어매쉬</t>
  </si>
  <si>
    <t>#6,100*100</t>
  </si>
  <si>
    <t>_x0007_`COD|M00231_x0005_`QTY1|1_x0005_`BQC|_x0005_`EQC|_x0005_`JDC|_x0005_`WQC|_x0005_`EDT|_x0005_`</t>
  </si>
  <si>
    <t>M00231</t>
  </si>
  <si>
    <t>휘발유</t>
  </si>
  <si>
    <t>무연</t>
  </si>
  <si>
    <t>L</t>
  </si>
  <si>
    <t>_x0007_`COD|M00302_x0005_`QTY1|1_x0005_`BQC|_x0005_`EQC|_x0005_`JDC|1510150620282203_x0005_`WQC|_x0005_`EDT|2025.01.07_x0005_`</t>
  </si>
  <si>
    <t>M00302</t>
  </si>
  <si>
    <t>경유</t>
  </si>
  <si>
    <t>저유황</t>
  </si>
  <si>
    <t>_x0007_`COD|M00303_x0005_`QTY1|1_x0005_`BQC|_x0005_`EQC|_x0005_`JDC|1510150520282163_x0005_`WQC|_x0005_`EDT|2025.01.07_x0005_`</t>
  </si>
  <si>
    <t>M00303</t>
  </si>
  <si>
    <t>레미콘(울진)</t>
  </si>
  <si>
    <t>25-18-80(세액포함)</t>
  </si>
  <si>
    <t>_x0007_`COD|M00344_x0005_`QTY1|1_x0005_`BQC|_x0005_`EQC|_x0005_`JDC|_x0005_`WQC|_x0005_`EDT|_x0005_`</t>
  </si>
  <si>
    <t>M00344</t>
  </si>
  <si>
    <t>25-21-80(세액포함)</t>
  </si>
  <si>
    <t>_x0007_`COD|M00424_x0005_`QTY1|1_x0005_`BQC|_x0005_`EQC|_x0005_`JDC|_x0005_`WQC|_x0005_`EDT|_x0005_`</t>
  </si>
  <si>
    <t>M00424</t>
  </si>
  <si>
    <t>깬돌</t>
  </si>
  <si>
    <t>구입-자재별산</t>
  </si>
  <si>
    <t>_x0007_`COD|M00453_x0005_`QTY1|1_x0005_`BQC|_x0005_`EQC|_x0005_`JDC|_x0005_`WQC|_x0005_`EDT|_x0005_`</t>
  </si>
  <si>
    <t>M00453</t>
  </si>
  <si>
    <t>모래</t>
  </si>
  <si>
    <t>㎥</t>
  </si>
  <si>
    <t>_x0007_`COD|M00488_x0005_`QTY1|1_x0005_`BQC|_x0005_`EQC|_x0005_`JDC|_x0005_`WQC|_x0005_`EDT|_x0005_`</t>
  </si>
  <si>
    <t>M00488</t>
  </si>
  <si>
    <t>조달수수료</t>
  </si>
  <si>
    <t>_x0007_`COD|M00918_x0005_`QTY1|1_x0005_`UNT|T%_x0005_`BQC|_x0005_`EQC|_x0005_`JDC|_x0005_`WQC|_x0005_`EDT|_x0005_`</t>
  </si>
  <si>
    <t>M00918</t>
  </si>
  <si>
    <t>물</t>
  </si>
  <si>
    <t>ℓ</t>
  </si>
  <si>
    <t>_x0007_`COD|M01054_x0005_`QTY1|1_x0005_`BQC|_x0005_`EQC|_x0005_`JDC|_x0005_`WQC|_x0005_`EDT|_x0005_`</t>
  </si>
  <si>
    <t>M01054</t>
  </si>
  <si>
    <t>25</t>
  </si>
  <si>
    <t>떼</t>
  </si>
  <si>
    <t>_x0007_`COD|M01150_x0005_`QTY1|1_x0005_`BQC|_x0005_`EQC|_x0005_`JDC|_x0005_`WQC|_x0005_`EDT|_x0005_`</t>
  </si>
  <si>
    <t>M01150</t>
  </si>
  <si>
    <t>26</t>
  </si>
  <si>
    <t>종자</t>
  </si>
  <si>
    <t>초본류</t>
  </si>
  <si>
    <t>_x0007_`COD|M01225_x0005_`QTY1|1_x0005_`BQC|_x0005_`EQC|_x0005_`JDC|_x0005_`WQC|_x0005_`EDT|_x0005_`</t>
  </si>
  <si>
    <t>M01225</t>
  </si>
  <si>
    <t>27</t>
  </si>
  <si>
    <t>목본류</t>
  </si>
  <si>
    <t>_x0007_`COD|M01226_x0005_`QTY1|1_x0005_`BQC|_x0005_`EQC|_x0005_`JDC|_x0005_`WQC|_x0005_`EDT|_x0005_`</t>
  </si>
  <si>
    <t>M01226</t>
  </si>
  <si>
    <t>28</t>
  </si>
  <si>
    <t>낙석방지책</t>
  </si>
  <si>
    <t>H2500×W2000(표준)</t>
  </si>
  <si>
    <t>_x0007_`COD|M01324_x0005_`QTY1|1_x0005_`BQC|_x0005_`EQC|_x0005_`JDC|_x0005_`WQC|_x0005_`EDT|_x0005_`</t>
  </si>
  <si>
    <t>M01324</t>
  </si>
  <si>
    <t>29</t>
  </si>
  <si>
    <t>H2500×W2000(단부)</t>
  </si>
  <si>
    <t>_x0007_`COD|M01325_x0005_`QTY1|1_x0005_`BQC|_x0005_`EQC|_x0005_`JDC|_x0005_`WQC|_x0005_`EDT|_x0005_`</t>
  </si>
  <si>
    <t>M01325</t>
  </si>
  <si>
    <t>30</t>
  </si>
  <si>
    <t>P.V.C PIPE</t>
  </si>
  <si>
    <t>VG2(50m/m)</t>
  </si>
  <si>
    <t>_x0007_`COD|M01436_x0005_`QTY1|1_x0005_`BQC|_x0005_`EQC|_x0005_`JDC|_x0005_`WQC|_x0005_`EDT|_x0005_`</t>
  </si>
  <si>
    <t>M01436</t>
  </si>
  <si>
    <t>31</t>
  </si>
  <si>
    <t>파형강관</t>
  </si>
  <si>
    <t>Φ800m/m, 2.7t</t>
  </si>
  <si>
    <t>_x0007_`COD|M01513_x0005_`QTY1|1_x0005_`BQC|영남_x0005_`EQC|_x0005_`JDC|_x0005_`WQC|_x0005_`EDT|_x0005_`</t>
  </si>
  <si>
    <t>M01513</t>
  </si>
  <si>
    <t>32</t>
  </si>
  <si>
    <t>상차가(안동)</t>
  </si>
  <si>
    <t>_x0007_`COD|M01514_x0005_`QTY1|1_x0005_`BQC|_x0005_`EQC|_x0005_`JDC|_x0005_`WQC|_x0005_`EDT|_x0005_`</t>
  </si>
  <si>
    <t>M01514</t>
  </si>
  <si>
    <t>33</t>
  </si>
  <si>
    <t>자갈</t>
  </si>
  <si>
    <t>상차가(영주)</t>
  </si>
  <si>
    <t>_x0007_`COD|M01515_x0005_`QTY1|1_x0005_`BQC|_x0005_`EQC|_x0005_`JDC|_x0005_`WQC|_x0005_`EDT|_x0005_`</t>
  </si>
  <si>
    <t>M01515</t>
  </si>
  <si>
    <t>34</t>
  </si>
  <si>
    <t>막자갈</t>
  </si>
  <si>
    <t>_x0007_`COD|M01516_x0005_`QTY1|1_x0005_`BQC|_x0005_`EQC|_x0005_`JDC|_x0005_`WQC|_x0005_`EDT|_x0005_`</t>
  </si>
  <si>
    <t>M01516</t>
  </si>
  <si>
    <t>35</t>
  </si>
  <si>
    <t>40Kg/포</t>
  </si>
  <si>
    <t>_x0007_`COD|M01517_x0005_`QTY1|1_x0005_`BQC|_x0005_`EQC|_x0005_`JDC|_x0005_`WQC|_x0005_`EDT|_x0005_`</t>
  </si>
  <si>
    <t>M01517</t>
  </si>
  <si>
    <t>36</t>
  </si>
  <si>
    <t>이형철근,SD400</t>
  </si>
  <si>
    <t>D13~32m/m(세액별도)</t>
  </si>
  <si>
    <t>_x0007_`COD|M01518_x0005_`QTY1|1_x0005_`BQC|_x0005_`EQC|_x0005_`JDC|_x0005_`WQC|_x0005_`EDT|_x0005_`</t>
  </si>
  <si>
    <t>M01518</t>
  </si>
  <si>
    <t>37</t>
  </si>
  <si>
    <t>파쇄석(L3=45~55cm)</t>
  </si>
  <si>
    <t>_x0007_`COD|M01519_x0005_`QTY1|1_x0005_`BQC|_x0005_`EQC|_x0005_`JDC|_x0005_`WQC|_x0005_`EDT|_x0005_`</t>
  </si>
  <si>
    <t>M01519</t>
  </si>
  <si>
    <t>노무비 목록표</t>
  </si>
  <si>
    <t>형틀목공</t>
  </si>
  <si>
    <t>인</t>
  </si>
  <si>
    <t>_x0007_`COD|L00002_x0005_`QTY1|1_x0005_`BQC|01000000003_x0005_`EQC|01000001007_x0005_`JDC|L001010101000007_x0005_`WQC|_x0005_`EDT|2025.상_x0005_`</t>
  </si>
  <si>
    <t>L00002</t>
  </si>
  <si>
    <t>철근공</t>
  </si>
  <si>
    <t>_x0007_`COD|L00004_x0005_`QTY1|1_x0005_`BQC|01000000007_x0005_`EQC|01000001008_x0005_`JDC|L001010101000008_x0005_`WQC|_x0005_`EDT|2025.상_x0005_`</t>
  </si>
  <si>
    <t>L00004</t>
  </si>
  <si>
    <t>석공</t>
  </si>
  <si>
    <t>_x0007_`COD|L00005_x0005_`QTY1|1_x0005_`BQC|01000000011_x0005_`EQC|01000001033_x0005_`JDC|L001010101000033_x0005_`WQC|_x0005_`EDT|2025.상_x0005_`</t>
  </si>
  <si>
    <t>L00005</t>
  </si>
  <si>
    <t>콘크리트공</t>
  </si>
  <si>
    <t>_x0007_`COD|L00007_x0005_`QTY1|1_x0005_`BQC|01000000023_x0005_`EQC|01000001013_x0005_`JDC|L001010101000013_x0005_`WQC|_x0005_`EDT|2025.상_x0005_`</t>
  </si>
  <si>
    <t>L00007</t>
  </si>
  <si>
    <t>조경공</t>
  </si>
  <si>
    <t>_x0007_`COD|L00012_x0005_`QTY1|1_x0005_`BQC|01000000044_x0005_`EQC|01000001038_x0005_`JDC|L001010101000038_x0005_`WQC|_x0005_`EDT|2025.상_x0005_`</t>
  </si>
  <si>
    <t>L00012</t>
  </si>
  <si>
    <t>작업반장</t>
  </si>
  <si>
    <t>_x0007_`COD|L00014_x0005_`QTY1|1_x0005_`BQC|01000000071_x0005_`EQC|01000001001_x0005_`JDC|L001010101000001_x0005_`WQC|_x0005_`EDT|2025.상_x0005_`</t>
  </si>
  <si>
    <t>L00014</t>
  </si>
  <si>
    <t>특별인부</t>
  </si>
  <si>
    <t>_x0007_`COD|L00015_x0005_`QTY1|1_x0005_`BQC|01000000074_x0005_`EQC|01000001003_x0005_`JDC|L001010101000003_x0005_`WQC|_x0005_`EDT|2025.상_x0005_`</t>
  </si>
  <si>
    <t>L00015</t>
  </si>
  <si>
    <t>보통인부</t>
  </si>
  <si>
    <t>_x0007_`COD|L00016_x0005_`QTY1|1_x0005_`BQC|01000000075_x0005_`EQC|01000001002_x0005_`JDC|L001010101000002_x0005_`WQC|_x0005_`EDT|2025.상_x0005_`</t>
  </si>
  <si>
    <t>L00016</t>
  </si>
  <si>
    <t>용접공</t>
  </si>
  <si>
    <t>_x0007_`COD|L00019_x0005_`QTY1|1_x0005_`BQC|01000000098_x0005_`EQC|01000001012_x0005_`JDC|L001010101000012_x0005_`WQC|_x0005_`EDT|2025.상_x0005_`</t>
  </si>
  <si>
    <t>L00019</t>
  </si>
  <si>
    <t>포장공</t>
  </si>
  <si>
    <t>_x0007_`COD|L00025_x0005_`QTY1|1_x0005_`BQC|01000000038_x0005_`EQC|01000001019_x0005_`JDC|L001010101000019_x0005_`WQC|_x0005_`EDT|2025.상_x0005_`</t>
  </si>
  <si>
    <t>L00025</t>
  </si>
  <si>
    <t>건설기계운전사</t>
  </si>
  <si>
    <t>_x0007_`COD|L00038_x0005_`QTY1|1_x0005_`BQC|01000000076_x0005_`EQC|01000001048_x0005_`JDC|L001010101000048_x0005_`WQC|_x0005_`EDT|2025.상_x0005_`</t>
  </si>
  <si>
    <t>L00038</t>
  </si>
  <si>
    <t>화물차운전사</t>
  </si>
  <si>
    <t>_x0007_`COD|L00039_x0005_`QTY1|1_x0005_`BQC|01000000078_x0005_`EQC|01000001049_x0005_`JDC|L001010101000049_x0005_`WQC|_x0005_`EDT|2025.상_x0005_`</t>
  </si>
  <si>
    <t>L00039</t>
  </si>
  <si>
    <t>일반기계운전사</t>
  </si>
  <si>
    <t>_x0007_`COD|L00040_x0005_`QTY1|1_x0005_`BQC|01000000079_x0005_`EQC|01000001050_x0005_`JDC|L001010101000050_x0005_`WQC|_x0005_`EDT|2025.상_x0005_`</t>
  </si>
  <si>
    <t>L00040</t>
  </si>
  <si>
    <t>배관공(수도)</t>
  </si>
  <si>
    <t>_x0007_`COD|L00061_x0005_`QTY1|1_x0005_`BQC|01000000026_x0005_`EQC|01000001040_x0005_`JDC|L001010101000040_x0005_`WQC|_x0005_`EDT|2025.상_x0005_`</t>
  </si>
  <si>
    <t>L00061</t>
  </si>
  <si>
    <t>경비 목록표</t>
  </si>
  <si>
    <t>천원</t>
  </si>
  <si>
    <t>_x0007_`COD|S00001_x0005_`QTY1|1_x0005_`BQC|_x0005_`EQC|02010100190_x0005_`JDC|0000010100190000_x0005_`WQC|_x0005_`EDT|2025_x0005_`</t>
  </si>
  <si>
    <t>S00001</t>
  </si>
  <si>
    <t>_x0007_`COD|S00006_x0005_`QTY1|1_x0005_`BQC|_x0005_`EQC|02060201050_x0005_`JDC|0000060201050000_x0005_`WQC|_x0005_`EDT|2025_x0005_`</t>
  </si>
  <si>
    <t>S00006</t>
  </si>
  <si>
    <t>_x0007_`COD|S00007_x0005_`QTY1|1_x0005_`BQC|_x0005_`EQC|02060201500_x0005_`JDC|0000060201500000_x0005_`WQC|_x0005_`EDT|2025_x0005_`</t>
  </si>
  <si>
    <t>S00007</t>
  </si>
  <si>
    <t>_x0007_`COD|S00008_x0005_`QTY1|1_x0005_`BQC|_x0005_`EQC|02023000070_x0005_`JDC|0000023000070000_x0005_`WQC|_x0005_`EDT|2025_x0005_`</t>
  </si>
  <si>
    <t>S00008</t>
  </si>
  <si>
    <t>_x0007_`COD|S00031_x0005_`QTY1|1_x0005_`BQC|_x0005_`EQC|02420500450_x0005_`JDC|0000420500450000_x0005_`WQC|_x0005_`EDT|2025_x0005_`</t>
  </si>
  <si>
    <t>S00031</t>
  </si>
  <si>
    <t>치즐(0.7m3)</t>
  </si>
  <si>
    <t>_x0007_`COD|S00051_x0005_`QTY1|1_x0005_`BQC|_x0005_`EQC|_x0005_`JDC|_x0005_`WQC|_x0005_`EDT|_x0005_`</t>
  </si>
  <si>
    <t>S00051</t>
  </si>
  <si>
    <t>_x0007_`COD|S00102_x0005_`QTY1|1_x0005_`BQC|_x0005_`EQC|02060200450_x0005_`JDC|0000060200450000_x0005_`WQC|_x0005_`EDT|2025_x0005_`</t>
  </si>
  <si>
    <t>S00102</t>
  </si>
  <si>
    <t>_x0007_`COD|S00114_x0005_`QTY1|1_x0005_`BQC|_x0005_`EQC|02210500050_x0005_`JDC|0000210500050000_x0005_`WQC|_x0005_`EDT|2025_x0005_`</t>
  </si>
  <si>
    <t>S00114</t>
  </si>
  <si>
    <t>0.2㎥</t>
  </si>
  <si>
    <t>_x0007_`COD|S00162_x0005_`QTY1|1_x0005_`BQC|_x0005_`EQC|02020100200_x0005_`JDC|0000020100200000_x0005_`WQC|_x0005_`EDT|2025_x0005_`</t>
  </si>
  <si>
    <t>S00162</t>
  </si>
  <si>
    <t>_x0007_`COD|S00163_x0005_`QTY1|1_x0005_`BQC|_x0005_`EQC|02020100400_x0005_`JDC|0000020100400000_x0005_`WQC|_x0005_`EDT|2025_x0005_`</t>
  </si>
  <si>
    <t>S00163</t>
  </si>
  <si>
    <t>_x0007_`COD|S00164_x0005_`QTY1|1_x0005_`BQC|_x0005_`EQC|02020100700_x0005_`JDC|0000020100700000_x0005_`WQC|_x0005_`EDT|2025_x0005_`</t>
  </si>
  <si>
    <t>S00164</t>
  </si>
  <si>
    <t>대형브레이카용 치즐</t>
  </si>
  <si>
    <t>_x0007_`COD|S00174_x0005_`QTY1|1_x0005_`BQC|17상' 삭제_x0005_`EQC|02023100070_x0005_`JDC|0000023100070000_x0005_`WQC|_x0005_`EDT|2016_x0005_`</t>
  </si>
  <si>
    <t>S00174</t>
  </si>
  <si>
    <t>_x0007_`COD|S00175_x0005_`QTY1|1_x0005_`BQC|_x0005_`EQC|02024000070_x0005_`JDC|0000024000070000_x0005_`WQC|_x0005_`EDT|2025_x0005_`</t>
  </si>
  <si>
    <t>S00175</t>
  </si>
  <si>
    <t>_x0007_`COD|S00203_x0005_`QTY1|1_x0005_`BQC|_x0005_`EQC|02060200250_x0005_`JDC|0000060200250000_x0005_`WQC|_x0005_`EDT|2025_x0005_`</t>
  </si>
  <si>
    <t>S00203</t>
  </si>
  <si>
    <t>_x0007_`COD|S00276_x0005_`QTY1|1_x0005_`BQC|_x0005_`EQC|02210500100_x0005_`JDC|0000210500100000_x0005_`WQC|_x0005_`EDT|2025_x0005_`</t>
  </si>
  <si>
    <t>S00276</t>
  </si>
  <si>
    <t>트럭트랙터 및 트레일러</t>
  </si>
  <si>
    <t>$</t>
  </si>
  <si>
    <t>_x0007_`COD|S00346_x0005_`QTY1|1_x0005_`BQC|27020020_x0005_`EQC|_x0005_`JDC|_x0005_`WQC|_x0005_`EDT|_x0005_`</t>
  </si>
  <si>
    <t>S00346</t>
  </si>
  <si>
    <t>_x0007_`COD|S00391_x0005_`QTY1|1_x0005_`BQC|_x0005_`EQC|02443004000_x0005_`JDC|0000443004000000_x0005_`WQC|_x0005_`EDT|2025_x0005_`</t>
  </si>
  <si>
    <t>S00391</t>
  </si>
  <si>
    <t>_x0007_`COD|S00724_x0005_`QTY1|1_x0005_`BQC|_x0005_`EQC|02060202400_x0005_`JDC|0000060202400000_x0005_`WQC|_x0005_`EDT|2025_x0005_`</t>
  </si>
  <si>
    <t>S00724</t>
  </si>
  <si>
    <t>운반비 계</t>
  </si>
  <si>
    <t>_x0007_`COD|S00734_x0005_`QTY1|1_x0005_`UNT|T%_x0005_`BQC|_x0005_`EQC|_x0005_`JDC|_x0005_`WQC|_x0005_`EDT|_x0005_`</t>
  </si>
  <si>
    <t>S00734</t>
  </si>
  <si>
    <t>_x0007_`COD|S00741_x0005_`QTY1|1_x0005_`BQC|_x0005_`EQC|02021100600_x0005_`JDC|0000021100600000_x0005_`WQC|_x0005_`EDT|2025_x0005_`</t>
  </si>
  <si>
    <t>S00741</t>
  </si>
  <si>
    <t>공구손료</t>
  </si>
  <si>
    <t>인건비의 %</t>
  </si>
  <si>
    <t>_x0007_`COD|S01045_x0005_`QTY1|1_x0005_`UNT|L%_x0005_`BQC|_x0005_`EQC|_x0005_`JDC|_x0005_`WQC|_x0005_`EDT|_x0005_`</t>
  </si>
  <si>
    <t>S01045</t>
  </si>
  <si>
    <t>부착용집게</t>
  </si>
  <si>
    <t>0.6-0.8㎥용</t>
  </si>
  <si>
    <t>_x0007_`COD|S01262_x0005_`QTY1|1_x0005_`BQC|_x0005_`EQC|_x0005_`JDC|_x0005_`WQC|_x0005_`EDT|_x0005_`</t>
  </si>
  <si>
    <t>S01262</t>
  </si>
  <si>
    <t>_x0007_`COD|S01263_x0005_`QTY1|1_x0005_`BQC|14상' 신규_x0005_`EQC|02721004850_x0005_`JDC|0000721004850000_x0005_`WQC|_x0005_`EDT|2025_x0005_`</t>
  </si>
  <si>
    <t>S01263</t>
  </si>
  <si>
    <t>일식/견적 목록표</t>
  </si>
  <si>
    <t>폐기물처리</t>
  </si>
  <si>
    <t>폐콘크리트</t>
  </si>
  <si>
    <t>W00045</t>
  </si>
  <si>
    <t>_x0007_`COD|W00045_x0005_`QTY1|1_x0005_`BQC|_x0005_`EQC|_x0005_`JDC|_x0005_`WQC|_x0005_`EDT|_x0005_`ATP|0_x0005_`</t>
  </si>
  <si>
    <t>폐기물운반</t>
  </si>
  <si>
    <t>30km이하</t>
  </si>
  <si>
    <t>W00046</t>
  </si>
  <si>
    <t>_x0007_`COD|W00046_x0005_`QTY1|1_x0005_`BQC|_x0005_`EQC|_x0005_`JDC|_x0005_`WQC|_x0005_`EDT|_x0005_`ATP|0_x0005_`</t>
  </si>
  <si>
    <t>구입별산</t>
  </si>
  <si>
    <t>W01835</t>
  </si>
  <si>
    <t>_x0007_`COD|W01835_x0005_`QTY1|1_x0005_`BQC|_x0005_`EQC|_x0005_`JDC|_x0005_`WQC|_x0005_`EDT|_x0005_`ATP|0_x0005_`</t>
  </si>
  <si>
    <t>Ton</t>
  </si>
  <si>
    <t>W02335</t>
  </si>
  <si>
    <t>_x0007_`COD|W02335_x0005_`QTY1|1_x0005_`BQC|_x0005_`EQC|_x0005_`JDC|_x0005_`WQC|_x0005_`EDT|_x0005_`ATP|0_x0005_`</t>
  </si>
  <si>
    <t>무대처리</t>
  </si>
  <si>
    <t>W02336</t>
  </si>
  <si>
    <t>_x0007_`COD|W02336_x0005_`QTY1|1_x0005_`BQC|_x0005_`EQC|_x0005_`JDC|_x0005_`WQC|_x0005_`EDT|_x0005_`ATP|0_x0005_`</t>
  </si>
  <si>
    <t>1. 환  율</t>
  </si>
  <si>
    <t>100,000$ 미만</t>
  </si>
  <si>
    <t>100,000$ 이상</t>
  </si>
  <si>
    <t>유로화(€)</t>
  </si>
  <si>
    <t>엔화(100￥)</t>
  </si>
  <si>
    <t>2. 인 건 비</t>
  </si>
  <si>
    <t>*  1/8*16/12*25/20  =</t>
  </si>
  <si>
    <t>3. 단가 및 재료비</t>
  </si>
  <si>
    <t>NO</t>
  </si>
  <si>
    <t>단 가 명</t>
  </si>
  <si>
    <t>규    격</t>
  </si>
  <si>
    <t>가  격</t>
  </si>
  <si>
    <t>자재단가 대비표</t>
  </si>
  <si>
    <t>조달가격</t>
  </si>
  <si>
    <t>페이지</t>
  </si>
  <si>
    <t>물가정보</t>
  </si>
  <si>
    <t>물가자료</t>
  </si>
  <si>
    <t>적산정보</t>
  </si>
  <si>
    <t>견적단가</t>
  </si>
  <si>
    <t>적용 단가</t>
  </si>
  <si>
    <t>이전단가</t>
  </si>
  <si>
    <t>최소단가</t>
  </si>
  <si>
    <t>위치</t>
  </si>
  <si>
    <t>물가지명</t>
  </si>
  <si>
    <t>별명</t>
  </si>
  <si>
    <t>조달</t>
  </si>
  <si>
    <t>물정</t>
  </si>
  <si>
    <t>물자</t>
  </si>
  <si>
    <t>적산</t>
  </si>
  <si>
    <t>견적</t>
  </si>
  <si>
    <t>2-18</t>
  </si>
  <si>
    <t>인터넷</t>
  </si>
  <si>
    <t>163</t>
  </si>
  <si>
    <t>111</t>
  </si>
  <si>
    <t>1148</t>
  </si>
  <si>
    <t>1414</t>
  </si>
  <si>
    <t>330</t>
  </si>
  <si>
    <t>24-2</t>
  </si>
  <si>
    <t>87</t>
  </si>
  <si>
    <t>107</t>
  </si>
  <si>
    <t>88</t>
  </si>
  <si>
    <t>332</t>
  </si>
  <si>
    <t>38</t>
  </si>
  <si>
    <t>95</t>
  </si>
  <si>
    <t>부록572</t>
  </si>
  <si>
    <t>333</t>
  </si>
  <si>
    <t>314</t>
  </si>
  <si>
    <t>415</t>
  </si>
  <si>
    <t>714</t>
  </si>
  <si>
    <t>754</t>
  </si>
  <si>
    <t>착 공 내 역 서</t>
  </si>
  <si>
    <t>공   종</t>
  </si>
  <si>
    <t>수   량</t>
  </si>
  <si>
    <t>금    액</t>
  </si>
  <si>
    <t>직접공사비</t>
  </si>
  <si>
    <t>E10_1</t>
  </si>
  <si>
    <t>□</t>
  </si>
  <si>
    <t>2025년 산불진화임도 신설사업(기번8)</t>
  </si>
  <si>
    <t>울진.금강송.소광.산29외</t>
  </si>
  <si>
    <t>CMT_1</t>
  </si>
  <si>
    <t>E5_1</t>
  </si>
  <si>
    <t>_x0007_`COD|_x0005_`QTY1|1_x0005_`EXI|1_x0005_`ITT|0_x0005_`</t>
  </si>
  <si>
    <t>_x0007_`JTYP|0_x0005_`ACTL|F_x0005_`</t>
  </si>
  <si>
    <t>총 괄 설 계 내 역 서</t>
  </si>
  <si>
    <t>1.</t>
  </si>
  <si>
    <t>토공사</t>
  </si>
  <si>
    <t>2.</t>
  </si>
  <si>
    <t>E3_1</t>
  </si>
  <si>
    <t>1.1</t>
  </si>
  <si>
    <t>준비공사</t>
  </si>
  <si>
    <t>D01476_1</t>
  </si>
  <si>
    <t>E2_1</t>
  </si>
  <si>
    <t>_x0007_`COD|D01476_x0005_`QTY1|1_x0005_`EXI|0_x0005_`IPR|0_x0005_`BLA|F_x0005_`</t>
  </si>
  <si>
    <t>산근  19호표</t>
  </si>
  <si>
    <t>구조물공사</t>
  </si>
  <si>
    <t>1.2</t>
  </si>
  <si>
    <t>절취공</t>
  </si>
  <si>
    <t>D01477_1</t>
  </si>
  <si>
    <t>_x0007_`COD|D01477_x0005_`QTY1|1_x0005_`EXI|0_x0005_`IPR|0_x0005_`BLA|F_x0005_`</t>
  </si>
  <si>
    <t>산근  20호표</t>
  </si>
  <si>
    <t>D01478_1</t>
  </si>
  <si>
    <t>_x0007_`COD|D01478_x0005_`QTY1|1_x0005_`EXI|0_x0005_`IPR|0_x0005_`BLA|F_x0005_`</t>
  </si>
  <si>
    <t>산근  21호표</t>
  </si>
  <si>
    <t>D01479_1</t>
  </si>
  <si>
    <t>_x0007_`COD|D01479_x0005_`QTY1|1_x0005_`EXI|0_x0005_`IPR|0_x0005_`BLA|F_x0005_`</t>
  </si>
  <si>
    <t>산근  22호표</t>
  </si>
  <si>
    <t>D01480_1</t>
  </si>
  <si>
    <t>_x0007_`COD|D01480_x0005_`QTY1|1_x0005_`EXI|0_x0005_`IPR|0_x0005_`BLA|F_x0005_`</t>
  </si>
  <si>
    <t>산근  23호표</t>
  </si>
  <si>
    <t>1.3</t>
  </si>
  <si>
    <t>유용토운반</t>
  </si>
  <si>
    <t>W02336_1</t>
  </si>
  <si>
    <t>_x0007_`COD|W02336_x0005_`QTY1|1_x0005_`EXI|0_x0005_`IPR|0_x0005_`BLA|F_x0005_`</t>
  </si>
  <si>
    <t>D01481_1</t>
  </si>
  <si>
    <t>_x0007_`COD|D01481_x0005_`QTY1|1_x0005_`EXI|0_x0005_`IPR|0_x0005_`BLA|F_x0005_`</t>
  </si>
  <si>
    <t>산근  24호표</t>
  </si>
  <si>
    <t>D01482_1</t>
  </si>
  <si>
    <t>_x0007_`COD|D01482_x0005_`QTY1|1_x0005_`EXI|0_x0005_`IPR|0_x0005_`BLA|F_x0005_`</t>
  </si>
  <si>
    <t>산근  25호표</t>
  </si>
  <si>
    <t>D01483_1</t>
  </si>
  <si>
    <t>_x0007_`COD|D01483_x0005_`QTY1|1_x0005_`EXI|0_x0005_`IPR|0_x0005_`BLA|F_x0005_`</t>
  </si>
  <si>
    <t>산근  26호표</t>
  </si>
  <si>
    <t>D01484_1</t>
  </si>
  <si>
    <t>_x0007_`COD|D01484_x0005_`QTY1|1_x0005_`EXI|0_x0005_`IPR|0_x0005_`BLA|F_x0005_`</t>
  </si>
  <si>
    <t>산근  27호표</t>
  </si>
  <si>
    <t>1.4</t>
  </si>
  <si>
    <t>다짐공사</t>
  </si>
  <si>
    <t>D01485_1</t>
  </si>
  <si>
    <t>_x0007_`COD|D01485_x0005_`QTY1|1_x0005_`EXI|0_x0005_`IPR|0_x0005_`BLA|F_x0005_`</t>
  </si>
  <si>
    <t>산근  28호표</t>
  </si>
  <si>
    <t>D01486_1</t>
  </si>
  <si>
    <t>_x0007_`COD|D01486_x0005_`QTY1|1_x0005_`EXI|0_x0005_`IPR|0_x0005_`BLA|F_x0005_`</t>
  </si>
  <si>
    <t>산근  29호표</t>
  </si>
  <si>
    <t>1.5</t>
  </si>
  <si>
    <t>사토처리</t>
  </si>
  <si>
    <t>D01487_1</t>
  </si>
  <si>
    <t>_x0007_`COD|D01487_x0005_`QTY1|1_x0005_`EXI|0_x0005_`IPR|0_x0005_`BLA|F_x0005_`</t>
  </si>
  <si>
    <t>산근  30호표</t>
  </si>
  <si>
    <t>녹화공사</t>
  </si>
  <si>
    <t>3.</t>
  </si>
  <si>
    <t>2.1</t>
  </si>
  <si>
    <t>배수관공사</t>
  </si>
  <si>
    <t>B02119_1</t>
  </si>
  <si>
    <t>_x0007_`COD|B02119_x0005_`QTY1|1_x0005_`EXI|0_x0005_`IPR|0_x0005_`BLA|F_x0005_`</t>
  </si>
  <si>
    <t>대가  14호표</t>
  </si>
  <si>
    <t>B02120_1</t>
  </si>
  <si>
    <t>_x0007_`COD|B02120_x0005_`QTY1|1_x0005_`EXI|0_x0005_`IPR|0_x0005_`BLA|F_x0005_`</t>
  </si>
  <si>
    <t>대가  15호표</t>
  </si>
  <si>
    <t>2.2</t>
  </si>
  <si>
    <t>돌공</t>
  </si>
  <si>
    <t>B02121_1</t>
  </si>
  <si>
    <t>_x0007_`COD|B02121_x0005_`QTY1|1_x0005_`EXI|0_x0005_`IPR|0_x0005_`BLA|F_x0005_`</t>
  </si>
  <si>
    <t>대가  16호표</t>
  </si>
  <si>
    <t>B02122_1</t>
  </si>
  <si>
    <t>_x0007_`COD|B02122_x0005_`QTY1|1_x0005_`EXI|0_x0005_`IPR|0_x0005_`BLA|F_x0005_`</t>
  </si>
  <si>
    <t>대가  17호표</t>
  </si>
  <si>
    <t>B02123_1</t>
  </si>
  <si>
    <t>_x0007_`COD|B02123_x0005_`QTY1|1_x0005_`EXI|0_x0005_`IPR|0_x0005_`BLA|F_x0005_`</t>
  </si>
  <si>
    <t>대가  18호표</t>
  </si>
  <si>
    <t>B02124_1</t>
  </si>
  <si>
    <t>_x0007_`COD|B02124_x0005_`QTY1|1_x0005_`EXI|0_x0005_`IPR|0_x0005_`BLA|F_x0005_`</t>
  </si>
  <si>
    <t>대가  19호표</t>
  </si>
  <si>
    <t>B02125_1</t>
  </si>
  <si>
    <t>_x0007_`COD|B02125_x0005_`QTY1|1_x0005_`EXI|0_x0005_`IPR|0_x0005_`BLA|F_x0005_`</t>
  </si>
  <si>
    <t>대가  20호표</t>
  </si>
  <si>
    <t>2.3</t>
  </si>
  <si>
    <t>노면공사</t>
  </si>
  <si>
    <t>B02126_1</t>
  </si>
  <si>
    <t>_x0007_`COD|B02126_x0005_`QTY1|1_x0005_`EXI|0_x0005_`IPR|0_x0005_`BLA|F_x0005_`</t>
  </si>
  <si>
    <t>대가  21호표</t>
  </si>
  <si>
    <t>B02127_1</t>
  </si>
  <si>
    <t>_x0007_`COD|B02127_x0005_`QTY1|1_x0005_`EXI|0_x0005_`IPR|0_x0005_`BLA|F_x0005_`</t>
  </si>
  <si>
    <t>대가  22호표</t>
  </si>
  <si>
    <t>D01488_1</t>
  </si>
  <si>
    <t>_x0007_`COD|D01488_x0005_`QTY1|1_x0005_`EXI|0_x0005_`IPR|0_x0005_`BLA|F_x0005_`</t>
  </si>
  <si>
    <t>산근  31호표</t>
  </si>
  <si>
    <t>2.4</t>
  </si>
  <si>
    <t>옹벽 및 낙석방지책</t>
  </si>
  <si>
    <t>B02128_1</t>
  </si>
  <si>
    <t>_x0007_`COD|B02128_x0005_`QTY1|1_x0005_`EXI|0_x0005_`IPR|0_x0005_`BLA|F_x0005_`</t>
  </si>
  <si>
    <t>대가  23호표</t>
  </si>
  <si>
    <t>D01489_1</t>
  </si>
  <si>
    <t>_x0007_`COD|D01489_x0005_`QTY1|1_x0005_`EXI|0_x0005_`IPR|0_x0005_`BLA|F_x0005_`</t>
  </si>
  <si>
    <t>산근  32호표</t>
  </si>
  <si>
    <t>D01490_1</t>
  </si>
  <si>
    <t>_x0007_`COD|D01490_x0005_`QTY1|1_x0005_`EXI|0_x0005_`IPR|0_x0005_`BLA|F_x0005_`</t>
  </si>
  <si>
    <t>산근  33호표</t>
  </si>
  <si>
    <t>B02129_1</t>
  </si>
  <si>
    <t>_x0007_`COD|B02129_x0005_`QTY1|1_x0005_`EXI|0_x0005_`IPR|0_x0005_`BLA|F_x0005_`</t>
  </si>
  <si>
    <t>대가  24호표</t>
  </si>
  <si>
    <t>2.5</t>
  </si>
  <si>
    <t>기타공사</t>
  </si>
  <si>
    <t>D01491_1</t>
  </si>
  <si>
    <t>_x0007_`COD|D01491_x0005_`QTY1|1_x0005_`EXI|0_x0005_`IPR|0_x0005_`BLA|F_x0005_`</t>
  </si>
  <si>
    <t>산근  34호표</t>
  </si>
  <si>
    <t>B02130_1</t>
  </si>
  <si>
    <t>_x0007_`COD|B02130_x0005_`QTY1|1_x0005_`EXI|0_x0005_`IPR|0_x0005_`BLA|F_x0005_`</t>
  </si>
  <si>
    <t>대가  25호표</t>
  </si>
  <si>
    <t>D01492_1</t>
  </si>
  <si>
    <t>_x0007_`COD|D01492_x0005_`QTY1|1_x0005_`EXI|0_x0005_`IPR|0_x0005_`BLA|F_x0005_`</t>
  </si>
  <si>
    <t>산근  35호표</t>
  </si>
  <si>
    <t>4.</t>
  </si>
  <si>
    <t>부대공사</t>
  </si>
  <si>
    <t>D01493_1</t>
  </si>
  <si>
    <t>_x0007_`COD|D01493_x0005_`QTY1|1_x0005_`EXI|0_x0005_`IPR|0_x0005_`BLA|F_x0005_`</t>
  </si>
  <si>
    <t>산근  36호표</t>
  </si>
  <si>
    <t>D01494_1</t>
  </si>
  <si>
    <t>_x0007_`COD|D01494_x0005_`QTY1|1_x0005_`EXI|0_x0005_`IPR|0_x0005_`BLA|F_x0005_`</t>
  </si>
  <si>
    <t>산근  37호표</t>
  </si>
  <si>
    <t>D01495_1</t>
  </si>
  <si>
    <t>_x0007_`COD|D01495_x0005_`QTY1|1_x0005_`EXI|0_x0005_`IPR|0_x0005_`BLA|F_x0005_`</t>
  </si>
  <si>
    <t>산근  38호표</t>
  </si>
  <si>
    <t>D01496_1</t>
  </si>
  <si>
    <t>_x0007_`COD|D01496_x0005_`QTY1|1_x0005_`EXI|0_x0005_`IPR|0_x0005_`BLA|F_x0005_`</t>
  </si>
  <si>
    <t>산근  39호표</t>
  </si>
  <si>
    <t>D01497_1</t>
  </si>
  <si>
    <t>_x0007_`COD|D01497_x0005_`QTY1|1_x0005_`EXI|0_x0005_`IPR|0_x0005_`BLA|F_x0005_`</t>
  </si>
  <si>
    <t>산근  40호표</t>
  </si>
  <si>
    <t>5.</t>
  </si>
  <si>
    <t>자재대</t>
  </si>
  <si>
    <t>M01514_1</t>
  </si>
  <si>
    <t>_x0007_`COD|M01514_x0005_`QTY1|1_x0005_`EXI|0_x0005_`IPR|0_x0005_`KWN|0_x0005_`BLA|F_x0005_`</t>
  </si>
  <si>
    <t>M01515_1</t>
  </si>
  <si>
    <t>_x0007_`COD|M01515_x0005_`QTY1|1_x0005_`EXI|0_x0005_`IPR|0_x0005_`KWN|0_x0005_`BLA|F_x0005_`</t>
  </si>
  <si>
    <t>M01516_1</t>
  </si>
  <si>
    <t>_x0007_`COD|M01516_x0005_`QTY1|1_x0005_`EXI|0_x0005_`IPR|0_x0005_`KWN|0_x0005_`BLA|F_x0005_`</t>
  </si>
  <si>
    <t>M01517_1</t>
  </si>
  <si>
    <t>_x0007_`COD|M01517_x0005_`QTY1|1_x0005_`EXI|0_x0005_`IPR|0_x0005_`KWN|0_x0005_`BLA|F_x0005_`</t>
  </si>
  <si>
    <t>M01518_1</t>
  </si>
  <si>
    <t>_x0007_`COD|M01518_x0005_`QTY1|1_x0005_`EXI|0_x0005_`IPR|0_x0005_`KWN|0_x0005_`BLA|F_x0005_`</t>
  </si>
  <si>
    <t>M01519_1</t>
  </si>
  <si>
    <t>_x0007_`COD|M01519_x0005_`QTY1|1_x0005_`EXI|0_x0005_`IPR|0_x0005_`KWN|0_x0005_`BLA|F_x0005_`</t>
  </si>
  <si>
    <t xml:space="preserve">  □</t>
  </si>
  <si>
    <t>페기물처리</t>
  </si>
  <si>
    <t>W00046_1</t>
  </si>
  <si>
    <t>_x0007_`COD|W00046_x0005_`QTY1|1_x0005_`EXI|0_x0005_`IPR|0_x0005_`BLA|F_x0005_`</t>
  </si>
  <si>
    <t>W00045_1</t>
  </si>
  <si>
    <t>_x0007_`COD|W00045_x0005_`QTY1|1_x0005_`EXI|0_x0005_`IPR|0_x0005_`BLA|F_x0005_`</t>
  </si>
  <si>
    <t>관급자재대</t>
  </si>
  <si>
    <t>(제외금액)</t>
  </si>
  <si>
    <t>M00424_1</t>
  </si>
  <si>
    <t>_x0007_`COD|M00424_x0005_`QTY1|1_x0005_`EXI|0_x0005_`IPR|0_x0005_`KWN|0_x0005_`BLA|F_x0005_`</t>
  </si>
  <si>
    <t>M00344_1</t>
  </si>
  <si>
    <t>_x0007_`COD|M00344_x0005_`QTY1|1_x0005_`EXI|0_x0005_`IPR|0_x0005_`KWN|0_x0005_`BLA|F_x0005_`</t>
  </si>
  <si>
    <t>M01513_1</t>
  </si>
  <si>
    <t>_x0007_`COD|M01513_x0005_`QTY1|1_x0005_`EXI|0_x0005_`IPR|0_x0005_`KWN|0_x0005_`BLA|F_x0005_`</t>
  </si>
  <si>
    <t>M00918_1</t>
  </si>
  <si>
    <t>_x0007_`COD|M00918_x0005_`QTY1|1_x0005_`EXI|0_x0005_`IPR|0_x0005_`KWN|0_x0005_`BLA|F_x0005_`</t>
  </si>
  <si>
    <t>C3_1</t>
  </si>
  <si>
    <t xml:space="preserve">    가.</t>
  </si>
  <si>
    <t>순공사비계</t>
  </si>
  <si>
    <t xml:space="preserve"> 1. 간접노무비</t>
  </si>
  <si>
    <t>_x0007_`DTP|201_x0005_`QTY1|1_x0005_`BDC|_x0005_`SRE|LA_x0005_`</t>
  </si>
  <si>
    <t xml:space="preserve"> 2. 산재보험료</t>
  </si>
  <si>
    <t>_x0007_`DTP|301_x0005_`QTY1|1_x0005_`BDC|_x0005_`SRE|SA_x0005_`</t>
  </si>
  <si>
    <t xml:space="preserve"> 3. 고용보험료</t>
  </si>
  <si>
    <t>_x0007_`DTP|302_x0005_`QTY1|1_x0005_`BDC|_x0005_`SRE|SA_x0005_`</t>
  </si>
  <si>
    <t xml:space="preserve"> 4. 건강보험료</t>
  </si>
  <si>
    <t>_x0007_`DTP|303_x0005_`QTY1|1_x0005_`BDC|_x0005_`SRE|SA_x0005_`DRT|T_x0005_`</t>
  </si>
  <si>
    <t xml:space="preserve"> 5. 노인장기요양보험료</t>
  </si>
  <si>
    <t>_x0007_`DTP|310_x0005_`QTY1|1_x0005_`BDC|_x0005_`SRE|SA_x0005_`DRT|T_x0005_`</t>
  </si>
  <si>
    <t xml:space="preserve"> 6. 연금보험료</t>
  </si>
  <si>
    <t>_x0007_`DTP|304_x0005_`QTY1|1_x0005_`BDC|_x0005_`SRE|SA_x0005_`DRT|T_x0005_`</t>
  </si>
  <si>
    <t xml:space="preserve"> 7. 산업안전보건관리비</t>
  </si>
  <si>
    <t>_x0007_`DTP|306_x0005_`QTY1|1_x0005_`BDC|_x0005_`SRE|SA_x0005_`DRT|T_x0005_`ANB|1_x0005_`</t>
  </si>
  <si>
    <t>수정은 아래의 연두색 부분에</t>
  </si>
  <si>
    <t xml:space="preserve"> 8. 기타경비</t>
  </si>
  <si>
    <t>_x0007_`DTP|321_x0005_`QTY1|1_x0005_`BDC|_x0005_`SRE|SA_x0005_`</t>
  </si>
  <si>
    <t xml:space="preserve"> 9. 환경보전비</t>
  </si>
  <si>
    <t>_x0007_`DTP|309_x0005_`QTY1|1_x0005_`BDC|_x0005_`SRE|SA_x0005_`</t>
  </si>
  <si>
    <t>10. 건설기계대여금지급보증 금액</t>
  </si>
  <si>
    <t>_x0007_`DTP|311_x0005_`QTY1|1_x0005_`BDC|_x0005_`SRE|SA_x0005_`</t>
  </si>
  <si>
    <t xml:space="preserve">    나.</t>
  </si>
  <si>
    <t xml:space="preserve">    소   계</t>
  </si>
  <si>
    <t>_x0007_`DTP|400_x0005_`QTY1|1_x0005_`BDC|_x0005_`SRE|TA-F_x0005_`</t>
  </si>
  <si>
    <t>11. 일반관리비</t>
  </si>
  <si>
    <t>_x0007_`DTP|401_x0005_`QTY1|1_x0005_`BDC|_x0005_`SRE|TA_x0005_`</t>
  </si>
  <si>
    <t xml:space="preserve">    다.</t>
  </si>
  <si>
    <t>_x0007_`DTP|410_x0005_`QTY1|1_x0005_`BDC|_x0005_`SRE|TA-F_x0005_`</t>
  </si>
  <si>
    <t>12. 이   윤</t>
  </si>
  <si>
    <t>_x0007_`DTP|402_x0005_`QTY1|1_x0005_`BDC|_x0005_`SRE|TA_x0005_`</t>
  </si>
  <si>
    <t>13. 페기물처리</t>
  </si>
  <si>
    <t>_x0007_`DTP|461_x0005_`QTY1|1_x0005_`BDC|A201_x0005_`SRE|_x0005_`ADN|페기물처리_x0005_`ADB|_x0005_`</t>
  </si>
  <si>
    <t xml:space="preserve">    라.</t>
  </si>
  <si>
    <t xml:space="preserve">    공급가액</t>
  </si>
  <si>
    <t>_x0007_`DTP|500_x0005_`QTY1|1_x0005_`BDC|_x0005_`SRE|TA-F_x0005_`</t>
  </si>
  <si>
    <t>14. 부가가치세</t>
  </si>
  <si>
    <t>_x0007_`DTP|502_x0005_`QTY1|1_x0005_`BDC|_x0005_`SRE|TA_x0005_`</t>
  </si>
  <si>
    <t xml:space="preserve">    마.</t>
  </si>
  <si>
    <t xml:space="preserve">    도급공사비</t>
  </si>
  <si>
    <t>_x0007_`DTP|600_x0005_`QTY1|1_x0005_`BDC|_x0005_`SRE|TA-F_x0005_`</t>
  </si>
  <si>
    <t>15. 관급자재대(도급자설치)</t>
  </si>
  <si>
    <t>_x0007_`DTP|653_x0005_`QTY1|1_x0005_`BDC|_x0005_`SRE|TA-3_x0005_`</t>
  </si>
  <si>
    <t xml:space="preserve">    바.</t>
  </si>
  <si>
    <t xml:space="preserve">    총공사비</t>
  </si>
  <si>
    <t>_x0007_`DTP|700_x0005_`QTY1|1_x0005_`BDC|_x0005_`SRE|TA-F_x0005_`</t>
  </si>
  <si>
    <t>공 사 원 가 계 산 서</t>
  </si>
  <si>
    <t xml:space="preserve">    비    목</t>
  </si>
  <si>
    <t xml:space="preserve">구    분    </t>
  </si>
  <si>
    <t>구 성 비</t>
  </si>
  <si>
    <t>비    고</t>
  </si>
  <si>
    <t>직  접  재  료  비</t>
  </si>
  <si>
    <t>간  접  재  료  비</t>
  </si>
  <si>
    <t>작업설,부산물등(△)</t>
  </si>
  <si>
    <t>소              계</t>
  </si>
  <si>
    <t>직  접  노  무  비</t>
  </si>
  <si>
    <t>간  접  노  무  비</t>
  </si>
  <si>
    <t>산   출    경   비</t>
  </si>
  <si>
    <t>산  재  보  험  료</t>
  </si>
  <si>
    <t>고  용  보  험  료</t>
  </si>
  <si>
    <t>건  강  보  험  료</t>
  </si>
  <si>
    <t>노인장기요양보험료</t>
  </si>
  <si>
    <t>연  금  보  험  료</t>
  </si>
  <si>
    <t>산업안전보건관리비</t>
  </si>
  <si>
    <t>기   타    경   비</t>
  </si>
  <si>
    <t>환  경  보  전  비</t>
  </si>
  <si>
    <t>건설기계대여금지급보증 금액</t>
  </si>
  <si>
    <t>일   반   관   리   비</t>
  </si>
  <si>
    <t>이                  윤</t>
  </si>
  <si>
    <t>총        원        가</t>
  </si>
  <si>
    <t>부   가   가   치   세</t>
  </si>
  <si>
    <t>도   급   공   사   비</t>
  </si>
  <si>
    <t>관급자재대(도급자설치)</t>
  </si>
  <si>
    <t>총     공     사     비</t>
  </si>
  <si>
    <t>순 공 사 원 가</t>
  </si>
  <si>
    <t>경    비</t>
  </si>
  <si>
    <t>일 위 대 가 표</t>
  </si>
  <si>
    <t xml:space="preserve"> 제    1 호표</t>
  </si>
  <si>
    <t>건설품셈 공통 6-3-3</t>
  </si>
  <si>
    <t>_x0007_`COD|_x0005_`EXI|1_x0005_`</t>
  </si>
  <si>
    <t>_1</t>
  </si>
  <si>
    <t xml:space="preserve">       </t>
  </si>
  <si>
    <t>_x0007_`COD|M00131_x0005_`EXI|0_x0005_`DVD|F_x0005_`BMK| _x0005_`IPR|1_x0005_`KWN|0_x0005_`BLA|F_x0005_`</t>
  </si>
  <si>
    <t>1_01</t>
  </si>
  <si>
    <t>M00131_1</t>
  </si>
  <si>
    <t xml:space="preserve">M00131 </t>
  </si>
  <si>
    <t>_x0007_`COD|M00132_x0005_`EXI|0_x0005_`DVD|F_x0005_`BMK| _x0005_`IPR|1_x0005_`KWN|0_x0005_`BLA|F_x0005_`</t>
  </si>
  <si>
    <t>M00132_1</t>
  </si>
  <si>
    <t xml:space="preserve">M00132 </t>
  </si>
  <si>
    <t>부자재</t>
  </si>
  <si>
    <t>재료비의 %</t>
  </si>
  <si>
    <t>_x0007_`COD|PR_x0005_`EXI|1_x0005_`DVD|F_x0005_`BMK| _x0005_`IPR|0_x0005_`EQC|A01_x0005_`PRI|1_x0005_`PRO|1_x0005_`UNI|%_x0005_`BLA|F_x0005_`</t>
  </si>
  <si>
    <t>PRA01_1</t>
  </si>
  <si>
    <t>소모자재</t>
  </si>
  <si>
    <t>주 자재의 %</t>
  </si>
  <si>
    <t>_x0007_`COD|D01352_x0005_`EXI|0_x0005_`DVD|F_x0005_`BMK| _x0005_`IPR|0_x0005_`BLA|F_x0005_`</t>
  </si>
  <si>
    <t>D01352_1</t>
  </si>
  <si>
    <t>산근  13호표</t>
  </si>
  <si>
    <t>T7_1</t>
  </si>
  <si>
    <t>건설품셈</t>
  </si>
  <si>
    <t>공통 6-2-2</t>
  </si>
  <si>
    <t>_x0007_`COD|L00004_x0005_`EXI|0_x0005_`DVD|F_x0005_`BMK| _x0005_`IPR|1_x0005_`BLA|F_x0005_`</t>
  </si>
  <si>
    <t>L00004_1</t>
  </si>
  <si>
    <t xml:space="preserve">L00004 </t>
  </si>
  <si>
    <t>_x0007_`COD|L00016_x0005_`EXI|0_x0005_`DVD|F_x0005_`BMK| _x0005_`IPR|1_x0005_`BLA|F_x0005_`</t>
  </si>
  <si>
    <t>L00016_1</t>
  </si>
  <si>
    <t xml:space="preserve">L00016 </t>
  </si>
  <si>
    <t>_x0007_`COD|PR_x0005_`EXI|1_x0005_`DVD|F_x0005_`BMK| _x0005_`IPR|0_x0005_`EQC|A01_x0005_`PRI|2_x0005_`PRO|3_x0005_`UNI|%_x0005_`BLA|F_x0005_`</t>
  </si>
  <si>
    <t>----------</t>
  </si>
  <si>
    <t>_x0007_`COD|M00117_x0005_`EXI|0_x0005_`DVD|F_x0005_`BMK| _x0005_`IPR|0_x0005_`KWN|0_x0005_`BLA|F_x0005_`</t>
  </si>
  <si>
    <t>M00117_1</t>
  </si>
  <si>
    <t xml:space="preserve">별산M00117 </t>
  </si>
  <si>
    <t>_x0007_`COD|M00488_x0005_`EXI|0_x0005_`DVD|F_x0005_`BMK| _x0005_`IPR|0_x0005_`KWN|0_x0005_`BLA|F_x0005_`</t>
  </si>
  <si>
    <t>M00488_1</t>
  </si>
  <si>
    <t xml:space="preserve">별산M00488 </t>
  </si>
  <si>
    <t>_x0007_`COD|L00016_x0005_`EXI|0_x0005_`DVD|F_x0005_`BMK| _x0005_`IPR|0_x0005_`BLA|F_x0005_`</t>
  </si>
  <si>
    <t>※ 건설품셈 6-3-4</t>
  </si>
  <si>
    <t>스치로폴</t>
  </si>
  <si>
    <t>_x0007_`COD|M00028_x0005_`EXI|1_x0005_`DVD|F_x0005_`BMK| _x0005_`IPR|1_x0005_`KWN|0_x0005_`BLA|F_x0005_`</t>
  </si>
  <si>
    <t>M00028_1</t>
  </si>
  <si>
    <t xml:space="preserve">M00028 </t>
  </si>
  <si>
    <t>_x0007_`COD|L00002_x0005_`EXI|0_x0005_`DVD|F_x0005_`BMK| _x0005_`IPR|1_x0005_`BLA|F_x0005_`</t>
  </si>
  <si>
    <t>L00002_1</t>
  </si>
  <si>
    <t xml:space="preserve">L00002 </t>
  </si>
  <si>
    <t>잡재료비</t>
  </si>
  <si>
    <t>_x0007_`COD|PR_x0005_`EXI|1_x0005_`DVD|F_x0005_`BMK| _x0005_`IPR|1_x0005_`EQC|A01_x0005_`PRI|1_x0005_`PRO|1_x0005_`UNI|%_x0005_`BLA|F_x0005_`</t>
  </si>
  <si>
    <t>_x0007_`COD|B00032_x0005_`EXI|0_x0005_`DVD|F_x0005_`BMK| _x0005_`IPR|0_x0005_`BLA|F_x0005_`</t>
  </si>
  <si>
    <t>B00032_1</t>
  </si>
  <si>
    <t>대가   2호표</t>
  </si>
  <si>
    <t>_x0007_`COD|B01582_x0005_`EXI|0_x0005_`DVD|F_x0005_`BMK| _x0005_`IPR|0_x0005_`BLA|F_x0005_`</t>
  </si>
  <si>
    <t>B01582_1</t>
  </si>
  <si>
    <t>대가  11호표</t>
  </si>
  <si>
    <t>※건설품셈 공통7-2-1</t>
  </si>
  <si>
    <t>_x0007_`COD|L00005_x0005_`EXI|0_x0005_`DVD|F_x0005_`BMK| _x0005_`IPR|0_x0005_`BLA|F_x0005_`</t>
  </si>
  <si>
    <t>L00005_1</t>
  </si>
  <si>
    <t xml:space="preserve">L00005 </t>
  </si>
  <si>
    <t>_x0007_`COD|X00750_x0005_`EXI|0_x0005_`DVD|F_x0005_`BMK| _x0005_`IPR|0_x0005_`BLA|F_x0005_`</t>
  </si>
  <si>
    <t>X00750_1</t>
  </si>
  <si>
    <t xml:space="preserve">X00750 </t>
  </si>
  <si>
    <t>건설품셈 7-2-2</t>
  </si>
  <si>
    <t>토목 6-7-2</t>
  </si>
  <si>
    <t>_x0007_`COD|L00061_x0005_`EXI|0_x0005_`DVD|F_x0005_`BMK| _x0005_`IPR|1_x0005_`BLA|F_x0005_`</t>
  </si>
  <si>
    <t>L00061_1</t>
  </si>
  <si>
    <t xml:space="preserve">L00061 </t>
  </si>
  <si>
    <t>_x0007_`COD|PR_x0005_`EXI|1_x0005_`DVD|F_x0005_`BMK| _x0005_`IPR|1_x0005_`EQC|A01_x0005_`PRI|2_x0005_`PRO|3_x0005_`UNI|%_x0005_`BLA|F_x0005_`</t>
  </si>
  <si>
    <t>_x0007_`COD|X00002_x0005_`EXI|0_x0005_`DVD|F_x0005_`BMK| _x0005_`IPR|1_x0005_`BLA|F_x0005_`</t>
  </si>
  <si>
    <t>X00002_1</t>
  </si>
  <si>
    <t xml:space="preserve">X00002 </t>
  </si>
  <si>
    <t>_x0007_`COD|M01436_x0005_`EXI|0_x0005_`DVD|F_x0005_`BMK| _x0005_`IPR|0_x0005_`KWN|0_x0005_`BLA|F_x0005_`</t>
  </si>
  <si>
    <t>M01436_1</t>
  </si>
  <si>
    <t xml:space="preserve">M01436 </t>
  </si>
  <si>
    <t>설치비</t>
  </si>
  <si>
    <t>_x0007_`COD|PR_x0005_`EXI|1_x0005_`DVD|F_x0005_`BMK| _x0005_`IPR|1_x0005_`EQC|A01_x0005_`PRI|1_x0005_`PRO|2_x0005_`UNI|%_x0005_`BLA|F_x0005_`</t>
  </si>
  <si>
    <t>건설품셈 6-3-3</t>
  </si>
  <si>
    <t>_x0007_`COD|D01351_x0005_`EXI|0_x0005_`DVD|F_x0005_`BMK| _x0005_`IPR|0_x0005_`BLA|F_x0005_`</t>
  </si>
  <si>
    <t>D01351_1</t>
  </si>
  <si>
    <t>산근  12호표</t>
  </si>
  <si>
    <t>건설표준품셈</t>
  </si>
  <si>
    <t>6-2-3</t>
  </si>
  <si>
    <t>_x0007_`COD|M00227_x0005_`EXI|0_x0005_`DVD|F_x0005_`BMK| _x0005_`IPR|1_x0005_`KWN|0_x0005_`BLA|F_x0005_`</t>
  </si>
  <si>
    <t>M00227_1</t>
  </si>
  <si>
    <t xml:space="preserve">별산M00227 </t>
  </si>
  <si>
    <t>_x0007_`COD|M00034_x0005_`EXI|0_x0005_`DVD|F_x0005_`BMK| _x0005_`IPR|1_x0005_`KWN|0_x0005_`BLA|F_x0005_`</t>
  </si>
  <si>
    <t>M00034_1</t>
  </si>
  <si>
    <t xml:space="preserve">M00034 </t>
  </si>
  <si>
    <t>기구손료</t>
  </si>
  <si>
    <t>※ 건설품셈  공통 7-1-2</t>
  </si>
  <si>
    <t>_x0007_`COD|L00005_x0005_`EXI|0_x0005_`DVD|F_x0005_`BMK| _x0005_`IPR|1_x0005_`BLA|F_x0005_`</t>
  </si>
  <si>
    <t>_x0007_`COD|X00750_x0005_`EXI|0_x0005_`DVD|F_x0005_`BMK| _x0005_`IPR|1_x0005_`BLA|F_x0005_`</t>
  </si>
  <si>
    <t>건설품셈 7-1-1</t>
  </si>
  <si>
    <t>_x0007_`COD|X00283_x0005_`EXI|2_x0005_`DVD|F_x0005_`BMK| _x0005_`IPR|1_x0005_`BLA|F_x0005_`</t>
  </si>
  <si>
    <t>X00283_1</t>
  </si>
  <si>
    <t xml:space="preserve">X00283 </t>
  </si>
  <si>
    <t>_x0007_`COD|M00214_x0005_`EXI|0_x0005_`DVD|F_x0005_`BMK| _x0005_`IPR|0_x0005_`KWN|0_x0005_`BLA|F_x0005_`</t>
  </si>
  <si>
    <t>M00214_1</t>
  </si>
  <si>
    <t xml:space="preserve">별산M00214 </t>
  </si>
  <si>
    <t>_x0007_`COD|B00437_x0005_`EXI|0_x0005_`DVD|F_x0005_`BMK| _x0005_`IPR|0_x0005_`BLA|F_x0005_`</t>
  </si>
  <si>
    <t>B00437_1</t>
  </si>
  <si>
    <t>대가   8호표</t>
  </si>
  <si>
    <t>_x0007_`COD|D01456_x0005_`EXI|0_x0005_`DVD|F_x0005_`BMK| _x0005_`IPR|0_x0005_`BLA|F_x0005_`</t>
  </si>
  <si>
    <t>D01456_1</t>
  </si>
  <si>
    <t>산근  16호표</t>
  </si>
  <si>
    <t>_x0007_`COD|D01474_x0005_`EXI|0_x0005_`DVD|F_x0005_`BMK| _x0005_`IPR|0_x0005_`BLA|F_x0005_`</t>
  </si>
  <si>
    <t>D01474_1</t>
  </si>
  <si>
    <t>산근  17호표</t>
  </si>
  <si>
    <t>_x0007_`COD|D01475_x0005_`EXI|0_x0005_`DVD|F_x0005_`BMK| _x0005_`IPR|0_x0005_`BLA|F_x0005_`</t>
  </si>
  <si>
    <t>D01475_1</t>
  </si>
  <si>
    <t>산근  18호표</t>
  </si>
  <si>
    <t>계</t>
  </si>
  <si>
    <t>T0_1</t>
  </si>
  <si>
    <t>계약단가</t>
  </si>
  <si>
    <t>_x0007_`COD|M00453_x0005_`EXI|0_x0005_`DVD|F_x0005_`BMK| _x0005_`IPR|0_x0005_`KWN|0_x0005_`BLA|F_x0005_`</t>
  </si>
  <si>
    <t>M00453_1</t>
  </si>
  <si>
    <t xml:space="preserve">별산M00453 </t>
  </si>
  <si>
    <t>_x0007_`COD|B01608_x0005_`EXI|0_x0005_`DVD|F_x0005_`BMK| _x0005_`IPR|0_x0005_`BLA|F_x0005_`</t>
  </si>
  <si>
    <t>B01608_1</t>
  </si>
  <si>
    <t>대가  12호표</t>
  </si>
  <si>
    <t>_x0007_`COD|D00492_x0005_`EXI|0_x0005_`DVD|F_x0005_`BMK| _x0005_`IPR|0_x0005_`BLA|F_x0005_`</t>
  </si>
  <si>
    <t>D00492_1</t>
  </si>
  <si>
    <t>산근   4호표</t>
  </si>
  <si>
    <t>_x0007_`COD|B00048_x0005_`EXI|0_x0005_`DVD|F_x0005_`BMK| _x0005_`IPR|0_x0005_`BLA|F_x0005_`</t>
  </si>
  <si>
    <t>B00048_1</t>
  </si>
  <si>
    <t>대가   3호표</t>
  </si>
  <si>
    <t>_x0007_`COD|D00091_x0005_`EXI|0_x0005_`DVD|F_x0005_`BMK| _x0005_`IPR|0_x0005_`BLA|F_x0005_`</t>
  </si>
  <si>
    <t>D00091_1</t>
  </si>
  <si>
    <t>산근   2호표</t>
  </si>
  <si>
    <t>_x0007_`COD|D00408_x0005_`EXI|0_x0005_`DVD|F_x0005_`BMK| _x0005_`IPR|0_x0005_`BLA|F_x0005_`</t>
  </si>
  <si>
    <t>D00408_1</t>
  </si>
  <si>
    <t>산근   3호표</t>
  </si>
  <si>
    <t>_x0007_`COD|D00867_x0005_`EXI|0_x0005_`DVD|F_x0005_`BMK| _x0005_`IPR|0_x0005_`BLA|F_x0005_`</t>
  </si>
  <si>
    <t>D00867_1</t>
  </si>
  <si>
    <t>산근   6호표</t>
  </si>
  <si>
    <t>_x0007_`COD|D01336_x0005_`EXI|0_x0005_`DVD|F_x0005_`BMK| _x0005_`IPR|0_x0005_`BLA|F_x0005_`</t>
  </si>
  <si>
    <t>D01336_1</t>
  </si>
  <si>
    <t>산근  11호표</t>
  </si>
  <si>
    <t>_x0007_`COD|B01299_x0005_`EXI|0_x0005_`DVD|F_x0005_`BMK| _x0005_`IPR|0_x0005_`BLA|F_x0005_`</t>
  </si>
  <si>
    <t>B01299_1</t>
  </si>
  <si>
    <t>대가  10호표</t>
  </si>
  <si>
    <t>_x0007_`COD|W01835_x0005_`EXI|0_x0005_`DVD|F_x0005_`BMK| _x0005_`IPR|0_x0005_`BLA|F_x0005_`</t>
  </si>
  <si>
    <t>W01835_1</t>
  </si>
  <si>
    <t xml:space="preserve">별산W01835 </t>
  </si>
  <si>
    <t>_x0007_`COD|D00918_x0005_`EXI|0_x0005_`DVD|F_x0005_`BMK| _x0005_`IPR|0_x0005_`BLA|F_x0005_`</t>
  </si>
  <si>
    <t>D00918_1</t>
  </si>
  <si>
    <t>산근   7호표</t>
  </si>
  <si>
    <t>_x0007_`COD|B01680_x0005_`EXI|0_x0005_`DVD|F_x0005_`BMK| _x0005_`IPR|0_x0005_`BLA|F_x0005_`</t>
  </si>
  <si>
    <t>B01680_1</t>
  </si>
  <si>
    <t>대가  13호표</t>
  </si>
  <si>
    <t>_x0007_`COD|W02335_x0005_`EXI|0_x0005_`DVD|F_x0005_`BMK| _x0005_`IPR|0_x0005_`BLA|F_x0005_`</t>
  </si>
  <si>
    <t>W02335_1</t>
  </si>
  <si>
    <t xml:space="preserve">별산W02335 </t>
  </si>
  <si>
    <t>_x0007_`COD|B00378_x0005_`EXI|0_x0005_`DVD|F_x0005_`BMK| _x0005_`IPR|0_x0005_`BLA|F_x0005_`</t>
  </si>
  <si>
    <t>B00378_1</t>
  </si>
  <si>
    <t>대가   7호표</t>
  </si>
  <si>
    <t>_x0007_`COD|D01448_x0005_`EXI|0_x0005_`DVD|F_x0005_`BMK| _x0005_`IPR|0_x0005_`BLA|F_x0005_`</t>
  </si>
  <si>
    <t>D01448_1</t>
  </si>
  <si>
    <t>산근  15호표</t>
  </si>
  <si>
    <t>_x0007_`COD|B00374_x0005_`EXI|0_x0005_`DVD|F_x0005_`BMK| _x0005_`IPR|0_x0005_`BLA|F_x0005_`</t>
  </si>
  <si>
    <t>B00374_1</t>
  </si>
  <si>
    <t>대가   6호표</t>
  </si>
  <si>
    <t>_x0007_`COD|D01030_x0005_`EXI|0_x0005_`DVD|F_x0005_`BMK| _x0005_`IPR|0_x0005_`BLA|F_x0005_`</t>
  </si>
  <si>
    <t>D01030_1</t>
  </si>
  <si>
    <t>산근   8호표</t>
  </si>
  <si>
    <t>_x0007_`COD|M00125_x0005_`EXI|0_x0005_`DVD|F_x0005_`BMK| _x0005_`IPR|0_x0005_`KWN|0_x0005_`BLA|F_x0005_`</t>
  </si>
  <si>
    <t>M00125_1</t>
  </si>
  <si>
    <t xml:space="preserve">별산M00125 </t>
  </si>
  <si>
    <t>_x0007_`COD|D01354_x0005_`EXI|0_x0005_`DVD|F_x0005_`BMK| _x0005_`IPR|0_x0005_`BLA|F_x0005_`</t>
  </si>
  <si>
    <t>D01354_1</t>
  </si>
  <si>
    <t>산근  14호표</t>
  </si>
  <si>
    <t>_x0007_`COD|M00231_x0005_`EXI|0_x0005_`DVD|F_x0005_`BMK| _x0005_`IPR|0_x0005_`KWN|0_x0005_`BLA|F_x0005_`</t>
  </si>
  <si>
    <t>M00231_1</t>
  </si>
  <si>
    <t xml:space="preserve">M00231 </t>
  </si>
  <si>
    <t>_x0007_`COD|M00011_x0005_`EXI|0_x0005_`DVD|F_x0005_`BMK| _x0005_`IPR|0_x0005_`KWN|0_x0005_`BLA|F_x0005_`</t>
  </si>
  <si>
    <t>M00011_1</t>
  </si>
  <si>
    <t xml:space="preserve">M00011 </t>
  </si>
  <si>
    <t>_x0007_`COD|M00026_x0005_`EXI|0_x0005_`DVD|F_x0005_`BMK| _x0005_`IPR|0_x0005_`KWN|0_x0005_`BLA|F_x0005_`</t>
  </si>
  <si>
    <t>M00026_1</t>
  </si>
  <si>
    <t xml:space="preserve">M00026 </t>
  </si>
  <si>
    <t>_x0007_`COD|B00011_x0005_`EXI|0_x0005_`DVD|F_x0005_`BMK| _x0005_`IPR|0_x0005_`BLA|F_x0005_`</t>
  </si>
  <si>
    <t>B00011_1</t>
  </si>
  <si>
    <t>대가   1호표</t>
  </si>
  <si>
    <t>_x0007_`COD|B00233_x0005_`EXI|0_x0005_`DVD|F_x0005_`BMK| _x0005_`IPR|0_x0005_`BLA|F_x0005_`</t>
  </si>
  <si>
    <t>B00233_1</t>
  </si>
  <si>
    <t>대가   4호표</t>
  </si>
  <si>
    <t>_x0007_`COD|B00287_x0005_`EXI|0_x0005_`DVD|F_x0005_`BMK| _x0005_`IPR|0_x0005_`BLA|F_x0005_`</t>
  </si>
  <si>
    <t>B00287_1</t>
  </si>
  <si>
    <t>대가   5호표</t>
  </si>
  <si>
    <t>_x0007_`COD|B00442_x0005_`EXI|0_x0005_`DVD|F_x0005_`BMK| _x0005_`IPR|0_x0005_`BLA|F_x0005_`</t>
  </si>
  <si>
    <t>B00442_1</t>
  </si>
  <si>
    <t>대가   9호표</t>
  </si>
  <si>
    <t>사방품셈 4-2-2 (2)</t>
  </si>
  <si>
    <t>_x0007_`COD|D00794_x0005_`EXI|0_x0005_`DVD|F_x0005_`BMK| _x0005_`IPR|0_x0005_`BLA|F_x0005_`</t>
  </si>
  <si>
    <t>D00794_1</t>
  </si>
  <si>
    <t>산근   5호표</t>
  </si>
  <si>
    <t>_x0007_`COD|D01329_x0005_`EXI|0_x0005_`DVD|F_x0005_`BMK| _x0005_`IPR|0_x0005_`BLA|F_x0005_`</t>
  </si>
  <si>
    <t>D01329_1</t>
  </si>
  <si>
    <t>산근  10호표</t>
  </si>
  <si>
    <t>_x0007_`COD|M01150_x0005_`EXI|0_x0005_`DVD|F_x0005_`BMK| _x0005_`IPR|0_x0005_`KWN|0_x0005_`BLA|F_x0005_`</t>
  </si>
  <si>
    <t>M01150_1</t>
  </si>
  <si>
    <t xml:space="preserve">M01150 </t>
  </si>
  <si>
    <t>_x0007_`COD|D01129_x0005_`EXI|0_x0005_`DVD|F_x0005_`BMK| _x0005_`IPR|0_x0005_`BLA|F_x0005_`</t>
  </si>
  <si>
    <t>D01129_1</t>
  </si>
  <si>
    <t>산근   9호표</t>
  </si>
  <si>
    <t xml:space="preserve">   1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</si>
  <si>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</si>
  <si>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</si>
  <si>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</si>
  <si>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</si>
  <si>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</si>
  <si>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 xml:space="preserve">   7</t>
  </si>
  <si>
    <t xml:space="preserve">   8</t>
  </si>
  <si>
    <t xml:space="preserve">   9</t>
  </si>
  <si>
    <t xml:space="preserve">  10</t>
  </si>
  <si>
    <t xml:space="preserve">  11</t>
  </si>
  <si>
    <t xml:space="preserve">  12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</si>
  <si>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</si>
  <si>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</si>
  <si>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</si>
  <si>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</si>
  <si>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</si>
  <si>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</si>
  <si>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19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</si>
  <si>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</si>
  <si>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</si>
  <si>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</si>
  <si>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</si>
  <si>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</si>
  <si>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</si>
  <si>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>단 가 산 출 근 거</t>
  </si>
  <si>
    <t>공  종</t>
  </si>
  <si>
    <t>산  출  내  역</t>
  </si>
  <si>
    <t>QTY</t>
  </si>
  <si>
    <t>T</t>
  </si>
  <si>
    <t>S</t>
  </si>
  <si>
    <t>콘크리트믹서사용 0.45 m3  / m3</t>
  </si>
  <si>
    <t>_x0007_'○ 건설품셈 9-18'</t>
  </si>
  <si>
    <t xml:space="preserve"> ○ 건설품셈 9-18 </t>
  </si>
  <si>
    <t>_x0007_</t>
  </si>
  <si>
    <t>_x0007_cm'(재료투입 혼합배출 등 작업시간(분)'=4</t>
  </si>
  <si>
    <t>cm (재료투입 혼합배출 등 작업시간(분) =4</t>
  </si>
  <si>
    <t>_x0007_q'(콘크리트 믹서 용량(m3)'=0.45</t>
  </si>
  <si>
    <t>q (콘크리트 믹서 용량(m3) =0.45</t>
  </si>
  <si>
    <t>_x0007_E'(작업효율)'=0.8</t>
  </si>
  <si>
    <t>E (작업효율) =0.8</t>
  </si>
  <si>
    <t>_x0007_Q'(콘크리트 믹서의 시간당 생산량)'=60*q*E/cm ='m3/Hr'</t>
  </si>
  <si>
    <t xml:space="preserve">Q (콘크리트 믹서의 시간당 생산량) =60*q*E/cm = 5.40 m3/Hr </t>
  </si>
  <si>
    <t>_x0007_'노 무 비  :'  &amp;X00350L&amp; / Q  =</t>
  </si>
  <si>
    <t>X00350L</t>
  </si>
  <si>
    <t>X00350_1</t>
  </si>
  <si>
    <t>_x0007_'재 료 비  :'  &amp;X00350M&amp; / Q  =</t>
  </si>
  <si>
    <t>X00350M</t>
  </si>
  <si>
    <t>_x0007_'경    비  :'  &amp;X00350S&amp; / Q  =</t>
  </si>
  <si>
    <t>X00350S</t>
  </si>
  <si>
    <t>_x0007_(=)</t>
  </si>
  <si>
    <t>소계</t>
  </si>
  <si>
    <t>T1_1</t>
  </si>
  <si>
    <t>총        계</t>
  </si>
  <si>
    <t>_x0007_'○ 건설품셈 9-3'</t>
  </si>
  <si>
    <t xml:space="preserve"> ○ 건설품셈 9-3 </t>
  </si>
  <si>
    <t>_x0007_'(1) 채집: 굴삭기 0.7m3 (100%)'</t>
  </si>
  <si>
    <t xml:space="preserve"> (1) 채집: 굴삭기 0.7m3 (100%) </t>
  </si>
  <si>
    <t>_x0007_'◇운반거리  20m이상 : 굴삭기 2회작업'</t>
  </si>
  <si>
    <t xml:space="preserve"> ◇운반거리  20m이상 : 굴삭기 2회작업 </t>
  </si>
  <si>
    <t>_x0007_q '(1회 작업량)'= 0.7</t>
  </si>
  <si>
    <t>q  (1회 작업량) = 0.7</t>
  </si>
  <si>
    <t>_x0007_f'(토량 체적 환산계수)' = 1/1.125 =</t>
  </si>
  <si>
    <t>f (토량 체적 환산계수)  = 1/1.125 = 0.89</t>
  </si>
  <si>
    <t>_x0007_K '(버킷계수)'= 0.7</t>
  </si>
  <si>
    <t>K  (버킷계수) = 0.7</t>
  </si>
  <si>
    <t>_x0007_E '(작업효율)'= 0.35</t>
  </si>
  <si>
    <t>E  (작업효율) = 0.35</t>
  </si>
  <si>
    <t>_x0007_N '(작업횟수)'= 2</t>
  </si>
  <si>
    <t>N  (작업횟수) = 2</t>
  </si>
  <si>
    <t>_x0007_Cm'(1회 사이클 시간)' = 22'sec (180˚)'</t>
  </si>
  <si>
    <t xml:space="preserve">Cm (1회 사이클 시간)  = 22 sec (180˚) </t>
  </si>
  <si>
    <t>_x0007_Q'(시간당 작업량)'= 3600*q*K*f*E/(Cm*N) ='m3/hr'</t>
  </si>
  <si>
    <t xml:space="preserve">Q (시간당 작업량) = 3600*q*K*f*E/(Cm*N) = 12.49 m3/hr </t>
  </si>
  <si>
    <t>_x0007_'노 무 비  :'&amp;X00022L&amp; / Q =</t>
  </si>
  <si>
    <t>X00022L</t>
  </si>
  <si>
    <t>X00022_1</t>
  </si>
  <si>
    <t>_x0007_'재 료 비  :'&amp;X00022M&amp; / Q =</t>
  </si>
  <si>
    <t>X00022M</t>
  </si>
  <si>
    <t>_x0007_'경    비  :'&amp;X00022S&amp; / Q =</t>
  </si>
  <si>
    <t>X00022S</t>
  </si>
  <si>
    <t>_x0007_'(1) 암 소할 작업 '</t>
  </si>
  <si>
    <t xml:space="preserve"> (1) 암 소할 작업  </t>
  </si>
  <si>
    <t>_x0007_'① 굴삭기0.7m3 + 브레이커 '</t>
  </si>
  <si>
    <t xml:space="preserve"> ① 굴삭기0.7m3 + 브레이커  </t>
  </si>
  <si>
    <t>_x0007_'※ 작업 조건 : 암 절취 후 2차 파쇄(15%만 반영)'</t>
  </si>
  <si>
    <t xml:space="preserve"> ※ 작업 조건 : 암 절취 후 2차 파쇄(15%만 반영) </t>
  </si>
  <si>
    <t>_x0007_Q'(시간당 작업량)' = 5.0 / 0.15 =  '㎥/hr'</t>
  </si>
  <si>
    <t xml:space="preserve">Q (시간당 작업량)  = 5.0 / 0.15 = 33.33   ㎥/hr </t>
  </si>
  <si>
    <t>_x0007_'노 무 비  :'  &amp;X00004L&amp; / Q  =</t>
  </si>
  <si>
    <t>X00004L</t>
  </si>
  <si>
    <t>X00004_1</t>
  </si>
  <si>
    <t>_x0007_'재 료 비  :'  &amp;X00004M&amp; / Q  =</t>
  </si>
  <si>
    <t>X00004M</t>
  </si>
  <si>
    <t>_x0007_'경    비  :'  &amp;X00004S&amp; / Q  =</t>
  </si>
  <si>
    <t>X00004S</t>
  </si>
  <si>
    <t>_x0007_'② 치즐 손료 '</t>
  </si>
  <si>
    <t xml:space="preserve"> ② 치즐 손료  </t>
  </si>
  <si>
    <t>_x0007_0.006 *(&amp;S00174&amp;*1000)/ Q='W/㎥'</t>
  </si>
  <si>
    <t>S00174_1</t>
  </si>
  <si>
    <t>_x0007_'(2) 집적 및 적사  (굴삭기 0.7 ㎥) '</t>
  </si>
  <si>
    <t xml:space="preserve"> (2) 집적 및 적사  (굴삭기 0.7 ㎥)  </t>
  </si>
  <si>
    <t>_x0007_ q '(버킷용량)'= 0.7</t>
  </si>
  <si>
    <t xml:space="preserve"> q  (버킷용량) = 0.7</t>
  </si>
  <si>
    <t>_x0007_ f'(토량 체적 환산계수)' = 1/1.4 =</t>
  </si>
  <si>
    <t xml:space="preserve"> f (토량 체적 환산계수)  = 1/1.4 = 0.71</t>
  </si>
  <si>
    <t>_x0007_ K'(버킷계수)' = 0.55</t>
  </si>
  <si>
    <t xml:space="preserve"> K (버킷계수)  = 0.55</t>
  </si>
  <si>
    <t>_x0007_ Cm'(1회 사이클 시간)' = 22'sec (180˚)'</t>
  </si>
  <si>
    <t xml:space="preserve"> Cm (1회 사이클 시간)  = 22 sec (180˚) </t>
  </si>
  <si>
    <t>_x0007_ E '(작업효율)'= 0.45</t>
  </si>
  <si>
    <t xml:space="preserve"> E  (작업효율) = 0.45</t>
  </si>
  <si>
    <t>_x0007_ Q1'(시간당 작업량)' = 3600*q*K*f*E/Cm ='m3/hr'</t>
  </si>
  <si>
    <t xml:space="preserve"> Q1 (시간당 작업량)  = 3600*q*K*f*E/Cm = 20.13 m3/hr </t>
  </si>
  <si>
    <t>_x0007_'노 무 비  :'  &amp;X00270L&amp; / Q1  =</t>
  </si>
  <si>
    <t>X00270L</t>
  </si>
  <si>
    <t>X00270_1</t>
  </si>
  <si>
    <t>_x0007_'재 료 비  :'  &amp;X00270M&amp; / Q1  =</t>
  </si>
  <si>
    <t>X00270M</t>
  </si>
  <si>
    <t>_x0007_'경    비  :'  &amp;X00270S&amp; / Q1  =</t>
  </si>
  <si>
    <t>X00270S</t>
  </si>
  <si>
    <t>_x0007_'3) 운 반 (덤프2.5톤)'</t>
  </si>
  <si>
    <t xml:space="preserve"> 3) 운 반 (덤프2.5톤) </t>
  </si>
  <si>
    <t>_x0007_L'(운반거리)'=  0.1 'Km내외'</t>
  </si>
  <si>
    <t xml:space="preserve">L (운반거리) =  0.1  Km내외 </t>
  </si>
  <si>
    <t>_x0007_E'(작업효율)' = 0.9</t>
  </si>
  <si>
    <t>E (작업효율)  = 0.9</t>
  </si>
  <si>
    <t>_x0007_f'(체적환산계수)'= 1</t>
  </si>
  <si>
    <t>f (체적환산계수) = 1</t>
  </si>
  <si>
    <t>_x0007_q1'(덤프 1대 적재량)' = (2.5/1.70) * 1.15 =</t>
  </si>
  <si>
    <t>q1 (덤프 1대 적재량)  = (2.5/1.70) * 1.15 = 1.69</t>
  </si>
  <si>
    <t>_x0007_n'(덤프1대 적재 시 적재기계의 사이클 횟수)' =q1/(0.40 * k) = '회'</t>
  </si>
  <si>
    <t xml:space="preserve">n (덤프1대 적재 시 적재기계의 사이클 횟수)  =q1/(0.40 * k) = 7.68  회 </t>
  </si>
  <si>
    <t>_x0007_t1'(상차시간)' =Cm* n /(60 * 0.7) ='분'</t>
  </si>
  <si>
    <t xml:space="preserve">t1 (상차시간)  =Cm* n /(60 * 0.7) = 4.02 분 </t>
  </si>
  <si>
    <t>_x0007_t2'(운반시간)' =(L/10+L/15)* 60 ='분'</t>
  </si>
  <si>
    <t xml:space="preserve">t2 (운반시간)  =(L/10+L/15)* 60 = 1.00 분 </t>
  </si>
  <si>
    <t>_x0007_t3'(적하시간)'= 0.8'분'</t>
  </si>
  <si>
    <t xml:space="preserve">t3 (적하시간) = 0.8 분 </t>
  </si>
  <si>
    <t>_x0007_t4'(적재 대기시간)' = 0.7'분'</t>
  </si>
  <si>
    <t xml:space="preserve">t4 (적재 대기시간)  = 0.7 분 </t>
  </si>
  <si>
    <t>_x0007_Cm'(사이클시간)' = t1 + t2 + t3 + t4 ='분'</t>
  </si>
  <si>
    <t xml:space="preserve">Cm (사이클시간)  = t1 + t2 + t3 + t4 = 6.52 분 </t>
  </si>
  <si>
    <t>_x0007_Q1'(시간당 운반량)' = 60 * q1 * f * E / Cm ='m3/hr'</t>
  </si>
  <si>
    <t xml:space="preserve">Q1 (시간당 운반량)  = 60 * q1 * f * E / Cm = 14.00 m3/hr </t>
  </si>
  <si>
    <t>_x0007_'노무비:'&amp;X00060L&amp; / Q1 =</t>
  </si>
  <si>
    <t>X00060L</t>
  </si>
  <si>
    <t>X00060_1</t>
  </si>
  <si>
    <t>_x0007_'재료비:'&amp;X00060M&amp; / Q1 =</t>
  </si>
  <si>
    <t>X00060M</t>
  </si>
  <si>
    <t>_x0007_'경  비:'&amp;X00060S&amp; / Q1 =</t>
  </si>
  <si>
    <t>X00060S</t>
  </si>
  <si>
    <t>_x0007_(==)</t>
  </si>
  <si>
    <t>T2_1</t>
  </si>
  <si>
    <t>_x0007_'※ 돌(찰)쌓기 시 채움콘크르트 비빔'</t>
  </si>
  <si>
    <t xml:space="preserve"> ※ 돌(찰)쌓기 시 채움콘크르트 비빔 </t>
  </si>
  <si>
    <t>_x0007_'1) 소요 인부 - 없음 '</t>
  </si>
  <si>
    <t xml:space="preserve"> 1) 소요 인부 - 없음  </t>
  </si>
  <si>
    <t>_x0007_'① 콘크리트공 ' a = 0 '인/m3'</t>
  </si>
  <si>
    <t xml:space="preserve"> ① 콘크리트공   a = 0  인/m3 </t>
  </si>
  <si>
    <t>_x0007_'콘크리트공 :'&amp;L00007&amp; * a =</t>
  </si>
  <si>
    <t>L00007_1</t>
  </si>
  <si>
    <t>_x0007_'② 보통인부  ' b = 0 '인/m3'</t>
  </si>
  <si>
    <t xml:space="preserve"> ② 보통인부    b = 0  인/m3 </t>
  </si>
  <si>
    <t>_x0007_'○.보통인부:'  &amp;L00016&amp; * b =</t>
  </si>
  <si>
    <t>_x0007_'2)'</t>
  </si>
  <si>
    <t xml:space="preserve"> 2) </t>
  </si>
  <si>
    <t>_x0007_'콘크리트믹서사용 :'&amp;D00083&amp; * 1 =</t>
  </si>
  <si>
    <t>산근   1호표</t>
  </si>
  <si>
    <t>D00083_1</t>
  </si>
  <si>
    <t>_x0007_'※사방표준품셈 4-16-2 적용'</t>
  </si>
  <si>
    <t xml:space="preserve"> ※사방표준품셈 4-16-2 적용 </t>
  </si>
  <si>
    <t>_x0007_'1) 절 취 '</t>
  </si>
  <si>
    <t xml:space="preserve"> 1) 절 취  </t>
  </si>
  <si>
    <t>_x0007_'구조물천단부 작업 절취량은 미 적용'</t>
  </si>
  <si>
    <t xml:space="preserve"> 구조물천단부 작업 절취량은 미 적용 </t>
  </si>
  <si>
    <t>_x0007_'2)수평잡기 및 단정리'</t>
  </si>
  <si>
    <t xml:space="preserve"> 2)수평잡기 및 단정리 </t>
  </si>
  <si>
    <t>_x0007_'구조물천단부 작업이므로 수평잡기는 미적용하여 50% 계상'</t>
  </si>
  <si>
    <t xml:space="preserve"> 구조물천단부 작업이므로 수평잡기는 미적용하여 50% 계상 </t>
  </si>
  <si>
    <t>_x0007_'보통인부 :'&amp;L00016&amp; * 0.34 * 0.5 /100 =</t>
  </si>
  <si>
    <t>_x0007_'3) 잡석 및 뿌리 정리'</t>
  </si>
  <si>
    <t xml:space="preserve"> 3) 잡석 및 뿌리 정리 </t>
  </si>
  <si>
    <t>_x0007_'보통인부 :'&amp;L00016&amp; * 0.36/100 =</t>
  </si>
  <si>
    <t>_x0007_ '4) 사면 고르기'</t>
  </si>
  <si>
    <t xml:space="preserve">  4) 사면 고르기 </t>
  </si>
  <si>
    <t>_x0007_'보통인부 :'&amp;L00016&amp; * 1.17/100 =</t>
  </si>
  <si>
    <t>_x0007_'5) 작업 반장'</t>
  </si>
  <si>
    <t xml:space="preserve"> 5) 작업 반장 </t>
  </si>
  <si>
    <t>_x0007_ &amp;L00014&amp; *(0.17+0.36+1.17)/100 / 20 =</t>
  </si>
  <si>
    <t>L00014_1</t>
  </si>
  <si>
    <t>_x0007_'※건설표준품셈 3-4-5 적용'</t>
  </si>
  <si>
    <t xml:space="preserve"> ※건설표준품셈 3-4-5 적용 </t>
  </si>
  <si>
    <t>_x0007_'막자갈 규격 150mm내외 '</t>
  </si>
  <si>
    <t xml:space="preserve"> 막자갈 규격 150mm내외  </t>
  </si>
  <si>
    <t>_x0007_'□ 일 시공량 :' Q =  250'm3/일 '</t>
  </si>
  <si>
    <t xml:space="preserve"> □ 일 시공량 :  Q =  250 m3/일  </t>
  </si>
  <si>
    <t>_x0007_'□ 시간당 시공량 :' q1 = Q / 8 = 'm3/hr'</t>
  </si>
  <si>
    <t xml:space="preserve"> □ 시간당 시공량 :  q1 = Q / 8 = 31.25  m3/hr </t>
  </si>
  <si>
    <t>_x0007_'①굴삭기(0.6m3 )'</t>
  </si>
  <si>
    <t xml:space="preserve"> ①굴삭기(0.6m3 ) </t>
  </si>
  <si>
    <t>_x0007_'노 무 비 : '&amp;X00283L&amp; / q1 =</t>
  </si>
  <si>
    <t>X00283L</t>
  </si>
  <si>
    <t>_x0007_'재 료 비 : '&amp;X00283M&amp; / q1 =</t>
  </si>
  <si>
    <t>X00283M</t>
  </si>
  <si>
    <t>_x0007_'경    비 : '&amp;X00283S&amp; / q1 =</t>
  </si>
  <si>
    <t>X00283S</t>
  </si>
  <si>
    <t>_x0007_'② 인력   '</t>
  </si>
  <si>
    <t xml:space="preserve"> ② 인력    </t>
  </si>
  <si>
    <t>_x0007_'○특별인부:' &amp;L00015&amp; * 1.0 / Q =</t>
  </si>
  <si>
    <t>L00015_1</t>
  </si>
  <si>
    <t>_x0007_'○보통인부:' &amp;L00016&amp; * 1.0 / Q =</t>
  </si>
  <si>
    <t>_x0007_'※ 돌(찰)쌓기 시 채움콘크르트 비빔 품 '</t>
  </si>
  <si>
    <t xml:space="preserve"> ※ 돌(찰)쌓기 시 채움콘크르트 비빔 품  </t>
  </si>
  <si>
    <t>_x0007_'현장에서 콘크리트(비빔+타설)품에서 타설 품(레미콘 인력타설) 감함'</t>
  </si>
  <si>
    <t xml:space="preserve"> 현장에서 콘크리트(비빔+타설)품에서 타설 품(레미콘 인력타설) 감함 </t>
  </si>
  <si>
    <t>_x0007_'※레미콘 인력타설 1일 23㎥시공: 콘크리트공 보통인부 각각 3인 소요'</t>
  </si>
  <si>
    <t xml:space="preserve"> ※레미콘 인력타설 1일 23㎥시공: 콘크리트공 보통인부 각각 3인 소요 </t>
  </si>
  <si>
    <t>_x0007_q'(타설 소요인부)'= 3.0'(인/일)'/ 23'(㎥/일)'='인/㎥'</t>
  </si>
  <si>
    <t xml:space="preserve">q (타설 소요인부) = 3.0 (인/일) / 23 (㎥/일) = 0.13 인/㎥ </t>
  </si>
  <si>
    <t>_x0007_'1) 소요 인부'</t>
  </si>
  <si>
    <t xml:space="preserve"> 1) 소요 인부 </t>
  </si>
  <si>
    <t>_x0007_'① 콘크리트공 ' a = 0.15-q = '인/m3'</t>
  </si>
  <si>
    <t xml:space="preserve"> ① 콘크리트공   a = 0.15-q = 0.02  인/m3 </t>
  </si>
  <si>
    <t>_x0007_'② 보통인부  ' b = 0.46-q = '인/m3'</t>
  </si>
  <si>
    <t xml:space="preserve"> ② 보통인부    b = 0.46-q = 0.33  인/m3 </t>
  </si>
  <si>
    <t>_x0007_'2) 기계경비 '</t>
  </si>
  <si>
    <t xml:space="preserve"> 2) 기계경비  </t>
  </si>
  <si>
    <t>_x0007_'(1) 채집: 굴삭기 0.2m3 (100%)'</t>
  </si>
  <si>
    <t xml:space="preserve"> (1) 채집: 굴삭기 0.2m3 (100%) </t>
  </si>
  <si>
    <t>_x0007_q'(버킷용량)'= 0.2</t>
  </si>
  <si>
    <t>q (버킷용량) = 0.2</t>
  </si>
  <si>
    <t>_x0007_f'(토량환산계수)' = 1/1.125 =</t>
  </si>
  <si>
    <t>f (토량환산계수)  = 1/1.125 = 0.89</t>
  </si>
  <si>
    <t>_x0007_K'( 버킷계수 )'= 0.55</t>
  </si>
  <si>
    <t>K ( 버킷계수 ) = 0.55</t>
  </si>
  <si>
    <t>_x0007_Cm1 '(1회 사이클 시간)'= 18'sec (135˚)'</t>
  </si>
  <si>
    <t xml:space="preserve">Cm1  (1회 사이클 시간) = 18 sec (135˚) </t>
  </si>
  <si>
    <t>_x0007_E'(작업효율)' = 0.45</t>
  </si>
  <si>
    <t>E (작업효율)  = 0.45</t>
  </si>
  <si>
    <t>_x0007_Q'(시간당 작업량)'= 3600*q*K*f*E/Cm1 ='m3/hr'</t>
  </si>
  <si>
    <t xml:space="preserve">Q (시간당 작업량) = 3600*q*K*f*E/Cm1 = 8.81 m3/hr </t>
  </si>
  <si>
    <t>_x0007_'노무비:'&amp;X00268L&amp; / Q =</t>
  </si>
  <si>
    <t>X00268L</t>
  </si>
  <si>
    <t>X00268_1</t>
  </si>
  <si>
    <t>_x0007_'재료비:'&amp;X00268M&amp; / Q =</t>
  </si>
  <si>
    <t>X00268M</t>
  </si>
  <si>
    <t>_x0007_'경  비:'&amp;X00268S&amp; / Q =</t>
  </si>
  <si>
    <t>X00268S</t>
  </si>
  <si>
    <t>_x0007_'◈참고사항'</t>
  </si>
  <si>
    <t xml:space="preserve"> ◈참고사항 </t>
  </si>
  <si>
    <t>_x0007_'500매 = 2500kg  ⇒ 5 kg/매'</t>
  </si>
  <si>
    <t xml:space="preserve"> 500매 = 2500kg  ⇒ 5 kg/매 </t>
  </si>
  <si>
    <t>_x0007_'1m2 = 11.11매 ⇒ 0.09 m2/매'</t>
  </si>
  <si>
    <t xml:space="preserve"> 1m2 = 11.11매 ⇒ 0.09 m2/매 </t>
  </si>
  <si>
    <t>_x0007_'5kg/매 ÷ 0.09m2/매 = 55.55kg/m2 임 '</t>
  </si>
  <si>
    <t xml:space="preserve"> 5kg/매 ÷ 0.09m2/매 = 55.55kg/m2 임  </t>
  </si>
  <si>
    <t>_x0007_' ○ 적하비 (2인 1조)'</t>
  </si>
  <si>
    <t xml:space="preserve">  ○ 적하비 (2인 1조) </t>
  </si>
  <si>
    <t>_x0007_ 2'인' * 16 /(480-30) * &amp;L00016&amp; * 55/1000 =</t>
  </si>
  <si>
    <t>_x0007_'※ 건설표준품셈(공통) : 4-1-1 적용'</t>
  </si>
  <si>
    <t xml:space="preserve"> ※ 건설표준품셈(공통) : 4-1-1 적용 </t>
  </si>
  <si>
    <t>_x0007_'□ 일작업량 :' Q = 150'm2/일'</t>
  </si>
  <si>
    <t xml:space="preserve"> □ 일작업량 :  Q = 150 m2/일 </t>
  </si>
  <si>
    <t>_x0007_'1. 인부임'</t>
  </si>
  <si>
    <t xml:space="preserve"> 1. 인부임 </t>
  </si>
  <si>
    <t>_x0007_'○ 조경공:'</t>
  </si>
  <si>
    <t xml:space="preserve"> ○ 조경공: </t>
  </si>
  <si>
    <t>_x0007_   &amp;L00012L&amp; * 1.0'인' / Q =  '원/m2'</t>
  </si>
  <si>
    <t>L00012L</t>
  </si>
  <si>
    <t>L00012_1</t>
  </si>
  <si>
    <t>_x0007_'○보통인부 :'</t>
  </si>
  <si>
    <t xml:space="preserve"> ○보통인부 : </t>
  </si>
  <si>
    <t>_x0007_   &amp;L00016L&amp; * 4.0'인' / Q = '원/m2'</t>
  </si>
  <si>
    <t>L00016L</t>
  </si>
  <si>
    <t>_x0007_'※ 건설표준품셈(공통) : 6-1-1 적용'</t>
  </si>
  <si>
    <t xml:space="preserve"> ※ 건설표준품셈(공통) : 6-1-1 적용 </t>
  </si>
  <si>
    <t>_x0007_'□ 일 시공량 :' Q =  63'm3/일 '</t>
  </si>
  <si>
    <t xml:space="preserve"> □ 일 시공량 :  Q =  63 m3/일  </t>
  </si>
  <si>
    <t>_x0007_'○콘크리트공:'&amp;L00007L&amp; * 3.0'인'/ Q :=A01 '원/m3'</t>
  </si>
  <si>
    <t>L00007L</t>
  </si>
  <si>
    <t>_x0007_'○보통인부 :'&amp;L00016L&amp; * 1.0'인' / Q :=A01 '원/m3'</t>
  </si>
  <si>
    <t>_x0007_'2. 공구손료 및 경장비 기계손료'</t>
  </si>
  <si>
    <t xml:space="preserve"> 2. 공구손료 및 경장비 기계손료 </t>
  </si>
  <si>
    <t>_x0007_ '공구손료 :' &amp;PA01:S&amp; * 2'%'=</t>
  </si>
  <si>
    <t>PR_1</t>
  </si>
  <si>
    <t>_x0007_'3. 굴삭기 (06m3)'</t>
  </si>
  <si>
    <t xml:space="preserve"> 3. 굴삭기 (06m3) </t>
  </si>
  <si>
    <t xml:space="preserve"> □ 시간당 시공량 :  q1 = Q / 8 = 7.88  m3/hr </t>
  </si>
  <si>
    <t>_x0007_'※ 건설표준품셈(공통) : 6-3-3 적용'</t>
  </si>
  <si>
    <t xml:space="preserve"> ※ 건설표준품셈(공통) : 6-3-3 적용 </t>
  </si>
  <si>
    <t>_x0007_'□ 일 시공량 :' Q = 40 'm2/일 '</t>
  </si>
  <si>
    <t xml:space="preserve"> □ 일 시공량 :  Q = 40  m2/일  </t>
  </si>
  <si>
    <t>_x0007_'1. 인부'</t>
  </si>
  <si>
    <t xml:space="preserve"> 1. 인부 </t>
  </si>
  <si>
    <t>_x0007_'○ 형틀목공:'</t>
  </si>
  <si>
    <t xml:space="preserve"> ○ 형틀목공: </t>
  </si>
  <si>
    <t>_x0007_  &amp;L00002L&amp; * 4.0'인' / Q :=A01 '원/m2'</t>
  </si>
  <si>
    <t>L00002L</t>
  </si>
  <si>
    <t>_x0007_   &amp;L00016L&amp; * 1.0'인' / Q :=A01 '원/m2'</t>
  </si>
  <si>
    <t>_x0007_ '공구손료 :' &amp;PA01:S&amp; * 3'%'=</t>
  </si>
  <si>
    <t xml:space="preserve">_x0007_ </t>
  </si>
  <si>
    <t>_x0007_ (=)</t>
  </si>
  <si>
    <t>_x0007_ (==)</t>
  </si>
  <si>
    <t>_x0007_'□ 일 시공량 :' Q = 35 'm2/일 '</t>
  </si>
  <si>
    <t xml:space="preserve"> □ 일 시공량 :  Q = 35  m2/일  </t>
  </si>
  <si>
    <t>_x0007_'※ 건설표준품셈(토목) : 1-6-2 적용'</t>
  </si>
  <si>
    <t xml:space="preserve"> ※ 건설표준품셈(토목) : 1-6-2 적용 </t>
  </si>
  <si>
    <t>_x0007_'□ 일 시공량 :' Q = 50'm3/일 '</t>
  </si>
  <si>
    <t xml:space="preserve"> □ 일 시공량 :  Q = 50 m3/일  </t>
  </si>
  <si>
    <t>_x0007_'○ 포장공:'</t>
  </si>
  <si>
    <t xml:space="preserve"> ○ 포장공: </t>
  </si>
  <si>
    <t>_x0007_  &amp;L00025L&amp; * 4.0'인' / Q :=A01 '원/m3'</t>
  </si>
  <si>
    <t>L00025L</t>
  </si>
  <si>
    <t>L00025_1</t>
  </si>
  <si>
    <t>_x0007_   &amp;L00016L&amp; * 2.0'인' / Q :=A01 '원/m3'</t>
  </si>
  <si>
    <t>_x0007_ '◇작업조건 : '</t>
  </si>
  <si>
    <t xml:space="preserve">  ◇작업조건 :  </t>
  </si>
  <si>
    <t>_x0007_ '계곡 및 현장에 매몰되어 있는 곳에서'</t>
  </si>
  <si>
    <t xml:space="preserve">  계곡 및 현장에 매몰되어 있는 곳에서 </t>
  </si>
  <si>
    <t>_x0007_ '굴삭기(0.7m3) 버켓용량(q)1회 5개 적용'</t>
  </si>
  <si>
    <t xml:space="preserve">  굴삭기(0.7m3) 버켓용량(q)1회 5개 적용 </t>
  </si>
  <si>
    <t>_x0007_'(1) 채집 : 굴삭기 0.7㎥ (100%)'</t>
  </si>
  <si>
    <t xml:space="preserve"> (1) 채집 : 굴삭기 0.7㎥ (100%) </t>
  </si>
  <si>
    <t>_x0007_ q'(버킷용량)' = 5/17 ='m2'</t>
  </si>
  <si>
    <t xml:space="preserve"> q (버킷용량)  = 5/17 = 0.29 m2 </t>
  </si>
  <si>
    <t>_x0007_ f'(토량환산계수)' = 1</t>
  </si>
  <si>
    <t xml:space="preserve"> f (토량환산계수)  = 1</t>
  </si>
  <si>
    <t>_x0007_ K'( 버킷계수 )' = 0.55</t>
  </si>
  <si>
    <t xml:space="preserve"> K ( 버킷계수 )  = 0.55</t>
  </si>
  <si>
    <t>_x0007_ Cm'(1회 사이클 시간)' = 20'sec (135˚)'</t>
  </si>
  <si>
    <t xml:space="preserve"> Cm (1회 사이클 시간)  = 20 sec (135˚) </t>
  </si>
  <si>
    <t>_x0007_ E'(작업효율)' = 0.45</t>
  </si>
  <si>
    <t xml:space="preserve"> E (작업효율)  = 0.45</t>
  </si>
  <si>
    <t>_x0007_ Q'(시간당 작업량)' = 3600*q*K*f*E/Cm ='m2/hr'</t>
  </si>
  <si>
    <t xml:space="preserve"> Q (시간당 작업량)  = 3600*q*K*f*E/Cm = 12.92 m2/hr </t>
  </si>
  <si>
    <t>_x0007_'노 무 비  :'&amp;X00270L&amp; / Q  =</t>
  </si>
  <si>
    <t>_x0007_'재 료 비  :'&amp;X00270M&amp; / Q  =</t>
  </si>
  <si>
    <t>_x0007_'경    비  :'&amp;X00270S&amp; / Q  =</t>
  </si>
  <si>
    <t>_x0007_'(2) 상차 '</t>
  </si>
  <si>
    <t xml:space="preserve"> (2) 상차  </t>
  </si>
  <si>
    <t>_x0007_ K'( 버킷계수 )' = 0.7</t>
  </si>
  <si>
    <t xml:space="preserve"> K ( 버킷계수 )  = 0.7</t>
  </si>
  <si>
    <t>_x0007_ Cm1'(1회 사이클 시간)' = 18'sec (90˚)'</t>
  </si>
  <si>
    <t xml:space="preserve"> Cm1 (1회 사이클 시간)  = 18 sec (90˚) </t>
  </si>
  <si>
    <t>_x0007_ E1'(작업효율)' = 0.45</t>
  </si>
  <si>
    <t xml:space="preserve"> E1 (작업효율)  = 0.45</t>
  </si>
  <si>
    <t>_x0007_ Q'(시간당 작업량)'= 3600*q*K*f*E1/Cm1 ='m2/hr'</t>
  </si>
  <si>
    <t xml:space="preserve"> Q (시간당 작업량) = 3600*q*K*f*E1/Cm1 = 18.27 m2/hr </t>
  </si>
  <si>
    <t>_x0007_'(3) 운 반 (덤프2.5톤)'</t>
  </si>
  <si>
    <t xml:space="preserve"> (3) 운 반 (덤프2.5톤) </t>
  </si>
  <si>
    <t>_x0007_L'(운반거리)' = 0.2 'Km'</t>
  </si>
  <si>
    <t xml:space="preserve">L (운반거리)  = 0.2  Km </t>
  </si>
  <si>
    <t>_x0007_f'(체적환산계수)' = 1</t>
  </si>
  <si>
    <t>f (체적환산계수)  = 1</t>
  </si>
  <si>
    <t>_x0007_q1'(덤프 1회적재량)' =2.5 / 0.91 = 'm2'</t>
  </si>
  <si>
    <t xml:space="preserve">q1 (덤프 1회적재량)  =2.5 / 0.91 = 2.75  m2 </t>
  </si>
  <si>
    <t>_x0007_k'( 버킷계수 )' = 0.7</t>
  </si>
  <si>
    <t>k ( 버킷계수 )  = 0.7</t>
  </si>
  <si>
    <t>_x0007_q2'(적재기계 1회 적재량)' = 5/17 = 'm2'</t>
  </si>
  <si>
    <t xml:space="preserve">q2 (적재기계 1회 적재량)  = 5/17 = 0.29  m2 </t>
  </si>
  <si>
    <t>_x0007_n'(트럭에 적재하는데 적재시간의 사이클횟수)'=q1/(q2 * k) = '회'</t>
  </si>
  <si>
    <t xml:space="preserve">n (트럭에 적재하는데 적재시간의 사이클횟수) =q1/(q2 * k) = 13.55  회 </t>
  </si>
  <si>
    <t>_x0007_t1'(적재시간)' = Cm1 * n / (60 * E1) ='분'</t>
  </si>
  <si>
    <t xml:space="preserve">t1 (적재시간)  = Cm1 * n / (60 * E1) = 9.03 분 </t>
  </si>
  <si>
    <t>_x0007_t2'(왕복시간)' =(L/10+L/15) * 60 ='분'</t>
  </si>
  <si>
    <t xml:space="preserve">t2 (왕복시간)  =(L/10+L/15) * 60 = 2.00 분 </t>
  </si>
  <si>
    <t>_x0007_t3'(적하시간)' = 0.8'분'</t>
  </si>
  <si>
    <t xml:space="preserve">t3 (적하시간)  = 0.8 분 </t>
  </si>
  <si>
    <t>_x0007_t4'(적재 시 대기시간)' = 0.7'분'</t>
  </si>
  <si>
    <t xml:space="preserve">t4 (적재 시 대기시간)  = 0.7 분 </t>
  </si>
  <si>
    <t>_x0007_Cm'(1회 사이클 시간)' = t1 + t2 + t3 + t4 ='분'</t>
  </si>
  <si>
    <t xml:space="preserve">Cm (1회 사이클 시간)  = t1 + t2 + t3 + t4 = 12.53 분 </t>
  </si>
  <si>
    <t>_x0007_Q'(시간당 작업량)' = 60 * q1 * f * E / Cm ='m2/hr'</t>
  </si>
  <si>
    <t xml:space="preserve">Q (시간당 작업량)  = 60 * q1 * f * E / Cm = 11.85 m2/hr </t>
  </si>
  <si>
    <t>_x0007_'노 무 비  :'  &amp;X00272L&amp; / Q =</t>
  </si>
  <si>
    <t>X00272L</t>
  </si>
  <si>
    <t>X00272_1</t>
  </si>
  <si>
    <t>_x0007_'재 료 비  :'  &amp;X00272M&amp; / Q * (Cm-t1)/Cm =</t>
  </si>
  <si>
    <t>X00272M</t>
  </si>
  <si>
    <t>_x0007_'경    비  :'  &amp;X00272S&amp; / Q =</t>
  </si>
  <si>
    <t>X00272S</t>
  </si>
  <si>
    <t>_x0007_'※ 건설표준품셈(공통) : 3-2-4 적용'</t>
  </si>
  <si>
    <t xml:space="preserve"> ※ 건설표준품셈(공통) : 3-2-4 적용 </t>
  </si>
  <si>
    <t>_x0007_'□ 일 시공량 :' Q =  190'm3/일 '</t>
  </si>
  <si>
    <t xml:space="preserve"> □ 일 시공량 :  Q =  190 m3/일  </t>
  </si>
  <si>
    <t>_x0007_'※ 작업조건 : Type-Ⅲ (협소)   '</t>
  </si>
  <si>
    <t xml:space="preserve"> ※ 작업조건 : Type-Ⅲ (협소)    </t>
  </si>
  <si>
    <t>_x0007_'1.  굴착기 (0.6m3)'</t>
  </si>
  <si>
    <t xml:space="preserve"> 1.  굴착기 (0.6m3) </t>
  </si>
  <si>
    <t xml:space="preserve"> □ 시간당 시공량 :  q1 = Q / 8 = 23.75  m3/hr </t>
  </si>
  <si>
    <t>_x0007_'※ 건설표준품셈(공통) : 3-2-6 적용'</t>
  </si>
  <si>
    <t xml:space="preserve"> ※ 건설표준품셈(공통) : 3-2-6 적용 </t>
  </si>
  <si>
    <t>_x0007_'□ 일 시공량 :' Q =  290'm3/일 '</t>
  </si>
  <si>
    <t xml:space="preserve"> □ 일 시공량 :  Q =  290 m3/일  </t>
  </si>
  <si>
    <t>_x0007_'1)  굴착기 (0.6m3)'</t>
  </si>
  <si>
    <t xml:space="preserve"> 1)  굴착기 (0.6m3) </t>
  </si>
  <si>
    <t xml:space="preserve"> □ 시간당 시공량 :  q1 = Q / 8 = 36.25  m3/hr </t>
  </si>
  <si>
    <t>_x0007_'2) 인력   '</t>
  </si>
  <si>
    <t xml:space="preserve"> 2) 인력    </t>
  </si>
  <si>
    <t>_x0007_'가) 적상 (굴착기 0.6m3 )  '</t>
  </si>
  <si>
    <t xml:space="preserve"> 가) 적상 (굴착기 0.6m3 )   </t>
  </si>
  <si>
    <t>_x0007_q'(버킷용량'= 0.6</t>
  </si>
  <si>
    <t>q (버킷용량 = 0.6</t>
  </si>
  <si>
    <t>_x0007_f'(토량 체적 환산계수)'= 1</t>
  </si>
  <si>
    <t>f (토량 체적 환산계수) = 1</t>
  </si>
  <si>
    <t>_x0007_K'(버킷계수)' = 0.9</t>
  </si>
  <si>
    <t>K (버킷계수)  = 0.9</t>
  </si>
  <si>
    <t>_x0007_Cm'(1회 사이클 시간(초)'= 18'sec (90˚)'</t>
  </si>
  <si>
    <t xml:space="preserve">Cm (1회 사이클 시간(초) = 18 sec (90˚) </t>
  </si>
  <si>
    <t>_x0007_E'(작업효율)' = 0.8</t>
  </si>
  <si>
    <t>E (작업효율)  = 0.8</t>
  </si>
  <si>
    <t>_x0007_Q'(시간당 작업량)'= 3600*q*K*f*E/Cm ='m3/hr'</t>
  </si>
  <si>
    <t xml:space="preserve">Q (시간당 작업량) = 3600*q*K*f*E/Cm = 86.40 m3/hr </t>
  </si>
  <si>
    <t>_x0007_'노 무 비  :'&amp;X00283L&amp; / Q =</t>
  </si>
  <si>
    <t>_x0007_'재 료 비  :'&amp;X00283M&amp; / Q =</t>
  </si>
  <si>
    <t>_x0007_'경    비  :'&amp;X00283S&amp; / Q =</t>
  </si>
  <si>
    <t>_x0007_ '◇임도품셈 2-3 적용'</t>
  </si>
  <si>
    <t xml:space="preserve">  ◇임도품셈 2-3 적용 </t>
  </si>
  <si>
    <t xml:space="preserve">_x0007_  </t>
  </si>
  <si>
    <t>_x0007_'▷ 보통인부 소요인부 :' A = 0.05 '인/100m2'</t>
  </si>
  <si>
    <t xml:space="preserve"> ▷ 보통인부 소요인부 :  A = 0.05  인/100m2 </t>
  </si>
  <si>
    <t>_x0007_'▷ 굴삭기(0.7m3) 소요시간 :' B = 0.7 'hr/100m2'</t>
  </si>
  <si>
    <t xml:space="preserve"> ▷ 굴삭기(0.7m3) 소요시간 :  B = 0.7  hr/100m2 </t>
  </si>
  <si>
    <t>_x0007_'1) 작업인부'</t>
  </si>
  <si>
    <t xml:space="preserve"> 1) 작업인부 </t>
  </si>
  <si>
    <t>_x0007_'보통인부 :'&amp;L00016&amp; * A/100 =</t>
  </si>
  <si>
    <t>_x0007_'2) 굴삭기(07'</t>
  </si>
  <si>
    <t xml:space="preserve"> 2) 굴삭기(07 </t>
  </si>
  <si>
    <t>_x0007_'노 무 비 : '&amp;X00022L&amp; * B/100 =</t>
  </si>
  <si>
    <t>_x0007_'재 료 비 : '&amp;X00022M&amp; * B/100 =</t>
  </si>
  <si>
    <t>_x0007_'경    비 : '&amp;X00022S&amp; * B/100 =</t>
  </si>
  <si>
    <t>_x0007_'○ 건설품셈 8-2-3'</t>
  </si>
  <si>
    <t xml:space="preserve"> ○ 건설품셈 8-2-3 </t>
  </si>
  <si>
    <t>_x0007_'굴삭기 0.7m3'</t>
  </si>
  <si>
    <t xml:space="preserve"> 굴삭기 0.7m3 </t>
  </si>
  <si>
    <t>_x0007_q'(버킷용량)'= 0.7</t>
  </si>
  <si>
    <t>q (버킷용량) = 0.7</t>
  </si>
  <si>
    <t>_x0007_f'(체적 환산계수)'= 1/1.3 =</t>
  </si>
  <si>
    <t>f (체적 환산계수) = 1/1.3 = 0.77</t>
  </si>
  <si>
    <t>_x0007_K'(버킷계수)'= 0.7</t>
  </si>
  <si>
    <t>K (버킷계수) = 0.7</t>
  </si>
  <si>
    <t>_x0007_Cm'(사이클 시간)' = 20'sec (135˚) '</t>
  </si>
  <si>
    <t xml:space="preserve">Cm (사이클 시간)  = 20 sec (135˚)  </t>
  </si>
  <si>
    <t>_x0007_E'(작업효율)' = 0.6</t>
  </si>
  <si>
    <t>E (작업효율)  = 0.6</t>
  </si>
  <si>
    <t xml:space="preserve">Q (시간당 작업량) = 3600*q*K*f*E/Cm = 40.75 m3/hr </t>
  </si>
  <si>
    <t>_x0007_'(1) 연암 절취(대형브레이카+굴삭기 0.7m3)'</t>
  </si>
  <si>
    <t xml:space="preserve"> (1) 연암 절취(대형브레이카+굴삭기 0.7m3) </t>
  </si>
  <si>
    <t>_x0007_Q'(시간당 작업량)' = 5.0 '㎥/hr'</t>
  </si>
  <si>
    <t xml:space="preserve">Q (시간당 작업량)  = 5.0  ㎥/hr </t>
  </si>
  <si>
    <t>_x0007_'노 무 비  :'  &amp;X00004L&amp; / Q =</t>
  </si>
  <si>
    <t>_x0007_'재 료 비  :'  &amp;X00004M&amp; / Q =</t>
  </si>
  <si>
    <t>_x0007_'경    비  :'  &amp;X00004S&amp; / Q =</t>
  </si>
  <si>
    <t>_x0007_'(2) 치즐 손료 '</t>
  </si>
  <si>
    <t xml:space="preserve"> (2) 치즐 손료  </t>
  </si>
  <si>
    <t>_x0007_'(3) 집적  (굴삭기 0.7 ㎥ 50% 적용) '</t>
  </si>
  <si>
    <t xml:space="preserve"> (3) 집적  (굴삭기 0.7 ㎥ 50% 적용)  </t>
  </si>
  <si>
    <t xml:space="preserve"> Q1 (시간당 작업량)  = 3600*q*K*f*E/Cm = 22.14 m3/hr </t>
  </si>
  <si>
    <t>_x0007_'노 무 비  :'  &amp;X00270L&amp; / Q1 *0.5 =</t>
  </si>
  <si>
    <t>_x0007_'재 료 비  :'  &amp;X00270M&amp; / Q1 *0.5 =</t>
  </si>
  <si>
    <t>_x0007_'경    비  :'  &amp;X00270S&amp; / Q1 *0.5 =</t>
  </si>
  <si>
    <t>_x0007_'○ 건설품셈 공통부분 8-2-3'</t>
  </si>
  <si>
    <t xml:space="preserve"> ○ 건설품셈 공통부분 8-2-3 </t>
  </si>
  <si>
    <t>_x0007_ q '(버킷용량)'= 0.4</t>
  </si>
  <si>
    <t xml:space="preserve"> q  (버킷용량) = 0.4</t>
  </si>
  <si>
    <t>_x0007_ f'(토량 체적 환산계수)' = 1/1.3 =</t>
  </si>
  <si>
    <t xml:space="preserve"> f (토량 체적 환산계수)  = 1/1.3 = 0.77</t>
  </si>
  <si>
    <t>_x0007_ K'(버킷계수)' = 0.7=</t>
  </si>
  <si>
    <t xml:space="preserve"> K (버킷계수)  = 0.7= 0.70</t>
  </si>
  <si>
    <t>_x0007_ Cm'(1회 사이클 시간)' = 18'sec (135˚)'</t>
  </si>
  <si>
    <t xml:space="preserve"> Cm (1회 사이클 시간)  = 18 sec (135˚) </t>
  </si>
  <si>
    <t>_x0007_ E '(작업효율)'= 0.7 - 0.05 =</t>
  </si>
  <si>
    <t xml:space="preserve"> E  (작업효율) = 0.7 - 0.05 = 0.65</t>
  </si>
  <si>
    <t>_x0007_ Q'(시간당 작업량)' = 3600*q*K*f*E/Cm ='m3/hr'</t>
  </si>
  <si>
    <t xml:space="preserve"> Q (시간당 작업량)  = 3600*q*K*f*E/Cm = 28.03 m3/hr </t>
  </si>
  <si>
    <t>_x0007_'노 무 비  :'&amp;X00021L&amp; / Q  =</t>
  </si>
  <si>
    <t>X00021L</t>
  </si>
  <si>
    <t>X00021_1</t>
  </si>
  <si>
    <t>_x0007_'재 료 비  :'&amp;X00021M&amp; / Q  =</t>
  </si>
  <si>
    <t>X00021M</t>
  </si>
  <si>
    <t>_x0007_'경    비  :'&amp;X00021S&amp; / Q  =</t>
  </si>
  <si>
    <t>X00021S</t>
  </si>
  <si>
    <t>_x0007_'옆도랑파기 (연암)'</t>
  </si>
  <si>
    <t xml:space="preserve"> 옆도랑파기 (연암) </t>
  </si>
  <si>
    <t>_x0007_'1) 터 파 기(굴삭기0.7 m3+대형브레이카)'</t>
  </si>
  <si>
    <t xml:space="preserve"> 1) 터 파 기(굴삭기0.7 m3+대형브레이카) </t>
  </si>
  <si>
    <t>_x0007_Q = 3.5 '㎥/hr'</t>
  </si>
  <si>
    <t xml:space="preserve">Q = 3.5  ㎥/hr </t>
  </si>
  <si>
    <t>_x0007_ S = 0.006</t>
  </si>
  <si>
    <t xml:space="preserve"> S = 0.006</t>
  </si>
  <si>
    <t>_x0007_  S*(&amp;S00174&amp;*1000)/ Q ='W/㎥'</t>
  </si>
  <si>
    <t>_x0007_'(3) 집적 (굴삭기 0.4 ㎥) '</t>
  </si>
  <si>
    <t xml:space="preserve"> (3) 집적 (굴삭기 0.4 ㎥)  </t>
  </si>
  <si>
    <t>_x0007_'※건설표준품셈 11-3(굴삭기) 적용'</t>
  </si>
  <si>
    <t xml:space="preserve"> ※건설표준품셈 11-3(굴삭기) 적용 </t>
  </si>
  <si>
    <t>_x0007_ f'(토량 체적 환산계수)' = 1 /1.4 =</t>
  </si>
  <si>
    <t xml:space="preserve"> f (토량 체적 환산계수)  = 1 /1.4 = 0.71</t>
  </si>
  <si>
    <t>_x0007_ Cm'(1회 사이클 시간)' = 18 'sec (135˚)'</t>
  </si>
  <si>
    <t xml:space="preserve"> Cm (1회 사이클 시간)  = 18  sec (135˚) </t>
  </si>
  <si>
    <t xml:space="preserve"> Q1 (시간당 작업량)  = 3600*q*K*f*E/Cm = 14.06 m3/hr </t>
  </si>
  <si>
    <t>_x0007_'노 무 비  :'  &amp;X00021L&amp; / Q1  =</t>
  </si>
  <si>
    <t>_x0007_'재 료 비  :'  &amp;X00021M&amp; / Q1  =</t>
  </si>
  <si>
    <t>_x0007_'경    비  :'  &amp;X00021S&amp; / Q1  =</t>
  </si>
  <si>
    <t>_x0007_'도자 19 Ton '  '('L1= 45 'm)'</t>
  </si>
  <si>
    <t xml:space="preserve"> 도자 19 Ton     ( L1= 45  m) </t>
  </si>
  <si>
    <t>_x0007_ L = L1-20='m'</t>
  </si>
  <si>
    <t xml:space="preserve"> L = L1-20= 25.00 m </t>
  </si>
  <si>
    <t>_x0007_ f = 0.9/1.25 =</t>
  </si>
  <si>
    <t xml:space="preserve"> f = 0.9/1.25 = 0.72</t>
  </si>
  <si>
    <t>_x0007_ E=0.6 ,   qo=3.2</t>
  </si>
  <si>
    <t xml:space="preserve"> E=0.6 ,   qo=3.2</t>
  </si>
  <si>
    <t>_x0007_ eo=0.92</t>
  </si>
  <si>
    <t xml:space="preserve"> eo=0.92</t>
  </si>
  <si>
    <t>_x0007_'▷eo값 : 운반거리10m이하=1.0, 20m=0.96'</t>
  </si>
  <si>
    <t xml:space="preserve"> ▷eo값 : 운반거리10m이하=1.0, 20m=0.96 </t>
  </si>
  <si>
    <t>_x0007_           '30m=0.92, 40m=0.88'</t>
  </si>
  <si>
    <t xml:space="preserve">            30m=0.92, 40m=0.88 </t>
  </si>
  <si>
    <t>_x0007_ P=qo*eo=</t>
  </si>
  <si>
    <t xml:space="preserve"> P=qo*eo= 2.94</t>
  </si>
  <si>
    <t>_x0007_ V1= 55'm/min', V2 = 70'm/min'</t>
  </si>
  <si>
    <t xml:space="preserve"> V1= 55 m/min , V2 = 70 m/min </t>
  </si>
  <si>
    <t>_x0007_ Cm = L/V1 + L/V2 + 0.25 ='분'</t>
  </si>
  <si>
    <t xml:space="preserve"> Cm = L/V1 + L/V2 + 0.25 = 1.06 분 </t>
  </si>
  <si>
    <t>_x0007_ Q = 60 * P * f * E / Cm ='m3/hr'</t>
  </si>
  <si>
    <t xml:space="preserve"> Q = 60 * P * f * E / Cm = 71.89 m3/hr </t>
  </si>
  <si>
    <t>_x0007_'노 무 비  :'  &amp;X00008L&amp; / Q =</t>
  </si>
  <si>
    <t>X00008L</t>
  </si>
  <si>
    <t>X00008_1</t>
  </si>
  <si>
    <t>_x0007_'재 료 비  :'  &amp;X00008M&amp; / Q =</t>
  </si>
  <si>
    <t>X00008M</t>
  </si>
  <si>
    <t>_x0007_'경    비  :'  &amp;X00008S&amp; / Q =</t>
  </si>
  <si>
    <t>X00008S</t>
  </si>
  <si>
    <t>_x0007_'  도자 19 Ton '  '('L1 = 45 'm)'</t>
  </si>
  <si>
    <t xml:space="preserve">   도자 19 Ton     ( L1 = 45  m) </t>
  </si>
  <si>
    <t>_x0007_ f = 1.15/1.4 =</t>
  </si>
  <si>
    <t xml:space="preserve"> f = 1.15/1.4 = 0.82</t>
  </si>
  <si>
    <t>_x0007_ E=0.35, qo=3.2</t>
  </si>
  <si>
    <t xml:space="preserve"> E=0.35, qo=3.2</t>
  </si>
  <si>
    <t>_x0007_ eo= 0.92</t>
  </si>
  <si>
    <t xml:space="preserve"> eo= 0.92</t>
  </si>
  <si>
    <t xml:space="preserve"> Q = 60 * P * f * E / Cm = 47.76 m3/hr </t>
  </si>
  <si>
    <t>_x0007_'유용토운반 덤프+굴삭기'</t>
  </si>
  <si>
    <t xml:space="preserve"> 유용토운반 덤프+굴삭기 </t>
  </si>
  <si>
    <t>_x0007_'운반거리: ' L = 0.085 'km'</t>
  </si>
  <si>
    <t xml:space="preserve"> 운반거리:   L = 0.085  km </t>
  </si>
  <si>
    <t>_x0007_'1) 적상 (굴삭기 0.70 m3 )   '</t>
  </si>
  <si>
    <t xml:space="preserve"> 1) 적상 (굴삭기 0.70 m3 )    </t>
  </si>
  <si>
    <t>_x0007_q = 0.7 , k = 0.7 , f =0.9/1.25 =</t>
  </si>
  <si>
    <t>q = 0.7 , k = 0.7 , f =0.9/1.25 = 0.72</t>
  </si>
  <si>
    <t>_x0007_E = 0.5 , Cm = 20 'sec(135)'</t>
  </si>
  <si>
    <t xml:space="preserve">E = 0.5 , Cm = 20  sec(135) </t>
  </si>
  <si>
    <t>_x0007_Q = 3600*q*k*E*f/Cm ='m3/hr'</t>
  </si>
  <si>
    <t xml:space="preserve">Q = 3600*q*k*E*f/Cm = 31.75 m3/hr </t>
  </si>
  <si>
    <t>_x0007_'노 무 비  :'  &amp;X00022L&amp; / Q  =</t>
  </si>
  <si>
    <t>_x0007_'재 료 비  :'  &amp;X00022M&amp; / Q  =</t>
  </si>
  <si>
    <t>_x0007_'경    비  :'  &amp;X00022S&amp; / Q  =</t>
  </si>
  <si>
    <t>_x0007_'2) 운반 : 덤프 15Ton) '</t>
  </si>
  <si>
    <t xml:space="preserve"> 2) 운반 : 덤프 15Ton)  </t>
  </si>
  <si>
    <t>_x0007_ k = 0.7 , E = 0.9, F = 0.9/1.25 =</t>
  </si>
  <si>
    <t xml:space="preserve"> k = 0.7 , E = 0.9, F = 0.9/1.25 = 0.72</t>
  </si>
  <si>
    <t>_x0007_ q1 = (15/1.7) * 1.3 =</t>
  </si>
  <si>
    <t xml:space="preserve"> q1 = (15/1.7) * 1.3 = 11.47</t>
  </si>
  <si>
    <t>_x0007_ n = q1 / (0.70 * k) = '회'</t>
  </si>
  <si>
    <t xml:space="preserve"> n = q1 / (0.70 * k) = 23.41  회 </t>
  </si>
  <si>
    <t>_x0007_ t1 = 20 * n / (60 * 0.5) ='분'</t>
  </si>
  <si>
    <t xml:space="preserve"> t1 = 20 * n / (60 * 0.5) = 15.61 분 </t>
  </si>
  <si>
    <t>_x0007_ t2 = (L/7+L/8)* 60 ='분'</t>
  </si>
  <si>
    <t xml:space="preserve"> t2 = (L/7+L/8)* 60 = 1.37 분 </t>
  </si>
  <si>
    <t>_x0007_ t3 = 1.1 , t4 = 0.7</t>
  </si>
  <si>
    <t xml:space="preserve"> t3 = 1.1 , t4 = 0.7</t>
  </si>
  <si>
    <t>_x0007_ Cm = t1 + t2 + t3 + t4  =</t>
  </si>
  <si>
    <t xml:space="preserve"> Cm = t1 + t2 + t3 + t4  = 18.78</t>
  </si>
  <si>
    <t>_x0007_ Q1 = 60 * q1 * F * E / Cm ='m3/hr'</t>
  </si>
  <si>
    <t xml:space="preserve"> Q1 = 60 * q1 * F * E / Cm = 23.75 m3/hr </t>
  </si>
  <si>
    <t>_x0007_'노 무 비  :'  &amp;X00064L&amp; / Q1  =</t>
  </si>
  <si>
    <t>X00064L</t>
  </si>
  <si>
    <t>X00064_1</t>
  </si>
  <si>
    <t>_x0007_'재 료 비  :'  &amp;X00064M&amp; / Q1 *(Cm-t1)/Cm =</t>
  </si>
  <si>
    <t>X00064M</t>
  </si>
  <si>
    <t>_x0007_'경    비  :'  &amp;X00064S&amp; / Q1  =</t>
  </si>
  <si>
    <t>X00064S</t>
  </si>
  <si>
    <t>_x0007_'3) 정지 (굴삭기 0.7m3) 1/3적용 '</t>
  </si>
  <si>
    <t xml:space="preserve"> 3) 정지 (굴삭기 0.7m3) 1/3적용  </t>
  </si>
  <si>
    <t>_x0007_q = 0.7 , k = 0.9 , f =1</t>
  </si>
  <si>
    <t>q = 0.7 , k = 0.9 , f =1</t>
  </si>
  <si>
    <t>_x0007_E = 0.65 , Cm = 18 'sec(90)'</t>
  </si>
  <si>
    <t xml:space="preserve">E = 0.65 , Cm = 18  sec(90) </t>
  </si>
  <si>
    <t xml:space="preserve">Q = 3600*q*k*E*f/Cm = 81.90 m3/hr </t>
  </si>
  <si>
    <t>_x0007_'노 무 비  :'  &amp;X00022L&amp; / Q / 3 =</t>
  </si>
  <si>
    <t>_x0007_'재 료 비  :'  &amp;X00022M&amp; / Q / 3 =</t>
  </si>
  <si>
    <t>_x0007_'경    비  :'  &amp;X00022S&amp; / Q / 3 =</t>
  </si>
  <si>
    <t>_x0007_'운반거리: ' L = 0.082'km'</t>
  </si>
  <si>
    <t xml:space="preserve"> 운반거리:   L = 0.082 km </t>
  </si>
  <si>
    <t>_x0007_q = 0.7 , k = 0.55 ,     E = 0.45</t>
  </si>
  <si>
    <t>q = 0.7 , k = 0.55 ,     E = 0.45</t>
  </si>
  <si>
    <t>_x0007_f =1.15/1.4 =</t>
  </si>
  <si>
    <t>f =1.15/1.4 = 0.82</t>
  </si>
  <si>
    <t>_x0007_Cm = 20 'sec(135)'</t>
  </si>
  <si>
    <t xml:space="preserve">Cm = 20  sec(135) </t>
  </si>
  <si>
    <t xml:space="preserve">Q = 3600*q*k*E*f/Cm = 25.57 m3/hr </t>
  </si>
  <si>
    <t>_x0007_'노 무 비  :'  &amp;X00270L&amp; / Q  =</t>
  </si>
  <si>
    <t>_x0007_'재 료 비  :'  &amp;X00270M&amp; / Q  =</t>
  </si>
  <si>
    <t>_x0007_'경    비  :'  &amp;X00270S&amp; / Q  =</t>
  </si>
  <si>
    <t>_x0007_'2) 운반 덤프 15 Ton '</t>
  </si>
  <si>
    <t xml:space="preserve"> 2) 운반 덤프 15 Ton  </t>
  </si>
  <si>
    <t>_x0007_ E = 0.9    , q1 = (15/2.0) * 1.4 =</t>
  </si>
  <si>
    <t xml:space="preserve"> E = 0.9    , q1 = (15/2.0) * 1.4 = 10.50</t>
  </si>
  <si>
    <t xml:space="preserve"> n = q1 / (0.70 * k) = 27.27  회 </t>
  </si>
  <si>
    <t>_x0007_ t1 = 20 * n / (60 * 0.45) ='분'</t>
  </si>
  <si>
    <t xml:space="preserve"> t1 = 20 * n / (60 * 0.45) = 20.20 분 </t>
  </si>
  <si>
    <t>_x0007_ t2 = (L/10+L/15)* 60 ='분'</t>
  </si>
  <si>
    <t xml:space="preserve"> t2 = (L/10+L/15)* 60 = 0.82 분 </t>
  </si>
  <si>
    <t xml:space="preserve"> Cm = t1 + t2 + t3 + t4  = 22.82</t>
  </si>
  <si>
    <t xml:space="preserve"> Q1 = 60 * q1 * F * E / Cm = 20.37 m3/hr </t>
  </si>
  <si>
    <t>_x0007_'노 무 비  :'  &amp;X00275L&amp; / Q1  =</t>
  </si>
  <si>
    <t>X00275L</t>
  </si>
  <si>
    <t>X00275_1</t>
  </si>
  <si>
    <t>_x0007_'재 료 비  :'  &amp;X00275M&amp; / Q1 *(Cm-t1)/Cm =</t>
  </si>
  <si>
    <t>X00275M</t>
  </si>
  <si>
    <t>_x0007_'경    비  :'  &amp;X00275S&amp; / Q1  =</t>
  </si>
  <si>
    <t>X00275S</t>
  </si>
  <si>
    <t>_x0007_q = 0.7 , k = 0.7 , f =1</t>
  </si>
  <si>
    <t>q = 0.7 , k = 0.7 , f =1</t>
  </si>
  <si>
    <t>_x0007_E = 0.45 , Cm = 18 'sec(90)'</t>
  </si>
  <si>
    <t xml:space="preserve">E = 0.45 , Cm = 18  sec(90) </t>
  </si>
  <si>
    <t>_x0007_Q3= 3600*q*k*E*f/Cm ='m3/hr'</t>
  </si>
  <si>
    <t xml:space="preserve">Q3= 3600*q*k*E*f/Cm = 44.10 m3/hr </t>
  </si>
  <si>
    <t>_x0007_'노 무 비  :'  &amp;X00270L&amp; / Q3/ 3 =</t>
  </si>
  <si>
    <t>_x0007_'재 료 비  :'  &amp;X00270M&amp; / Q3/ 3 =</t>
  </si>
  <si>
    <t>_x0007_'경    비  :'  &amp;X00270S&amp; / Q3/ 3 =</t>
  </si>
  <si>
    <t>_x0007_'유압식진동콤팩터 + 굴삭기 0.7m3'</t>
  </si>
  <si>
    <t xml:space="preserve"> 유압식진동콤팩터 + 굴삭기 0.7m3 </t>
  </si>
  <si>
    <t>_x0007_' ○.법면 다짐  '</t>
  </si>
  <si>
    <t xml:space="preserve">  ○.법면 다짐   </t>
  </si>
  <si>
    <t>_x0007_Q'(시간당 작업량)'=  77.7'm2/hr'</t>
  </si>
  <si>
    <t xml:space="preserve">Q (시간당 작업량) =  77.7 m2/hr </t>
  </si>
  <si>
    <t>_x0007_' 노 무 비  :' &amp;X00022L&amp; / Q   =</t>
  </si>
  <si>
    <t>_x0007_' 재 료 비  :' &amp;X00022M&amp; / Q    =</t>
  </si>
  <si>
    <t>_x0007_' 경    비  :' &amp;X00022S&amp; / Q    =</t>
  </si>
  <si>
    <t>_x0007_               &amp;X00032S&amp; / Q    =</t>
  </si>
  <si>
    <t>X00032S</t>
  </si>
  <si>
    <t>X00032_1</t>
  </si>
  <si>
    <t>_x0007_'※작업조건: 노면두께 10cm정도 버켓으로 고르기작업'</t>
  </si>
  <si>
    <t xml:space="preserve"> ※작업조건: 노면두께 10cm정도 버켓으로 고르기작업 </t>
  </si>
  <si>
    <t>_x0007_ '(1) 고르기 (굴삭기 0.6m3)'</t>
  </si>
  <si>
    <t xml:space="preserve">  (1) 고르기 (굴삭기 0.6m3) </t>
  </si>
  <si>
    <t>_x0007_q'(1회당 단위 작업량)'= 0.6 / 0.1 = 'm2'</t>
  </si>
  <si>
    <t xml:space="preserve">q (1회당 단위 작업량) = 0.6 / 0.1 = 6.00  m2 </t>
  </si>
  <si>
    <t>_x0007_f'(체적 환산계수)'= 1</t>
  </si>
  <si>
    <t>f (체적 환산계수) = 1</t>
  </si>
  <si>
    <t>_x0007_Cm'(사이클 시간)' = 18'sec (90˚) '</t>
  </si>
  <si>
    <t xml:space="preserve">Cm (사이클 시간)  = 18 sec (90˚)  </t>
  </si>
  <si>
    <t xml:space="preserve">Q (시간당 작업량) = 3600*q*K*f*E/Cm = 378.00 m3/hr </t>
  </si>
  <si>
    <t>_x0007_'노무비:'&amp;X00283L&amp; / Q =</t>
  </si>
  <si>
    <t>_x0007_'재료비:'&amp;X00283M&amp; / Q =</t>
  </si>
  <si>
    <t>_x0007_'경  비:'&amp;X00283S&amp; / Q =</t>
  </si>
  <si>
    <t>_x0007_ L'(운반거리)' = 0.175 'km'</t>
  </si>
  <si>
    <t xml:space="preserve"> L (운반거리)  = 0.175  km </t>
  </si>
  <si>
    <t>_x0007_'가) 적상 (굴삭기0.7 m3 )'</t>
  </si>
  <si>
    <t xml:space="preserve"> 가) 적상 (굴삭기0.7 m3 ) </t>
  </si>
  <si>
    <t>_x0007_q'(버킷용량)' = 0.7</t>
  </si>
  <si>
    <t>q (버킷용량)  = 0.7</t>
  </si>
  <si>
    <t>_x0007_f'(토량체적환산계수)'= 1</t>
  </si>
  <si>
    <t>f (토량체적환산계수) = 1</t>
  </si>
  <si>
    <t>_x0007_Cm'(1회 사이클 시간(초)'= 20'sec(135)'</t>
  </si>
  <si>
    <t xml:space="preserve">Cm (1회 사이클 시간(초) = 20 sec(135) </t>
  </si>
  <si>
    <t>_x0007_E '(작업효율)' = 0.65</t>
  </si>
  <si>
    <t>E  (작업효율)  = 0.65</t>
  </si>
  <si>
    <t>_x0007_Q'(시간당 작업량)'=3600*q*K*f*E/Cm ='m3/hr'</t>
  </si>
  <si>
    <t xml:space="preserve">Q (시간당 작업량) =3600*q*K*f*E/Cm = 73.71 m3/hr </t>
  </si>
  <si>
    <t>_x0007_'나) 운반  (덤프  15 Ton) '</t>
  </si>
  <si>
    <t xml:space="preserve"> 나) 운반  (덤프  15 Ton)  </t>
  </si>
  <si>
    <t>_x0007_E'(작업효율)'=0.9</t>
  </si>
  <si>
    <t>E (작업효율) =0.9</t>
  </si>
  <si>
    <t>_x0007_q1'(1회적재량)' = (15/1.70) * 1.25 =</t>
  </si>
  <si>
    <t>q1 (1회적재량)  = (15/1.70) * 1.25 = 11.03</t>
  </si>
  <si>
    <t>_x0007_N'(트럭에 적재하는데 적재시간의 사이클횟수)' = 15/ (0.7*K) = '회'</t>
  </si>
  <si>
    <t xml:space="preserve">N (트럭에 적재하는데 적재시간의 사이클횟수)  = 15/ (0.7*K) = 23.81  회 </t>
  </si>
  <si>
    <t>_x0007_t1'(적재시간)' = 22 * N / (60 * 0.5) =</t>
  </si>
  <si>
    <t>t1 (적재시간)  = 22 * N / (60 * 0.5) = 17.46</t>
  </si>
  <si>
    <t>_x0007_t2 '(왕복시간)' =(L/7+L/8)*60 ='분'</t>
  </si>
  <si>
    <t xml:space="preserve">t2  (왕복시간)  =(L/7+L/8)*60 = 2.81 분 </t>
  </si>
  <si>
    <t>_x0007_t3'(적하시간)'= 1.1'분'</t>
  </si>
  <si>
    <t xml:space="preserve">t3 (적하시간) = 1.1 분 </t>
  </si>
  <si>
    <t>_x0007_t4'(적재 시 대기시간)'= 0.7'분'</t>
  </si>
  <si>
    <t xml:space="preserve">t4 (적재 시 대기시간) = 0.7 분 </t>
  </si>
  <si>
    <t>_x0007_Cm1'(1회 사이클 시간)' = t1 + t2 + t3 + t4 ='분'</t>
  </si>
  <si>
    <t xml:space="preserve">Cm1 (1회 사이클 시간)  = t1 + t2 + t3 + t4 = 22.07 분 </t>
  </si>
  <si>
    <t>_x0007_Q1'(시간당 작업량)'= 60*q1*F*E /Cm1 ='m3/hr'</t>
  </si>
  <si>
    <t xml:space="preserve">Q1 (시간당 작업량) = 60*q1*F*E /Cm1 = 26.99 m3/hr </t>
  </si>
  <si>
    <t>_x0007_'노 무 비  :'  &amp;X00064L&amp; / Q1 =</t>
  </si>
  <si>
    <t>_x0007_'재 료 비  :'  &amp;X00064M&amp; / Q1*(Cm1-t1)/Cm1 =</t>
  </si>
  <si>
    <t>_x0007_'경    비  :'  &amp;X00064S&amp; / Q1 =</t>
  </si>
  <si>
    <t>_x0007_'다) 사토장정지 (굴삭기0.7m3) 1/3적용 '</t>
  </si>
  <si>
    <t xml:space="preserve"> 다) 사토장정지 (굴삭기0.7m3) 1/3적용  </t>
  </si>
  <si>
    <t>_x0007_f'(토량체적환산계수)' = 1</t>
  </si>
  <si>
    <t>f (토량체적환산계수)  = 1</t>
  </si>
  <si>
    <t>_x0007_Cm3'(1회 사이클 시간(초)'= 18 'sec(90)'</t>
  </si>
  <si>
    <t xml:space="preserve">Cm3 (1회 사이클 시간(초) = 18  sec(90) </t>
  </si>
  <si>
    <t>_x0007_Q3'(시간당 작업량)'=3600*q*k*E*f/Cm3 ='m3/hr'</t>
  </si>
  <si>
    <t xml:space="preserve">Q3 (시간당 작업량) =3600*q*k*E*f/Cm3 = 81.90 m3/hr </t>
  </si>
  <si>
    <t>_x0007_'노 무 비  :'  &amp;X00022L&amp; / Q3 / 3 =</t>
  </si>
  <si>
    <t>_x0007_'재 료 비  :'  &amp;X00022M&amp; / Q3 / 3 =</t>
  </si>
  <si>
    <t>_x0007_'경    비  :'  &amp;X00022S&amp; / Q3 / 3 =</t>
  </si>
  <si>
    <t>_x0007_'※ 건설품셈(토목) : 1-6-6 적용'</t>
  </si>
  <si>
    <t xml:space="preserve"> ※ 건설품셈(토목) : 1-6-6 적용 </t>
  </si>
  <si>
    <t>_x0007_'○ 일 작업량 :' Q1 = 600'm'</t>
  </si>
  <si>
    <t xml:space="preserve"> ○ 일 작업량 :  Q1 = 600 m </t>
  </si>
  <si>
    <t>_x0007_'1. 절단'</t>
  </si>
  <si>
    <t xml:space="preserve"> 1. 절단 </t>
  </si>
  <si>
    <t>_x0007_'○.블레이드(Φ320-400mm : t=3.2mm) :'</t>
  </si>
  <si>
    <t xml:space="preserve"> ○.블레이드(Φ320-400mm : t=3.2mm) : </t>
  </si>
  <si>
    <t>_x0007_   &amp;M00029M&amp; * 0.31 / 100 =</t>
  </si>
  <si>
    <t>M00029M</t>
  </si>
  <si>
    <t>M00029_1</t>
  </si>
  <si>
    <t>_x0007_'○.특별인부 :'</t>
  </si>
  <si>
    <t xml:space="preserve"> ○.특별인부 : </t>
  </si>
  <si>
    <t>_x0007_   &amp;L00015L&amp; * 1.0'인'/Q1 :=A01'원/m'</t>
  </si>
  <si>
    <t>L00015L</t>
  </si>
  <si>
    <t>_x0007_   &amp;L00016L&amp; * 1.0'인'/Q1 :=A01'원/m'</t>
  </si>
  <si>
    <t>_x0007_'○ 공구손료 및 경장비 기계손료'</t>
  </si>
  <si>
    <t xml:space="preserve"> ○ 공구손료 및 경장비 기계손료 </t>
  </si>
  <si>
    <t>_x0007_'2.살수비(물 운반)'</t>
  </si>
  <si>
    <t xml:space="preserve"> 2.살수비(물 운반) </t>
  </si>
  <si>
    <t>_x0007_'※ 100M당 물 3000ℓ 소요'</t>
  </si>
  <si>
    <t xml:space="preserve"> ※ 100M당 물 3000ℓ 소요 </t>
  </si>
  <si>
    <t>_x0007_M'(물 소요량)' = 3000/100= 'ℓ/m'</t>
  </si>
  <si>
    <t xml:space="preserve">M (물 소요량)  = 3000/100= 30.00  ℓ/m </t>
  </si>
  <si>
    <t>_x0007_ '물 :'&amp;M01054&amp; *  M =</t>
  </si>
  <si>
    <t>M01054_1</t>
  </si>
  <si>
    <t>_x0007_'3.동력분무기   '</t>
  </si>
  <si>
    <t xml:space="preserve"> 3.동력분무기    </t>
  </si>
  <si>
    <t>_x0007_  '노 무 비 : '&amp;X00751L&amp; / (Q1/8) * 0.5 =</t>
  </si>
  <si>
    <t>X00751L</t>
  </si>
  <si>
    <t>X00751_1</t>
  </si>
  <si>
    <t>_x0007_  '재 료 비 : '&amp;X00751M&amp; / (Q1/8) * 0.5 =</t>
  </si>
  <si>
    <t>X00751M</t>
  </si>
  <si>
    <t>_x0007_  '경    비 : '&amp;X00751S&amp; / (Q1/8) * 0.5 =</t>
  </si>
  <si>
    <t>X00751S</t>
  </si>
  <si>
    <t>_x0007_'4.컷트기 (320-400mm)'</t>
  </si>
  <si>
    <t xml:space="preserve"> 4.컷트기 (320-400mm) </t>
  </si>
  <si>
    <t>_x0007_ V'(작업 속도)' = Q1/8 ='m/hr'</t>
  </si>
  <si>
    <t xml:space="preserve"> V (작업 속도)  = Q1/8 = 75.00 m/hr </t>
  </si>
  <si>
    <t>_x0007_'노 무 비  :'&amp;X00352L&amp; / V  =</t>
  </si>
  <si>
    <t>X00352L</t>
  </si>
  <si>
    <t>X00352_1</t>
  </si>
  <si>
    <t>_x0007_'재 료 비  :'&amp;X00352M&amp; / V  =</t>
  </si>
  <si>
    <t>X00352M</t>
  </si>
  <si>
    <t>_x0007_'경    비  :'&amp;X00352S&amp; / V  =</t>
  </si>
  <si>
    <t>X00352S</t>
  </si>
  <si>
    <t>_x0007_'※ 건설품셈 토목 1-9-3 '</t>
  </si>
  <si>
    <t xml:space="preserve"> ※ 건설품셈 토목 1-9-3  </t>
  </si>
  <si>
    <t>_x0007_' 1.재료비  '</t>
  </si>
  <si>
    <t xml:space="preserve">  1.재료비   </t>
  </si>
  <si>
    <t>_x0007_'낙석방지책 :'&amp;M01324&amp; * 1'경간' =</t>
  </si>
  <si>
    <t>M01324_1</t>
  </si>
  <si>
    <t>_x0007_'2. 지주 설치비 '</t>
  </si>
  <si>
    <t xml:space="preserve"> 2. 지주 설치비  </t>
  </si>
  <si>
    <t>_x0007_'1일 작업량' N = 40 'ea'</t>
  </si>
  <si>
    <t xml:space="preserve"> 1일 작업량  N = 40  ea </t>
  </si>
  <si>
    <t>_x0007_'①인건비'</t>
  </si>
  <si>
    <t xml:space="preserve"> ①인건비 </t>
  </si>
  <si>
    <t>_x0007_'용접공 :'&amp;L00019&amp; * 1 / N =</t>
  </si>
  <si>
    <t>L00019_1</t>
  </si>
  <si>
    <t>_x0007_'특별인부 :'&amp;L00015&amp; * 3 / N =</t>
  </si>
  <si>
    <t>_x0007_'보통인부 :'&amp;L00016&amp; * 2 / N =</t>
  </si>
  <si>
    <t>_x0007_'② 크레인'</t>
  </si>
  <si>
    <t xml:space="preserve"> ② 크레인 </t>
  </si>
  <si>
    <t>_x0007_ '노 무 비 : '&amp;X00568L&amp; / N * 8'hr'=</t>
  </si>
  <si>
    <t>X00568L</t>
  </si>
  <si>
    <t>X00568_1</t>
  </si>
  <si>
    <t>_x0007_ '재 료 비 : '&amp;X00568M&amp; / N * 8'hr'=</t>
  </si>
  <si>
    <t>X00568M</t>
  </si>
  <si>
    <t>_x0007_ '경    비 : '&amp;X00568S&amp; / N * 8'hr'=</t>
  </si>
  <si>
    <t>X00568S</t>
  </si>
  <si>
    <t>_x0007_'3. 와이어 설치비 '</t>
  </si>
  <si>
    <t xml:space="preserve"> 3. 와이어 설치비  </t>
  </si>
  <si>
    <t>_x0007_ '1일 작업량' Q = 200'm', L= Q/10'열' ='m'</t>
  </si>
  <si>
    <t xml:space="preserve">  1일 작업량  Q = 200 m , L= Q/10 열  = 20.00 m </t>
  </si>
  <si>
    <t>_x0007_'특별인부:'&amp;L00015&amp; * 4 / Q * L  =</t>
  </si>
  <si>
    <t>_x0007_'보통인부 :'&amp;L00016&amp; *2 / Q * L =</t>
  </si>
  <si>
    <t>_x0007_'4. 철망 설치비 '</t>
  </si>
  <si>
    <t xml:space="preserve"> 4. 철망 설치비  </t>
  </si>
  <si>
    <t>_x0007_ '1일 작업량' Q1 = 360 'm2',  A = 5.2'm2'</t>
  </si>
  <si>
    <t xml:space="preserve">  1일 작업량  Q1 = 360  m2 ,  A = 5.2 m2 </t>
  </si>
  <si>
    <t>_x0007_'특별인부:'&amp;L00015&amp; * 4 / Q1 * A =</t>
  </si>
  <si>
    <t>_x0007_'보통인부:'&amp;L00016&amp; * 2 / Q1 * A =</t>
  </si>
  <si>
    <t>_x0007_'5. 공구손료 및 경장비의 기계경비'</t>
  </si>
  <si>
    <t xml:space="preserve"> 5. 공구손료 및 경장비의 기계경비 </t>
  </si>
  <si>
    <t>_x0007_'공구손료 :'&amp;S01045&amp; * 2'%' =</t>
  </si>
  <si>
    <t>S01045_1</t>
  </si>
  <si>
    <t>_x0007_(===)</t>
  </si>
  <si>
    <t>합계</t>
  </si>
  <si>
    <t>T3_1</t>
  </si>
  <si>
    <t>_x0007_'낙석방지책 :'&amp;M01325&amp; * 1'경간' =</t>
  </si>
  <si>
    <t>M01325_1</t>
  </si>
  <si>
    <t>_x0007_' ※  건설표준품셈 (공통) 8-2-13 '</t>
  </si>
  <si>
    <t xml:space="preserve">  ※  건설표준품셈 (공통) 8-2-13  </t>
  </si>
  <si>
    <t>_x0007_'무근 , 두께 30cm미만'</t>
  </si>
  <si>
    <t xml:space="preserve"> 무근 , 두께 30cm미만 </t>
  </si>
  <si>
    <t>_x0007_'1)굴삭기0.7 m3+대형브레이카'</t>
  </si>
  <si>
    <t xml:space="preserve"> 1)굴삭기0.7 m3+대형브레이카 </t>
  </si>
  <si>
    <t>_x0007_Q= (3.3 + 5.9 ) / 2 = '㎥/hr'</t>
  </si>
  <si>
    <t xml:space="preserve">Q= (3.3 + 5.9 ) / 2 = 4.60  ㎥/hr </t>
  </si>
  <si>
    <t>_x0007_'노 무 비  :'  &amp;X00022L&amp; / Q =</t>
  </si>
  <si>
    <t>_x0007_'재 료 비  :'  &amp;X00022M&amp; / Q =</t>
  </si>
  <si>
    <t>_x0007_'경    비  :'  &amp;X00022S&amp; / Q =</t>
  </si>
  <si>
    <t>_x0007_               &amp;X00029S&amp; / Q =</t>
  </si>
  <si>
    <t>X00029S</t>
  </si>
  <si>
    <t>X00029_1</t>
  </si>
  <si>
    <t>_x0007_'2)치즐 손료 '</t>
  </si>
  <si>
    <t xml:space="preserve"> 2)치즐 손료  </t>
  </si>
  <si>
    <t>_x0007_ S = 0.01</t>
  </si>
  <si>
    <t xml:space="preserve"> S = 0.01</t>
  </si>
  <si>
    <t>_x0007_ S * &amp;S00051&amp; / Q = 'W/㎥'</t>
  </si>
  <si>
    <t>S00051_1</t>
  </si>
  <si>
    <t>_x0007_'3)인부 '</t>
  </si>
  <si>
    <t xml:space="preserve"> 3)인부  </t>
  </si>
  <si>
    <t>_x0007_     &amp;L00016&amp; / Q / 8= 'W/㎥'</t>
  </si>
  <si>
    <t>_x0007_'※ 사방품셈 4-16-4'</t>
  </si>
  <si>
    <t xml:space="preserve"> ※ 사방품셈 4-16-4 </t>
  </si>
  <si>
    <t>_x0007_'1. 재료비 '</t>
  </si>
  <si>
    <t xml:space="preserve"> 1. 재료비  </t>
  </si>
  <si>
    <t>_x0007_'종자(초본류)  :'&amp;M01225&amp; * 0.001 =</t>
  </si>
  <si>
    <t>M01225_1</t>
  </si>
  <si>
    <t>_x0007_'종자(목본류)  :'&amp;M01226&amp; * 0.001 =</t>
  </si>
  <si>
    <t>M01226_1</t>
  </si>
  <si>
    <t>_x0007_'요소 :'&amp;M00056&amp; * 0.004 =</t>
  </si>
  <si>
    <t>M00056_1</t>
  </si>
  <si>
    <t>_x0007_'인산질비료 :'&amp;M00057&amp; * 0.0253 =</t>
  </si>
  <si>
    <t>M00057_1</t>
  </si>
  <si>
    <t>_x0007_'천연부엽토 :'&amp;M00157&amp; * 0.48 =</t>
  </si>
  <si>
    <t>M00157_1</t>
  </si>
  <si>
    <t>_x0007_'2. 인부'</t>
  </si>
  <si>
    <t xml:space="preserve"> 2. 인부 </t>
  </si>
  <si>
    <t>_x0007_'특별인부 :'&amp;L00015&amp; * 0.00055 '인'=</t>
  </si>
  <si>
    <t>_x0007_'보통인부 :'&amp;L00016&amp; * 0.00838 '인' =</t>
  </si>
  <si>
    <t>_x0007_'□ 시(군)청 ------------------&gt;   현장'</t>
  </si>
  <si>
    <t xml:space="preserve"> □ 시(군)청 ------------------&gt;   현장 </t>
  </si>
  <si>
    <t>_x0007_L1= 34.5'km(포장 거리'</t>
  </si>
  <si>
    <t xml:space="preserve">L1= 34.5 km(포장 거리 </t>
  </si>
  <si>
    <t>_x0007_L2= 0.1 'km(비포장 거리)'</t>
  </si>
  <si>
    <t xml:space="preserve">L2= 0.1  km(비포장 거리) </t>
  </si>
  <si>
    <t>_x0007_V1'(적재시 포장도로 속도)' = 30'km/hr'</t>
  </si>
  <si>
    <t xml:space="preserve">V1 (적재시 포장도로 속도)  = 30 km/hr </t>
  </si>
  <si>
    <t>_x0007_V2'(공차시 포장도로 속도)'= 35'km/hr'</t>
  </si>
  <si>
    <t xml:space="preserve">V2 (공차시 포장도로 속도) = 35 km/hr </t>
  </si>
  <si>
    <t>_x0007_V3'(적재시 비포장도로 속도)'= 10'km/hr'</t>
  </si>
  <si>
    <t xml:space="preserve">V3 (적재시 비포장도로 속도) = 10 km/hr </t>
  </si>
  <si>
    <t>_x0007_V4'(공차시 비포장도로 속도)'= 15'km/hr'</t>
  </si>
  <si>
    <t xml:space="preserve">V4 (공차시 비포장도로 속도) = 15 km/hr </t>
  </si>
  <si>
    <t>_x0007_E'(작업효율)'= 0.9</t>
  </si>
  <si>
    <t>E (작업효율) = 0.9</t>
  </si>
  <si>
    <t>_x0007_t1'(상차시간)'=12'분'</t>
  </si>
  <si>
    <t xml:space="preserve">t1 (상차시간) =12 분 </t>
  </si>
  <si>
    <t>_x0007_t2'(운반시간)'=(L1/V1+L1/V2+L2/V3+L2/V4) * 60 =</t>
  </si>
  <si>
    <t>t2 (운반시간) =(L1/V1+L1/V2+L2/V3+L2/V4) * 60 = 129.14</t>
  </si>
  <si>
    <t>_x0007_t3'(적하시간)'=0.8</t>
  </si>
  <si>
    <t>t3 (적하시간) =0.8</t>
  </si>
  <si>
    <t>_x0007_t4'(적재 대기시간)'=0.42</t>
  </si>
  <si>
    <t>t4 (적재 대기시간) =0.42</t>
  </si>
  <si>
    <t>_x0007_Cm'(사이클시간)' =t1+t2+t3+t4 ='분'</t>
  </si>
  <si>
    <t xml:space="preserve">Cm (사이클시간)  =t1+t2+t3+t4 = 142.36 분 </t>
  </si>
  <si>
    <t>_x0007_Q'(시간당 운반량)'= 60*E/Cm ='회/hr'</t>
  </si>
  <si>
    <t xml:space="preserve">Q (시간당 운반량) = 60*E/Cm = 0.38 회/hr </t>
  </si>
  <si>
    <t>_x0007_OH'(유류대 보정)'= t2/Cm =</t>
  </si>
  <si>
    <t>OH (유류대 보정) = t2/Cm = 0.91</t>
  </si>
  <si>
    <t>_x0007_'1.트레일러(20톤) 운반 '</t>
  </si>
  <si>
    <t xml:space="preserve"> 1.트레일러(20톤) 운반  </t>
  </si>
  <si>
    <t>_x0007_'※투입장비 내역 '</t>
  </si>
  <si>
    <t xml:space="preserve"> ※투입장비 내역  </t>
  </si>
  <si>
    <t>_x0007_   '○굴삭기 : 1대'</t>
  </si>
  <si>
    <t xml:space="preserve">    ○굴삭기 : 1대 </t>
  </si>
  <si>
    <t>_x0007_   '○불도저 : 0대'</t>
  </si>
  <si>
    <t xml:space="preserve">    ○불도저 : 0대 </t>
  </si>
  <si>
    <t>_x0007_   '○크롤라드릴 : 1대'</t>
  </si>
  <si>
    <t xml:space="preserve">    ○크롤라드릴 : 1대 </t>
  </si>
  <si>
    <t>_x0007_ '  ◇ 계'N1 = 2'대'</t>
  </si>
  <si>
    <t xml:space="preserve">    ◇ 계 N1 = 2 대 </t>
  </si>
  <si>
    <t>_x0007_t1'(상차시간)'=20'분'</t>
  </si>
  <si>
    <t xml:space="preserve">t1 (상차시간) =20 분 </t>
  </si>
  <si>
    <t>_x0007_t3'(적하시간)'=20</t>
  </si>
  <si>
    <t>t3 (적하시간) =20</t>
  </si>
  <si>
    <t xml:space="preserve">Cm (사이클시간)  =t1+t2+t3+t4 = 169.56 분 </t>
  </si>
  <si>
    <t xml:space="preserve">Q (시간당 운반량) = 60*E/Cm = 0.32 회/hr </t>
  </si>
  <si>
    <t>_x0007_OH'(시간당 운반량)'= t2/Cm =</t>
  </si>
  <si>
    <t>OH (시간당 운반량) = t2/Cm = 0.76</t>
  </si>
  <si>
    <t>_x0007_' 노무비 :'&amp;X00127L&amp; /Q * N1 *2 =</t>
  </si>
  <si>
    <t>X00127L</t>
  </si>
  <si>
    <t>X00127_1</t>
  </si>
  <si>
    <t>_x0007_' 재료비 :'&amp;X00127M&amp;/Q * N1 * OH * 2 =</t>
  </si>
  <si>
    <t>X00127M</t>
  </si>
  <si>
    <t>_x0007_' 경   비 :'&amp;X00127S&amp;/Q * N1 * 2 =</t>
  </si>
  <si>
    <t>X00127S</t>
  </si>
  <si>
    <t>_x0007_'2. 카고트럭(10.5톤)운반'</t>
  </si>
  <si>
    <t xml:space="preserve"> 2. 카고트럭(10.5톤)운반 </t>
  </si>
  <si>
    <t>_x0007_ '※투입장비 내역 '</t>
  </si>
  <si>
    <t xml:space="preserve">  ※투입장비 내역  </t>
  </si>
  <si>
    <t>_x0007_   '○ 콘크리트믹서기 : 1 대'</t>
  </si>
  <si>
    <t xml:space="preserve">    ○ 콘크리트믹서기 : 1 대 </t>
  </si>
  <si>
    <t>_x0007_   '○발전기 외 : 0 대'</t>
  </si>
  <si>
    <t xml:space="preserve">    ○발전기 외 : 0 대 </t>
  </si>
  <si>
    <t>_x0007_   '◇ 계'N2 =  1'대 '</t>
  </si>
  <si>
    <t xml:space="preserve">    ◇ 계 N2 =  1 대  </t>
  </si>
  <si>
    <t xml:space="preserve">_x0007_   </t>
  </si>
  <si>
    <t>_x0007_t1'(상차시간)'=15</t>
  </si>
  <si>
    <t>t1 (상차시간) =15</t>
  </si>
  <si>
    <t>_x0007_t3'(적하시간)'=15</t>
  </si>
  <si>
    <t>t3 (적하시간) =15</t>
  </si>
  <si>
    <t>_x0007_Cm'(사이클시간)' =t1 + t2 + t3 + t4 =</t>
  </si>
  <si>
    <t>Cm (사이클시간)  =t1 + t2 + t3 + t4 = 159.56</t>
  </si>
  <si>
    <t>_x0007_Q'(시간당 운반량)'= 60 * E /Cm = '회'</t>
  </si>
  <si>
    <t xml:space="preserve">Q (시간당 운반량) = 60 * E /Cm = 0.34  회 </t>
  </si>
  <si>
    <t>_x0007_OH'(시간당 운반량)'=t2/Cm=</t>
  </si>
  <si>
    <t>OH (시간당 운반량) =t2/Cm= 0.81</t>
  </si>
  <si>
    <t>_x0007_' 노무비 :'&amp;X00063L&amp; /Q * N2 *2 =</t>
  </si>
  <si>
    <t>X00063L</t>
  </si>
  <si>
    <t>X00063_1</t>
  </si>
  <si>
    <t>_x0007_' 재료비 :'&amp;X00063M&amp;/Q * N2 * OH * 2 =</t>
  </si>
  <si>
    <t>X00063M</t>
  </si>
  <si>
    <t>_x0007_' 경  비 :'&amp;X00063S&amp;/Q * N2 * 2 =</t>
  </si>
  <si>
    <t>X00063S</t>
  </si>
  <si>
    <t>_x0007_(-==)</t>
  </si>
  <si>
    <t>계(제외금액)</t>
  </si>
  <si>
    <t>C2_1</t>
  </si>
  <si>
    <t>_x0007_'○운반비 계 :'&amp;S00734&amp; * 1'식' =</t>
  </si>
  <si>
    <t>S00734_1</t>
  </si>
  <si>
    <t>_x0007_'1.골재대 : 별도계상'</t>
  </si>
  <si>
    <t xml:space="preserve"> 1.골재대 : 별도계상 </t>
  </si>
  <si>
    <t>_x0007_'2.적  상 :  무   대     '</t>
  </si>
  <si>
    <t xml:space="preserve"> 2.적  상 :  무   대      </t>
  </si>
  <si>
    <t>_x0007_'3.대 운반 (덤프 24ton)  '</t>
  </si>
  <si>
    <t xml:space="preserve"> 3.대 운반 (덤프 24ton)   </t>
  </si>
  <si>
    <t>_x0007_L1 = 103.2 'km' ':(포장거리)'</t>
  </si>
  <si>
    <t xml:space="preserve">L1 = 103.2  km   :(포장거리) </t>
  </si>
  <si>
    <t>_x0007_L2 = 0.1 'km' ':(비포장거리)'</t>
  </si>
  <si>
    <t xml:space="preserve">L2 = 0.1  km   :(비포장거리) </t>
  </si>
  <si>
    <t>_x0007_f'(토량환산계수)'=1/1.15=</t>
  </si>
  <si>
    <t>f (토량환산계수) =1/1.15= 0.87</t>
  </si>
  <si>
    <t>_x0007_k'(버켓계수)'=1.2</t>
  </si>
  <si>
    <t>k (버켓계수) =1.2</t>
  </si>
  <si>
    <t>_x0007_q1'(덤프 1대 적재량)' = (24/1.60) * 1.15 =</t>
  </si>
  <si>
    <t>q1 (덤프 1대 적재량)  = (24/1.60) * 1.15 = 17.25</t>
  </si>
  <si>
    <t>_x0007_n'(덤프1대 적재 시 적재기계의 사이클 횟수)'= q1/(1.34*k)='회'</t>
  </si>
  <si>
    <t xml:space="preserve">n (덤프1대 적재 시 적재기계의 사이클 횟수) = q1/(1.34*k)= 10.73 회 </t>
  </si>
  <si>
    <t>_x0007_Cms'(적재기계 사이클시간)'=1.8*8+6+14='초'</t>
  </si>
  <si>
    <t xml:space="preserve">Cms (적재기계 사이클시간) =1.8*8+6+14= 34.40 초 </t>
  </si>
  <si>
    <t>_x0007_t1'(상차시간)' =Cms * n / (60 * 0.75) ='분'</t>
  </si>
  <si>
    <t xml:space="preserve">t1 (상차시간)  =Cms * n / (60 * 0.75) = 8.20 분 </t>
  </si>
  <si>
    <t>_x0007_t2'(운반시간)' =(L1/V1+L1/V2+L2/V3+L2/V4 ) * 60 ='분'</t>
  </si>
  <si>
    <t xml:space="preserve">t2 (운반시간)  =(L1/V1+L1/V2+L2/V3+L2/V4 ) * 60 = 384.31 분 </t>
  </si>
  <si>
    <t>_x0007_t3'(적하시간)'=0.8'분'</t>
  </si>
  <si>
    <t xml:space="preserve">t3 (적하시간) =0.8 분 </t>
  </si>
  <si>
    <t>_x0007_t4'(적재 대기시간)'=0.42'분'</t>
  </si>
  <si>
    <t xml:space="preserve">t4 (적재 대기시간) =0.42 분 </t>
  </si>
  <si>
    <t>_x0007_t5'(적재함 덮개 해체 설치시간)'=0.5'분'</t>
  </si>
  <si>
    <t xml:space="preserve">t5 (적재함 덮개 해체 설치시간) =0.5 분 </t>
  </si>
  <si>
    <t>_x0007_Cm'(사이클시간)' = t1 + t2 + t3 + t4 + t5 ='분'</t>
  </si>
  <si>
    <t xml:space="preserve">Cm (사이클시간)  = t1 + t2 + t3 + t4 + t5 = 394.23 분 </t>
  </si>
  <si>
    <t>_x0007_Q'(시간당 운반량)'= 60 * q1 * F * E / Cm ='m3/hr'</t>
  </si>
  <si>
    <t xml:space="preserve">Q (시간당 운반량) = 60 * q1 * F * E / Cm = 2.06 m3/hr </t>
  </si>
  <si>
    <t>_x0007_'노 무 비 : '&amp;X00292L&amp; / Q =</t>
  </si>
  <si>
    <t>X00292L</t>
  </si>
  <si>
    <t>X00292_1</t>
  </si>
  <si>
    <t>_x0007_'재 료 비 : '&amp;X00292M&amp; / Q =</t>
  </si>
  <si>
    <t>X00292M</t>
  </si>
  <si>
    <t>_x0007_'경    비 : '&amp;X00292S&amp; / Q =</t>
  </si>
  <si>
    <t>X00292S</t>
  </si>
  <si>
    <t>_x0007_L1 = 77.3'km' ':(포장거리)'</t>
  </si>
  <si>
    <t xml:space="preserve">L1 = 77.3 km   :(포장거리) </t>
  </si>
  <si>
    <t>_x0007_L2 = 0.1'km' ':(비포장거리)'</t>
  </si>
  <si>
    <t xml:space="preserve">L2 = 0.1 km   :(비포장거리) </t>
  </si>
  <si>
    <t>_x0007_q1'(덤프 1대 적재량)' = (24/1.65) * 1.15 =</t>
  </si>
  <si>
    <t>q1 (덤프 1대 적재량)  = (24/1.65) * 1.15 = 16.73</t>
  </si>
  <si>
    <t xml:space="preserve">n (덤프1대 적재 시 적재기계의 사이클 횟수) = q1/(1.34*k)= 10.40 회 </t>
  </si>
  <si>
    <t xml:space="preserve">t1 (상차시간)  =Cms * n / (60 * 0.75) = 7.95 분 </t>
  </si>
  <si>
    <t xml:space="preserve">t2 (운반시간)  =(L1/V1+L1/V2+L2/V3+L2/V4 ) * 60 = 288.11 분 </t>
  </si>
  <si>
    <t xml:space="preserve">Cm (사이클시간)  = t1 + t2 + t3 + t4 + t5 = 297.78 분 </t>
  </si>
  <si>
    <t xml:space="preserve">Q (시간당 운반량) = 60 * q1 * F * E / Cm = 2.64 m3/hr </t>
  </si>
  <si>
    <t>_x0007_ '노 무 비  :'  &amp;X00292L&amp; / Q =</t>
  </si>
  <si>
    <t>_x0007_ '재 료 비  :'  &amp;X00292M&amp; / Q =</t>
  </si>
  <si>
    <t>_x0007_ '경    비  :'  &amp;X00292S&amp; / Q =</t>
  </si>
  <si>
    <t>_x0007_'1) 운반: 카고트럭(4.5톤)'</t>
  </si>
  <si>
    <t xml:space="preserve"> 1) 운반: 카고트럭(4.5톤) </t>
  </si>
  <si>
    <t>_x0007_'○ 하치장 ------&gt; 현장'</t>
  </si>
  <si>
    <t xml:space="preserve"> ○ 하치장 ------&gt; 현장 </t>
  </si>
  <si>
    <t>_x0007_L1'(포장도로 운반거리)' = 77.3'km(포장)'</t>
  </si>
  <si>
    <t xml:space="preserve">L1 (포장도로 운반거리)  = 77.3 km(포장) </t>
  </si>
  <si>
    <t>_x0007_L2'(비포장도로 운반거리)'= 0.1'km(비포장)'</t>
  </si>
  <si>
    <t xml:space="preserve">L2 (비포장도로 운반거리) = 0.1 km(비포장) </t>
  </si>
  <si>
    <t>_x0007_q1'(1회적재량)' = 25*4.5='대'</t>
  </si>
  <si>
    <t xml:space="preserve">q1 (1회적재량)  = 25*4.5= 112.50 대 </t>
  </si>
  <si>
    <t>_x0007_V1'(포장도로 적재시 속도)'= 30'km/hr'</t>
  </si>
  <si>
    <t xml:space="preserve">V1 (포장도로 적재시 속도) = 30 km/hr </t>
  </si>
  <si>
    <t>_x0007_V2'(포장도로 공차시 속도)'= 35'km/hr'</t>
  </si>
  <si>
    <t xml:space="preserve">V2 (포장도로 공차시 속도) = 35 km/hr </t>
  </si>
  <si>
    <t>_x0007_V3'(비포장도로 적재시 속도)'= 10'km/hr'</t>
  </si>
  <si>
    <t xml:space="preserve">V3 (비포장도로 적재시 속도) = 10 km/hr </t>
  </si>
  <si>
    <t>_x0007_V4'(비포장도로 공차시 속도)'= 15'km/hr'</t>
  </si>
  <si>
    <t xml:space="preserve">V4 (비포장도로 공차시 속도) = 15 km/hr </t>
  </si>
  <si>
    <t>_x0007_t1'(적재시간)'=15</t>
  </si>
  <si>
    <t>t1 (적재시간) =15</t>
  </si>
  <si>
    <t>_x0007_t2'(왕복시간)'=(L1/V1+L1/V2+L2/V3+L2/V4) * 60 =</t>
  </si>
  <si>
    <t>t2 (왕복시간) =(L1/V1+L1/V2+L2/V3+L2/V4) * 60 = 288.11</t>
  </si>
  <si>
    <t>_x0007_t3'(적하시간)'=10</t>
  </si>
  <si>
    <t>t3 (적하시간) =10</t>
  </si>
  <si>
    <t>_x0007_t4'(적재 시 대기시간)'=0.42</t>
  </si>
  <si>
    <t>t4 (적재 시 대기시간) =0.42</t>
  </si>
  <si>
    <t>_x0007_Cm'(1회 사이클 시간)' =t1 + t2 + t3 + t4 =</t>
  </si>
  <si>
    <t>Cm (1회 사이클 시간)  =t1 + t2 + t3 + t4 = 313.53</t>
  </si>
  <si>
    <t>_x0007_Q'(시간당 작업량)' = 60 *q1 * E /Cm = '대/hr'</t>
  </si>
  <si>
    <t xml:space="preserve">Q (시간당 작업량)  = 60 *q1 * E /Cm = 19.38  대/hr </t>
  </si>
  <si>
    <t>_x0007_' 노무비 :'&amp;X00061L&amp;/Q*2 =</t>
  </si>
  <si>
    <t>X00061L</t>
  </si>
  <si>
    <t>X00061_1</t>
  </si>
  <si>
    <t>_x0007_' 재료비 :'&amp;X00061M&amp;/Q*(Cm-t1)/Cm*2 =</t>
  </si>
  <si>
    <t>X00061M</t>
  </si>
  <si>
    <t>_x0007_' 경  비 :'&amp;X00061S&amp;/Q *2 =</t>
  </si>
  <si>
    <t>X00061S</t>
  </si>
  <si>
    <t>_x0007_'2)하차비'</t>
  </si>
  <si>
    <t xml:space="preserve"> 2)하차비 </t>
  </si>
  <si>
    <t>_x0007_ '①트럭위 인부: 1인'</t>
  </si>
  <si>
    <t xml:space="preserve">  ①트럭위 인부: 1인 </t>
  </si>
  <si>
    <t>_x0007_ '②적재장소 인부: 1인'</t>
  </si>
  <si>
    <t xml:space="preserve">  ②적재장소 인부: 1인 </t>
  </si>
  <si>
    <t>_x0007_ '③적재장소∼자동차간 평균거리: 20 m'</t>
  </si>
  <si>
    <t xml:space="preserve">  ③적재장소∼자동차간 평균거리: 20 m </t>
  </si>
  <si>
    <t>_x0007_ '④운반속도 V = 2500 m/hr = 42 m/분'</t>
  </si>
  <si>
    <t xml:space="preserve">  ④운반속도 V = 2500 m/hr = 42 m/분 </t>
  </si>
  <si>
    <t>_x0007_ '⑤운반인부:간격은 5∼10m로 평균 7m로 계산'</t>
  </si>
  <si>
    <t xml:space="preserve">  ⑤운반인부:간격은 5∼10m로 평균 7m로 계산 </t>
  </si>
  <si>
    <t>_x0007_    '20m * 2 * 1/7 ≒ 5 인'</t>
  </si>
  <si>
    <t xml:space="preserve">     20m * 2 * 1/7 ≒ 5 인 </t>
  </si>
  <si>
    <t>_x0007_ '⑥운반소요시간'</t>
  </si>
  <si>
    <t xml:space="preserve">  ⑥운반소요시간 </t>
  </si>
  <si>
    <t>_x0007_  'Cm = 2 * 20 ÷ 42 =  0.95 분/대'</t>
  </si>
  <si>
    <t xml:space="preserve">   Cm = 2 * 20 ÷ 42 =  0.95 분/대 </t>
  </si>
  <si>
    <t>_x0007_  '125대 * 0.95 * 1/5 = 23.75 분'</t>
  </si>
  <si>
    <t xml:space="preserve">   125대 * 0.95 * 1/5 = 23.75 분 </t>
  </si>
  <si>
    <t>_x0007_ '⑦인부작업장 이동및 차량대기 및'</t>
  </si>
  <si>
    <t xml:space="preserve">  ⑦인부작업장 이동및 차량대기 및 </t>
  </si>
  <si>
    <t>_x0007_    ' 적재함 열고 닫기 시간 : 10분'</t>
  </si>
  <si>
    <t xml:space="preserve">      적재함 열고 닫기 시간 : 10분 </t>
  </si>
  <si>
    <t>_x0007_   'Σ Cm = 23.75 + 10 = 33.75 ≒ 33 분'</t>
  </si>
  <si>
    <t xml:space="preserve">    Σ Cm = 23.75 + 10 = 33.75 ≒ 33 분 </t>
  </si>
  <si>
    <t>_x0007_ '⑧1포당 하차비'</t>
  </si>
  <si>
    <t xml:space="preserve">  ⑧1포당 하차비 </t>
  </si>
  <si>
    <t>_x0007_  1/125 * (33/(480-30)*7*&amp;L00016&amp;) ='원/대'</t>
  </si>
  <si>
    <t>_x0007_'1. 대운반 '</t>
  </si>
  <si>
    <t xml:space="preserve"> 1. 대운반  </t>
  </si>
  <si>
    <t>_x0007_'① 파쇄석(깬돌) 상차가 : 별산  : '</t>
  </si>
  <si>
    <t xml:space="preserve"> ① 파쇄석(깬돌) 상차가 : 별산  :  </t>
  </si>
  <si>
    <t>_x0007_'② 운 반 (덤프 24톤)'</t>
  </si>
  <si>
    <t xml:space="preserve"> ② 운 반 (덤프 24톤) </t>
  </si>
  <si>
    <t>_x0007_L1'(포장도로 거리)' = 77.4 'km'</t>
  </si>
  <si>
    <t xml:space="preserve">L1 (포장도로 거리)  = 77.4  km </t>
  </si>
  <si>
    <t>_x0007_L2'(비포장도로 거리)' = 0.1 'km'</t>
  </si>
  <si>
    <t xml:space="preserve">L2 (비포장도로 거리)  = 0.1  km </t>
  </si>
  <si>
    <t>_x0007_q1'(덤프 1대 적재량)' =  24'톤'</t>
  </si>
  <si>
    <t xml:space="preserve">q1 (덤프 1대 적재량)  =  24 톤 </t>
  </si>
  <si>
    <t>_x0007_q2'(적재기계 1회 적재량)' = 1.1 '톤/회 적용'</t>
  </si>
  <si>
    <t xml:space="preserve">q2 (적재기계 1회 적재량)  = 1.1  톤/회 적용 </t>
  </si>
  <si>
    <t>_x0007_k'(버켓계수)' = 0.55</t>
  </si>
  <si>
    <t>k (버켓계수)  = 0.55</t>
  </si>
  <si>
    <t>_x0007_n'(덤프1대 적재 시 적재기계의 사이클 횟수)' = q1 / (q2 * k) = '회'</t>
  </si>
  <si>
    <t xml:space="preserve">n (덤프1대 적재 시 적재기계의 사이클 횟수)  = q1 / (q2 * k) = 39.67  회 </t>
  </si>
  <si>
    <t>_x0007_t1'(상차시간)' = 20 * n / (60 * 0.45) ='분'</t>
  </si>
  <si>
    <t xml:space="preserve">t1 (상차시간)  = 20 * n / (60 * 0.45) = 29.39 분 </t>
  </si>
  <si>
    <t>_x0007_t2'(운반시간)' =(L1/30+L1/35+L2/10+L2/15) * 60 ='분'</t>
  </si>
  <si>
    <t xml:space="preserve">t2 (운반시간)  =(L1/30+L1/35+L2/10+L2/15) * 60 = 288.49 분 </t>
  </si>
  <si>
    <t>_x0007_t4'(적재 대기시간)'= 0.7'분'</t>
  </si>
  <si>
    <t xml:space="preserve">t4 (적재 대기시간) = 0.7 분 </t>
  </si>
  <si>
    <t>_x0007_Cm'(사이클시간)' = t1 + t2 + t3 + t4 +t5 ='분'</t>
  </si>
  <si>
    <t xml:space="preserve">Cm (사이클시간)  = t1 + t2 + t3 + t4 +t5 = 319.88 분 </t>
  </si>
  <si>
    <t>_x0007_Q'(시간당 운반량)'= 60 * q1 * f * E / Cm ='톤/hr'</t>
  </si>
  <si>
    <t xml:space="preserve">Q (시간당 운반량) = 60 * q1 * f * E / Cm = 4.05 톤/hr </t>
  </si>
  <si>
    <t>_x0007_'노무비:'&amp;X00740L&amp; / Q =</t>
  </si>
  <si>
    <t>X00740L</t>
  </si>
  <si>
    <t>X00740_1</t>
  </si>
  <si>
    <t>_x0007_'재료비:'&amp;X00740M&amp; / Q * (Cm-t1)/Cm =</t>
  </si>
  <si>
    <t>X00740M</t>
  </si>
  <si>
    <t>_x0007_'경  비:'&amp;X00740S&amp; / Q =</t>
  </si>
  <si>
    <t>X00740S</t>
  </si>
  <si>
    <t>_x0007_(-=)</t>
  </si>
  <si>
    <t>소계(제외금액)</t>
  </si>
  <si>
    <t>C1_1</t>
  </si>
  <si>
    <t xml:space="preserve">  26</t>
  </si>
  <si>
    <t xml:space="preserve">  27</t>
  </si>
  <si>
    <t xml:space="preserve">  28</t>
  </si>
  <si>
    <t xml:space="preserve">  29</t>
  </si>
  <si>
    <t xml:space="preserve">  30</t>
  </si>
  <si>
    <t xml:space="preserve">  31</t>
  </si>
  <si>
    <t xml:space="preserve">  32</t>
  </si>
  <si>
    <t xml:space="preserve">  33</t>
  </si>
  <si>
    <t xml:space="preserve">  34</t>
  </si>
  <si>
    <t xml:space="preserve">  35</t>
  </si>
  <si>
    <t xml:space="preserve">  36</t>
  </si>
  <si>
    <t xml:space="preserve">  37</t>
  </si>
  <si>
    <t xml:space="preserve">  38</t>
  </si>
  <si>
    <t xml:space="preserve">  39</t>
  </si>
  <si>
    <t xml:space="preserve">  40</t>
  </si>
  <si>
    <t>중 기 사 용 료</t>
  </si>
  <si>
    <t>제 1 호표</t>
  </si>
  <si>
    <t>_x0007_`COD|S00114_x0005_`EXI|0_x0005_`DVD|F_x0005_`BMK| _x0005_`IPR|0_x0005_`BLA|F_x0005_`</t>
  </si>
  <si>
    <t>S00114_1</t>
  </si>
  <si>
    <t xml:space="preserve">S00114 </t>
  </si>
  <si>
    <t>_x0007_`COD|L00039_x0005_`EXI|0_x0005_`DVD|F_x0005_`BMK| _x0005_`IPR|0_x0005_`BLA|F_x0005_`</t>
  </si>
  <si>
    <t>L00039_1</t>
  </si>
  <si>
    <t xml:space="preserve">L00039 </t>
  </si>
  <si>
    <t>_x0007_`COD|M00303_x0005_`EXI|0_x0005_`DVD|F_x0005_`BMK| _x0005_`IPR|1_x0005_`KWN|0_x0005_`BLA|F_x0005_`</t>
  </si>
  <si>
    <t>M00303_1</t>
  </si>
  <si>
    <t xml:space="preserve">M00303 </t>
  </si>
  <si>
    <t>주연료의%</t>
  </si>
  <si>
    <t>_x0007_`COD|S00164_x0005_`EXI|0_x0005_`DVD|F_x0005_`BMK| _x0005_`IPR|0_x0005_`BLA|F_x0005_`</t>
  </si>
  <si>
    <t>S00164_1</t>
  </si>
  <si>
    <t xml:space="preserve">S00164 </t>
  </si>
  <si>
    <t>_x0007_`COD|S00008_x0005_`EXI|0_x0005_`DVD|F_x0005_`BMK| _x0005_`IPR|0_x0005_`BLA|F_x0005_`</t>
  </si>
  <si>
    <t>S00008_1</t>
  </si>
  <si>
    <t xml:space="preserve">S00008 </t>
  </si>
  <si>
    <t>_x0007_`COD|L00038_x0005_`EXI|0_x0005_`DVD|F_x0005_`BMK| _x0005_`IPR|0_x0005_`BLA|F_x0005_`</t>
  </si>
  <si>
    <t>L00038_1</t>
  </si>
  <si>
    <t xml:space="preserve">L00038 </t>
  </si>
  <si>
    <t>_x0007_`COD|M00303_x0005_`EXI|0_x0005_`DVD|F_x0005_`BMK| _x0005_`IPR|0_x0005_`KWN|0_x0005_`BLA|F_x0005_`</t>
  </si>
  <si>
    <t>_x0007_`COD|M00109_x0005_`EXI|0_x0005_`DVD|F_x0005_`BMK| _x0005_`IPR|0_x0005_`KWN|0_x0005_`BLA|F_x0005_`</t>
  </si>
  <si>
    <t>M00109_1</t>
  </si>
  <si>
    <t xml:space="preserve">M00109 </t>
  </si>
  <si>
    <t>_x0007_`COD|S00001_x0005_`EXI|0_x0005_`DVD|F_x0005_`BMK| _x0005_`IPR|0_x0005_`BLA|F_x0005_`</t>
  </si>
  <si>
    <t>S00001_1</t>
  </si>
  <si>
    <t xml:space="preserve">S00001 </t>
  </si>
  <si>
    <t>_x0007_`COD|S00163_x0005_`EXI|0_x0005_`DVD|F_x0005_`BMK| _x0005_`IPR|0_x0005_`BLA|F_x0005_`</t>
  </si>
  <si>
    <t>S00163_1</t>
  </si>
  <si>
    <t xml:space="preserve">S00163 </t>
  </si>
  <si>
    <t>_x0007_`COD|S00175_x0005_`EXI|0_x0005_`DVD|F_x0005_`BMK| _x0005_`IPR|0_x0005_`BLA|F_x0005_`</t>
  </si>
  <si>
    <t>S00175_1</t>
  </si>
  <si>
    <t xml:space="preserve">S00175 </t>
  </si>
  <si>
    <t>_x0007_`COD|S00203_x0005_`EXI|0_x0005_`DVD|F_x0005_`BMK| _x0005_`IPR|0_x0005_`BLA|F_x0005_`</t>
  </si>
  <si>
    <t>S00203_1</t>
  </si>
  <si>
    <t xml:space="preserve">S00203 </t>
  </si>
  <si>
    <t>_x0007_`COD|S00102_x0005_`EXI|0_x0005_`DVD|F_x0005_`BMK| _x0005_`IPR|0_x0005_`BLA|F_x0005_`</t>
  </si>
  <si>
    <t>S00102_1</t>
  </si>
  <si>
    <t xml:space="preserve">S00102 </t>
  </si>
  <si>
    <t>_x0007_`COD|S00006_x0005_`EXI|0_x0005_`DVD|F_x0005_`BMK| _x0005_`IPR|0_x0005_`BLA|F_x0005_`</t>
  </si>
  <si>
    <t>S00006_1</t>
  </si>
  <si>
    <t xml:space="preserve">S00006 </t>
  </si>
  <si>
    <t>_x0007_`COD|S00007_x0005_`EXI|0_x0005_`DVD|F_x0005_`BMK| _x0005_`IPR|0_x0005_`BLA|F_x0005_`</t>
  </si>
  <si>
    <t>S00007_1</t>
  </si>
  <si>
    <t xml:space="preserve">S00007 </t>
  </si>
  <si>
    <t>_x0007_`COD|S00346_x0005_`EXI|0_x0005_`DVD|F_x0005_`BMK| _x0005_`IPR|0_x0005_`BLA|F_x0005_`</t>
  </si>
  <si>
    <t>S00346_1</t>
  </si>
  <si>
    <t xml:space="preserve">S00346 </t>
  </si>
  <si>
    <t>_x0007_`COD|S00162_x0005_`EXI|0_x0005_`DVD|F_x0005_`BMK| _x0005_`IPR|0_x0005_`BLA|F_x0005_`</t>
  </si>
  <si>
    <t>S00162_1</t>
  </si>
  <si>
    <t xml:space="preserve">S00162 </t>
  </si>
  <si>
    <t>_x0007_`COD|S00741_x0005_`EXI|0_x0005_`DVD|F_x0005_`BMK| _x0005_`IPR|0_x0005_`BLA|F_x0005_`</t>
  </si>
  <si>
    <t>S00741_1</t>
  </si>
  <si>
    <t xml:space="preserve">S00741 </t>
  </si>
  <si>
    <t>_x0007_`COD|S00724_x0005_`EXI|0_x0005_`DVD|F_x0005_`BMK| _x0005_`IPR|0_x0005_`BLA|F_x0005_`</t>
  </si>
  <si>
    <t>S00724_1</t>
  </si>
  <si>
    <t xml:space="preserve">S00724 </t>
  </si>
  <si>
    <t>_x0007_`COD|S00031_x0005_`EXI|0_x0005_`DVD|F_x0005_`BMK| _x0005_`IPR|0_x0005_`BLA|F_x0005_`</t>
  </si>
  <si>
    <t>S00031_1</t>
  </si>
  <si>
    <t xml:space="preserve">S00031 </t>
  </si>
  <si>
    <t>_x0007_`COD|L00040_x0005_`EXI|0_x0005_`DVD|F_x0005_`BMK| _x0005_`IPR|0_x0005_`BLA|F_x0005_`</t>
  </si>
  <si>
    <t>L00040_1</t>
  </si>
  <si>
    <t xml:space="preserve">L00040 </t>
  </si>
  <si>
    <t>_x0007_`COD|M00302_x0005_`EXI|0_x0005_`DVD|F_x0005_`BMK| _x0005_`IPR|1_x0005_`KWN|0_x0005_`BLA|F_x0005_`</t>
  </si>
  <si>
    <t>M00302_1</t>
  </si>
  <si>
    <t xml:space="preserve">M00302 </t>
  </si>
  <si>
    <t>_x0007_`COD|S00391_x0005_`EXI|0_x0005_`DVD|F_x0005_`BMK| _x0005_`IPR|0_x0005_`BLA|F_x0005_`</t>
  </si>
  <si>
    <t>S00391_1</t>
  </si>
  <si>
    <t xml:space="preserve">S00391 </t>
  </si>
  <si>
    <t>_x0007_`COD|S00276_x0005_`EXI|0_x0005_`DVD|F_x0005_`BMK| _x0005_`IPR|0_x0005_`BLA|F_x0005_`</t>
  </si>
  <si>
    <t>S00276_1</t>
  </si>
  <si>
    <t xml:space="preserve">S00276 </t>
  </si>
  <si>
    <t>_x0007_`COD|S01262_x0005_`EXI|0_x0005_`DVD|F_x0005_`BMK| _x0005_`IPR|0_x0005_`BLA|F_x0005_`</t>
  </si>
  <si>
    <t>S01262_1</t>
  </si>
  <si>
    <t xml:space="preserve">S01262 </t>
  </si>
  <si>
    <t>_x0007_`COD|S01263_x0005_`EXI|0_x0005_`DVD|F_x0005_`BMK| _x0005_`IPR|0_x0005_`BLA|F_x0005_`</t>
  </si>
  <si>
    <t>S01263_1</t>
  </si>
  <si>
    <t xml:space="preserve">S01263 </t>
  </si>
  <si>
    <t>잡재료</t>
  </si>
  <si>
    <t>노무비 수량,금액 집계표</t>
  </si>
  <si>
    <t>경 비 수량,금액 집계표</t>
  </si>
  <si>
    <t>일식/견적 수량,금액 집계표</t>
  </si>
  <si>
    <t>중기 시간,금액 집계표</t>
  </si>
  <si>
    <t>=== 엑셀파일에 작성에 대한 안내문(반드시 읽어보세요) ===</t>
  </si>
  <si>
    <t>엑셀파일 수정후 계산식 반영이 안될경우 :【 Ctrl+Alt(+Shift)+F9 】</t>
  </si>
  <si>
    <t>◈ 엑셀파일내의 산식은 기초단가, 복합단가, 내역서 및 총괄내역서까지 연결됩니다.</t>
  </si>
  <si>
    <t xml:space="preserve">    (모든산식은 단가만을 불러오며, 명칭, 규격, 단위, 비고.. 등은 TEXT로 입력됩니다)</t>
  </si>
  <si>
    <t>◈ 각 Sheet우측에는 해당 항목을 찾아가는 위치이동(→) 링크가 있으며, 클릭하면 이동됩니다.</t>
  </si>
  <si>
    <t xml:space="preserve">    (Alt + ← 키를 이용하여 찾아갔던 항목을 되돌아 올 수 있습니다.)</t>
  </si>
  <si>
    <t>◈ 자재단가 대비표의 적용단가는 수식이 적용되지 않았으나, 우측에 최소단가 수식을 입력하였습니다.</t>
  </si>
  <si>
    <t>◈ 일위대가표 및 중기사용료 및 총괄내역서의 양식은 일반양식을 적용합니다.</t>
  </si>
  <si>
    <t>◈ 단가산출근거의 수량부분은 계산식이 입력되지 않았습니다.</t>
  </si>
  <si>
    <t>◈ [목차] 및 [안내] Sheet의 이름을 변경하지 마시고, Sheet이름을 변경할때 공백문자 및 특수문자를 사용하지 마십시요.</t>
  </si>
  <si>
    <t>※※※     아래의 내용(안내 및 오류)을 확인/검토 하세요     ※※※</t>
  </si>
  <si>
    <t>【착공내역서】75번째줄 에서 사용된【M00918】코드의 %단위(T%) 는 산식을 입력할 수 없으니 손료계산 형식으로 변경하십시요.</t>
  </si>
  <si>
    <t>【총괄설계내역서】26번째줄의 I열 이윤보정액은 총공사비 금액이 다를경우 임의조정(±α) 하십시요.</t>
  </si>
  <si>
    <t>【총괄설계내역서】32번째줄의 D열에 계산된 총공사비 금액을 확인하십시요.</t>
  </si>
  <si>
    <t>【단가산출근거】1627번째줄 에서 사용된【S01045】코드의 %단위(L%) 는 산식을 입력할 수 없으니 손료계산 형식으로 변경하십시요.</t>
  </si>
  <si>
    <t>【단가산출근거】1693번째줄 에서 사용된【S01045】코드의 %단위(L%) 는 산식을 입력할 수 없으니 손료계산 형식으로 변경하십시요.</t>
  </si>
  <si>
    <t>【단가산출근거】1914번째줄 에서 사용된【S00734】코드의 %단위(T%) 는 산식을 입력할 수 없으니 손료계산 형식으로 변경하십시요.</t>
  </si>
  <si>
    <t>【단가산출근거】2002번째줄 에서 사용된【S00734】코드의 %단위(T%) 는 산식을 입력할 수 없으니 손료계산 형식으로 변경하십시요.</t>
  </si>
  <si>
    <t>【단가산출근거】2071번째줄 에서 사용된【S00734】코드의 %단위(T%) 는 산식을 입력할 수 없으니 손료계산 형식으로 변경하십시요.</t>
  </si>
  <si>
    <t>【단가산출근거】2162번째줄 에서 사용된【S00734】코드의 %단위(T%) 는 산식을 입력할 수 없으니 손료계산 형식으로 변경하십시요.</t>
  </si>
  <si>
    <t>【단가산출근거】2237번째줄 에서 사용된【S00734】코드의 %단위(T%) 는 산식을 입력할 수 없으니 손료계산 형식으로 변경하십시요.</t>
  </si>
  <si>
    <t>목    차</t>
  </si>
  <si>
    <t>1. ※※안내※※</t>
  </si>
  <si>
    <t>2. 공사원가계산서</t>
  </si>
  <si>
    <t>3. 총괄설계내역서</t>
  </si>
  <si>
    <t>4. 착공내역서</t>
  </si>
  <si>
    <t>5. 일위대가목록표</t>
  </si>
  <si>
    <t>6. 일위대가표</t>
  </si>
  <si>
    <t>7. 일위대가수량금액집계표</t>
  </si>
  <si>
    <t>8. 단가산출근거목록표</t>
  </si>
  <si>
    <t>9. 단가산출근거</t>
  </si>
  <si>
    <t>10. 단가산출근거수량금액집계표</t>
  </si>
  <si>
    <t>11. 환율및기초자료</t>
  </si>
  <si>
    <t>12. 중기목록표</t>
  </si>
  <si>
    <t>13. 중기사용료</t>
  </si>
  <si>
    <t>14. 재료비목록표</t>
  </si>
  <si>
    <t>15. 노무비목록표</t>
  </si>
  <si>
    <t>16. 경비목록표</t>
  </si>
  <si>
    <t>17. 일식견적목록표</t>
  </si>
  <si>
    <t>18. 자재단가대비표</t>
  </si>
  <si>
    <t>19. 재료비수량금액집계표</t>
  </si>
  <si>
    <t>20. 노무비수량금액집계표</t>
  </si>
  <si>
    <t>21. 경비수량금액집계표</t>
  </si>
  <si>
    <t>22. 일식견적수량금액집계표</t>
  </si>
  <si>
    <t>23. 중기시간금액집계표</t>
  </si>
  <si>
    <t>※※ 현재 Sheet를 수정 또는 삭제하지 마십시요[수정/삭제시 STmate 데이타로 변환할 수 없습니다] ※※</t>
  </si>
  <si>
    <t>[Sheet정보]</t>
  </si>
  <si>
    <t>목차</t>
  </si>
  <si>
    <t>Sheet</t>
  </si>
  <si>
    <t>FPos</t>
  </si>
  <si>
    <t>ITNAME</t>
  </si>
  <si>
    <t>NAME</t>
  </si>
  <si>
    <t>SIZE</t>
  </si>
  <si>
    <t>UNIT</t>
  </si>
  <si>
    <t>SPOS</t>
  </si>
  <si>
    <t>EPOS</t>
  </si>
  <si>
    <t>TAMT</t>
  </si>
  <si>
    <t>TAMOUNT</t>
  </si>
  <si>
    <t>MAMT</t>
  </si>
  <si>
    <t>MAMOUNT</t>
  </si>
  <si>
    <t>LAMT</t>
  </si>
  <si>
    <t>LAMOUNT</t>
  </si>
  <si>
    <t>SAMT</t>
  </si>
  <si>
    <t>SAMOUNT</t>
  </si>
  <si>
    <t>AAMT</t>
  </si>
  <si>
    <t>AAMOUNT</t>
  </si>
  <si>
    <t>NAMT</t>
  </si>
  <si>
    <t>NAMOUNT</t>
  </si>
  <si>
    <t>INFO</t>
  </si>
  <si>
    <t>1. 재료비목록표</t>
  </si>
  <si>
    <t>2. 노무비목록표</t>
  </si>
  <si>
    <t>3. 경비목록표</t>
  </si>
  <si>
    <t>4. 일식목록표</t>
  </si>
  <si>
    <t>5. 환율 및 기초자료</t>
  </si>
  <si>
    <t>6. 중기목록표</t>
  </si>
  <si>
    <t>7. 실적단가표</t>
  </si>
  <si>
    <t>8. 일위대가목록표</t>
  </si>
  <si>
    <t>9. 산출근거목록표</t>
  </si>
  <si>
    <t>10. 자재단가대비표</t>
  </si>
  <si>
    <t>11. 내역서</t>
  </si>
  <si>
    <t>12. 총괄내역서</t>
  </si>
  <si>
    <t>14. 일위대가표</t>
  </si>
  <si>
    <t>15. 단가산출근거</t>
  </si>
  <si>
    <t xml:space="preserve">16. </t>
  </si>
  <si>
    <t xml:space="preserve">17. </t>
  </si>
  <si>
    <t>18. 표준시장목록표</t>
  </si>
  <si>
    <t>[공사정보]</t>
  </si>
  <si>
    <t>M_DVER</t>
  </si>
  <si>
    <t>25.07</t>
  </si>
  <si>
    <t>PNAME</t>
  </si>
  <si>
    <t>2025년 산불진화임도 신설사업(기번8/울진.금강송.소광.산29외)</t>
  </si>
  <si>
    <t>PCLAS</t>
  </si>
  <si>
    <t>SCLAS</t>
  </si>
  <si>
    <t>0</t>
  </si>
  <si>
    <t>K_ORD</t>
  </si>
  <si>
    <t>PRIPR</t>
  </si>
  <si>
    <t>True</t>
  </si>
  <si>
    <t>ACTYP</t>
  </si>
  <si>
    <t>ACTOP</t>
  </si>
  <si>
    <t>[초기값]</t>
  </si>
  <si>
    <t>P_ORD</t>
  </si>
  <si>
    <t>EXNM_</t>
  </si>
  <si>
    <t>RXNM_</t>
  </si>
  <si>
    <t>EXRNM</t>
  </si>
  <si>
    <t>1/8*16/12*25/20</t>
  </si>
  <si>
    <t>1/8*16/12*25/20*24/15</t>
  </si>
  <si>
    <t>1/8*16/12*25/20*12/10</t>
  </si>
  <si>
    <t>1/8*16/12*25/20*24/5</t>
  </si>
  <si>
    <t>COND_</t>
  </si>
  <si>
    <t>L00038L00039L00040</t>
  </si>
  <si>
    <t>KCDNM</t>
  </si>
  <si>
    <t>JCDNM</t>
  </si>
  <si>
    <t>ECDNM</t>
  </si>
  <si>
    <t>ACDNM</t>
  </si>
  <si>
    <t>BPNNM</t>
  </si>
  <si>
    <t>ZCDNM</t>
  </si>
  <si>
    <t>CHGNM</t>
  </si>
  <si>
    <t>CHBNM</t>
  </si>
  <si>
    <t>CHNNM</t>
  </si>
  <si>
    <t>CUTNM</t>
  </si>
  <si>
    <t>OPTNM</t>
  </si>
  <si>
    <t>SML</t>
  </si>
  <si>
    <t>S_JDA</t>
  </si>
  <si>
    <t>SUBNM</t>
  </si>
  <si>
    <t>[인쇄정보]</t>
  </si>
  <si>
    <t>BMSTR</t>
  </si>
  <si>
    <t>BMKNM</t>
  </si>
  <si>
    <t>TLMS</t>
  </si>
  <si>
    <t>JEMNM</t>
  </si>
  <si>
    <t>123456</t>
  </si>
  <si>
    <t>JMKN1</t>
  </si>
  <si>
    <t>JMKN2</t>
  </si>
  <si>
    <t>JMKN3</t>
  </si>
  <si>
    <t>JMKN4</t>
  </si>
  <si>
    <t>JMKN5</t>
  </si>
  <si>
    <t>JMKN6</t>
  </si>
  <si>
    <t>CAP_CODE</t>
  </si>
  <si>
    <t>코드번호</t>
  </si>
  <si>
    <t>CAP_NO</t>
  </si>
  <si>
    <t>CAP_IBRD</t>
  </si>
  <si>
    <t>분류번호</t>
  </si>
  <si>
    <t>CAP_EQCOD</t>
  </si>
  <si>
    <t>시설코드</t>
  </si>
  <si>
    <t>CAP_ITNUM</t>
  </si>
  <si>
    <t>CAP_NAME</t>
  </si>
  <si>
    <t>CAP_SIZE</t>
  </si>
  <si>
    <t>CAP_QTY</t>
  </si>
  <si>
    <t>CAP_SUNIT</t>
  </si>
  <si>
    <t>CAP_AMT</t>
  </si>
  <si>
    <t>CAP_PAGE</t>
  </si>
  <si>
    <t>CAP_AMOUNT</t>
  </si>
  <si>
    <t>CAP_BIGO</t>
  </si>
  <si>
    <t>[PREPARE]</t>
  </si>
  <si>
    <t>PREP_VER</t>
  </si>
  <si>
    <t>w25.07</t>
  </si>
  <si>
    <t>PREP_COP</t>
  </si>
  <si>
    <t>산림조합 남부산림사업본부 #02</t>
  </si>
  <si>
    <t>PREP_DATE</t>
  </si>
  <si>
    <t>2025-07-14 11:02</t>
  </si>
  <si>
    <t>[.끝.]</t>
  </si>
  <si>
    <t>※ 본 엑셀자료는 【STmate w25.07】버전 이상에서 STmate 자료로 다시 등록할 수 있습니다.</t>
  </si>
  <si>
    <t xml:space="preserve">   단, 임의로 수정한 내용(Sheet삭제, 산근내용변경, 기타계산식변경..)은 반영되지 않을 수 있습니다.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</si>
</sst>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#,###"/>
    <numFmt numFmtId="177" formatCode="#,##0.#######;\-#,##0.#######;#"/>
    <numFmt numFmtId="178" formatCode="#,##0.00#"/>
    <numFmt numFmtId="179" formatCode="#,##0.00\ &quot;(원/$)&quot;"/>
    <numFmt numFmtId="180" formatCode="#,##0.00\ &quot;(원/€)&quot;"/>
    <numFmt numFmtId="181" formatCode="#,##0.00\ &quot;(원/100￥)&quot;"/>
    <numFmt numFmtId="182" formatCode="#,##0.00#\ "/>
    <numFmt numFmtId="183" formatCode="#,##0;\-#,##0;#"/>
    <numFmt numFmtId="184" formatCode="#,##0.00#;\-#,##0.00#;#"/>
    <numFmt numFmtId="185" formatCode="#,##0.#######"/>
    <numFmt numFmtId="186" formatCode="#,##0.####;\-#,##0.####;#"/>
    <numFmt numFmtId="187" formatCode="#,##0.###;\-#,##0.###;#"/>
    <numFmt numFmtId="188" formatCode="#,##0.######;\-#,##0.######;#"/>
    <numFmt numFmtId="189" formatCode="0.000\ &quot;%&quot;;;#"/>
    <numFmt numFmtId="190" formatCode="0.#######;\-0.#######;#"/>
    <numFmt numFmtId="191" formatCode="#,##0.#;\-#,##0.#;#"/>
    <numFmt numFmtId="192" formatCode="#,##0.0#"/>
    <numFmt numFmtId="193" formatCode="0.######;\-0.######;#"/>
    <numFmt numFmtId="194" formatCode="#,##0.0#;\-#,##0.0#;#"/>
  </numFmts>
  <fonts count="25" x14ac:knownFonts="1">
    <font>
      <sz val="11"/>
      <color theme="1"/>
      <name val="맑은 고딕"/>
      <family val="2"/>
      <charset val="129"/>
      <scheme val="minor"/>
    </font>
    <font>
      <b/>
      <u/>
      <sz val="15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22"/>
      <name val="굴림체"/>
      <family val="3"/>
      <charset val="129"/>
    </font>
    <font>
      <sz val="10"/>
      <color indexed="22"/>
      <name val="맑은 고딕"/>
      <family val="3"/>
      <charset val="129"/>
      <scheme val="minor"/>
    </font>
    <font>
      <sz val="9"/>
      <color indexed="12"/>
      <name val="굴림체"/>
      <family val="3"/>
      <charset val="129"/>
    </font>
    <font>
      <sz val="9"/>
      <name val="맑은 고딕"/>
      <family val="3"/>
      <charset val="129"/>
      <scheme val="minor"/>
    </font>
    <font>
      <u/>
      <sz val="9"/>
      <color indexed="22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indexed="9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9"/>
      <color indexed="22"/>
      <name val="맑은 고딕"/>
      <family val="3"/>
      <charset val="129"/>
      <scheme val="minor"/>
    </font>
    <font>
      <sz val="10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2"/>
      <color indexed="12"/>
      <name val="굴림체"/>
      <family val="3"/>
      <charset val="129"/>
    </font>
    <font>
      <b/>
      <sz val="14"/>
      <color indexed="12"/>
      <name val="굴림체"/>
      <family val="3"/>
      <charset val="129"/>
    </font>
    <font>
      <sz val="10"/>
      <color indexed="12"/>
      <name val="굴림체"/>
      <family val="3"/>
      <charset val="129"/>
    </font>
    <font>
      <b/>
      <sz val="10"/>
      <color indexed="10"/>
      <name val="굴림체"/>
      <family val="3"/>
      <charset val="129"/>
    </font>
    <font>
      <b/>
      <sz val="9"/>
      <color indexed="12"/>
      <name val="굴림체"/>
      <family val="3"/>
      <charset val="129"/>
    </font>
    <font>
      <sz val="20"/>
      <color indexed="8"/>
      <name val="굴림체"/>
      <family val="3"/>
      <charset val="129"/>
    </font>
    <font>
      <b/>
      <sz val="15"/>
      <color indexed="10"/>
      <name val="굴림체"/>
      <family val="3"/>
      <charset val="129"/>
    </font>
    <font>
      <sz val="9"/>
      <color indexed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9" fontId="2" fillId="0" borderId="0" xfId="0" applyNumberFormat="1" applyFont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49" fontId="3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shrinkToFit="1"/>
    </xf>
    <xf numFmtId="0" fontId="7" fillId="0" borderId="0" xfId="0" applyFont="1" applyAlignment="1">
      <alignment horizontal="center" vertical="center" shrinkToFit="1"/>
    </xf>
    <xf numFmtId="177" fontId="3" fillId="0" borderId="0" xfId="0" applyNumberFormat="1" applyFont="1" applyAlignment="1">
      <alignment horizontal="left" vertical="center" shrinkToFit="1"/>
    </xf>
    <xf numFmtId="178" fontId="2" fillId="0" borderId="2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shrinkToFit="1"/>
    </xf>
    <xf numFmtId="179" fontId="2" fillId="0" borderId="7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182" fontId="2" fillId="0" borderId="5" xfId="0" applyNumberFormat="1" applyFont="1" applyBorder="1" applyAlignment="1">
      <alignment horizontal="right" vertical="center" shrinkToFit="1"/>
    </xf>
    <xf numFmtId="182" fontId="2" fillId="0" borderId="7" xfId="0" applyNumberFormat="1" applyFont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184" fontId="2" fillId="0" borderId="2" xfId="0" applyNumberFormat="1" applyFont="1" applyBorder="1" applyAlignment="1">
      <alignment horizontal="right" vertical="center" shrinkToFit="1"/>
    </xf>
    <xf numFmtId="185" fontId="2" fillId="0" borderId="2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185" fontId="2" fillId="0" borderId="0" xfId="0" applyNumberFormat="1" applyFont="1" applyAlignment="1">
      <alignment horizontal="right" vertical="center" shrinkToFit="1"/>
    </xf>
    <xf numFmtId="183" fontId="2" fillId="0" borderId="0" xfId="0" applyNumberFormat="1" applyFont="1" applyAlignment="1">
      <alignment horizontal="center" vertical="center" shrinkToFit="1"/>
    </xf>
    <xf numFmtId="177" fontId="2" fillId="0" borderId="0" xfId="0" applyNumberFormat="1" applyFont="1" applyAlignment="1">
      <alignment horizontal="right" vertical="center" shrinkToFit="1"/>
    </xf>
    <xf numFmtId="177" fontId="2" fillId="0" borderId="0" xfId="0" applyNumberFormat="1" applyFont="1" applyAlignment="1">
      <alignment horizontal="center"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49" fontId="2" fillId="0" borderId="5" xfId="0" applyNumberFormat="1" applyFont="1" applyBorder="1" applyAlignment="1">
      <alignment horizontal="right" vertical="center" shrinkToFit="1"/>
    </xf>
    <xf numFmtId="186" fontId="2" fillId="0" borderId="5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right" vertical="center" shrinkToFit="1"/>
    </xf>
    <xf numFmtId="188" fontId="2" fillId="0" borderId="5" xfId="0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right" vertical="center" shrinkToFit="1"/>
    </xf>
    <xf numFmtId="49" fontId="2" fillId="0" borderId="2" xfId="0" applyNumberFormat="1" applyFont="1" applyBorder="1" applyAlignment="1">
      <alignment horizontal="right" vertical="center" shrinkToFit="1"/>
    </xf>
    <xf numFmtId="183" fontId="2" fillId="0" borderId="4" xfId="0" applyNumberFormat="1" applyFont="1" applyBorder="1" applyAlignment="1">
      <alignment horizontal="right" vertical="center" shrinkToFit="1"/>
    </xf>
    <xf numFmtId="0" fontId="0" fillId="0" borderId="4" xfId="0" applyBorder="1" applyAlignment="1">
      <alignment shrinkToFit="1"/>
    </xf>
    <xf numFmtId="183" fontId="2" fillId="0" borderId="3" xfId="0" applyNumberFormat="1" applyFont="1" applyBorder="1" applyAlignment="1">
      <alignment horizontal="right" vertical="center" shrinkToFit="1"/>
    </xf>
    <xf numFmtId="183" fontId="2" fillId="0" borderId="0" xfId="0" applyNumberFormat="1" applyFont="1" applyAlignment="1">
      <alignment horizontal="right" vertical="center" shrinkToFit="1"/>
    </xf>
    <xf numFmtId="0" fontId="0" fillId="0" borderId="3" xfId="0" applyBorder="1" applyAlignment="1">
      <alignment shrinkToFit="1"/>
    </xf>
    <xf numFmtId="188" fontId="2" fillId="0" borderId="4" xfId="0" applyNumberFormat="1" applyFont="1" applyBorder="1" applyAlignment="1">
      <alignment horizontal="right" vertical="center" shrinkToFit="1"/>
    </xf>
    <xf numFmtId="187" fontId="2" fillId="0" borderId="5" xfId="0" applyNumberFormat="1" applyFont="1" applyBorder="1" applyAlignment="1">
      <alignment horizontal="right" vertical="center" shrinkToFit="1"/>
    </xf>
    <xf numFmtId="188" fontId="2" fillId="0" borderId="3" xfId="0" applyNumberFormat="1" applyFont="1" applyBorder="1" applyAlignment="1">
      <alignment horizontal="right" vertical="center" shrinkToFit="1"/>
    </xf>
    <xf numFmtId="183" fontId="2" fillId="0" borderId="2" xfId="0" applyNumberFormat="1" applyFont="1" applyBorder="1" applyAlignment="1">
      <alignment horizontal="right" vertical="center" shrinkToFit="1"/>
    </xf>
    <xf numFmtId="188" fontId="2" fillId="0" borderId="2" xfId="0" applyNumberFormat="1" applyFont="1" applyBorder="1" applyAlignment="1">
      <alignment horizontal="right" vertical="center" shrinkToFit="1"/>
    </xf>
    <xf numFmtId="187" fontId="2" fillId="0" borderId="2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shrinkToFit="1"/>
    </xf>
    <xf numFmtId="183" fontId="2" fillId="0" borderId="5" xfId="0" applyNumberFormat="1" applyFont="1" applyBorder="1" applyAlignment="1">
      <alignment horizontal="right" vertical="center" shrinkToFit="1"/>
    </xf>
    <xf numFmtId="183" fontId="2" fillId="3" borderId="0" xfId="0" applyNumberFormat="1" applyFont="1" applyFill="1" applyAlignment="1">
      <alignment horizontal="right" vertical="center" shrinkToFit="1"/>
    </xf>
    <xf numFmtId="176" fontId="2" fillId="3" borderId="0" xfId="0" applyNumberFormat="1" applyFont="1" applyFill="1" applyAlignment="1">
      <alignment horizontal="right" vertical="center" shrinkToFit="1"/>
    </xf>
    <xf numFmtId="185" fontId="2" fillId="3" borderId="0" xfId="0" applyNumberFormat="1" applyFont="1" applyFill="1" applyAlignment="1">
      <alignment horizontal="right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183" fontId="2" fillId="0" borderId="10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83" fontId="2" fillId="0" borderId="6" xfId="0" applyNumberFormat="1" applyFont="1" applyBorder="1" applyAlignment="1">
      <alignment horizontal="right" vertical="center" shrinkToFit="1"/>
    </xf>
    <xf numFmtId="189" fontId="2" fillId="0" borderId="10" xfId="0" applyNumberFormat="1" applyFont="1" applyBorder="1" applyAlignment="1">
      <alignment horizontal="right" vertical="center" shrinkToFit="1"/>
    </xf>
    <xf numFmtId="189" fontId="2" fillId="0" borderId="6" xfId="0" applyNumberFormat="1" applyFont="1" applyBorder="1" applyAlignment="1">
      <alignment horizontal="right" vertical="center" shrinkToFit="1"/>
    </xf>
    <xf numFmtId="189" fontId="2" fillId="0" borderId="5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10" xfId="0" applyNumberFormat="1" applyFont="1" applyBorder="1" applyAlignment="1">
      <alignment horizontal="left" vertical="center" shrinkToFit="1"/>
    </xf>
    <xf numFmtId="0" fontId="0" fillId="0" borderId="10" xfId="0" applyBorder="1" applyAlignment="1">
      <alignment shrinkToFit="1"/>
    </xf>
    <xf numFmtId="49" fontId="2" fillId="0" borderId="6" xfId="0" applyNumberFormat="1" applyFont="1" applyBorder="1" applyAlignment="1">
      <alignment horizontal="left" vertical="center" shrinkToFit="1"/>
    </xf>
    <xf numFmtId="177" fontId="2" fillId="0" borderId="10" xfId="0" applyNumberFormat="1" applyFont="1" applyBorder="1" applyAlignment="1">
      <alignment horizontal="left" vertical="center" shrinkToFit="1"/>
    </xf>
    <xf numFmtId="177" fontId="2" fillId="0" borderId="3" xfId="0" applyNumberFormat="1" applyFont="1" applyBorder="1" applyAlignment="1">
      <alignment horizontal="left" vertical="center" shrinkToFit="1"/>
    </xf>
    <xf numFmtId="49" fontId="9" fillId="0" borderId="10" xfId="0" applyNumberFormat="1" applyFont="1" applyBorder="1" applyAlignment="1">
      <alignment horizontal="left" vertical="center" shrinkToFit="1"/>
    </xf>
    <xf numFmtId="0" fontId="11" fillId="0" borderId="10" xfId="0" applyFont="1" applyBorder="1" applyAlignment="1">
      <alignment shrinkToFit="1"/>
    </xf>
    <xf numFmtId="0" fontId="11" fillId="0" borderId="3" xfId="0" applyFont="1" applyBorder="1" applyAlignment="1">
      <alignment shrinkToFit="1"/>
    </xf>
    <xf numFmtId="190" fontId="2" fillId="0" borderId="3" xfId="0" applyNumberFormat="1" applyFont="1" applyBorder="1" applyAlignment="1">
      <alignment horizontal="right" vertical="center" shrinkToFit="1"/>
    </xf>
    <xf numFmtId="186" fontId="10" fillId="0" borderId="6" xfId="0" applyNumberFormat="1" applyFont="1" applyBorder="1" applyAlignment="1">
      <alignment horizontal="right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shrinkToFit="1"/>
    </xf>
    <xf numFmtId="191" fontId="2" fillId="0" borderId="3" xfId="0" applyNumberFormat="1" applyFont="1" applyBorder="1" applyAlignment="1">
      <alignment horizontal="right" vertical="center" shrinkToFit="1"/>
    </xf>
    <xf numFmtId="191" fontId="2" fillId="0" borderId="2" xfId="0" applyNumberFormat="1" applyFont="1" applyBorder="1" applyAlignment="1">
      <alignment horizontal="right" vertical="center" shrinkToFit="1"/>
    </xf>
    <xf numFmtId="177" fontId="2" fillId="0" borderId="3" xfId="0" applyNumberFormat="1" applyFont="1" applyBorder="1" applyAlignment="1">
      <alignment horizontal="right" vertical="center" shrinkToFit="1"/>
    </xf>
    <xf numFmtId="191" fontId="2" fillId="0" borderId="5" xfId="0" applyNumberFormat="1" applyFont="1" applyBorder="1" applyAlignment="1">
      <alignment horizontal="right" vertical="center" shrinkToFit="1"/>
    </xf>
    <xf numFmtId="191" fontId="2" fillId="0" borderId="4" xfId="0" applyNumberFormat="1" applyFont="1" applyBorder="1" applyAlignment="1">
      <alignment horizontal="right" vertical="center" shrinkToFit="1"/>
    </xf>
    <xf numFmtId="177" fontId="2" fillId="0" borderId="5" xfId="0" applyNumberFormat="1" applyFont="1" applyBorder="1" applyAlignment="1">
      <alignment horizontal="right" vertical="center" shrinkToFit="1"/>
    </xf>
    <xf numFmtId="177" fontId="2" fillId="0" borderId="2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0" fontId="3" fillId="0" borderId="0" xfId="0" applyFont="1" applyAlignment="1">
      <alignment horizontal="left" vertical="center" shrinkToFit="1"/>
    </xf>
    <xf numFmtId="192" fontId="2" fillId="0" borderId="3" xfId="0" applyNumberFormat="1" applyFont="1" applyBorder="1" applyAlignment="1">
      <alignment horizontal="right" vertical="center" shrinkToFit="1"/>
    </xf>
    <xf numFmtId="49" fontId="13" fillId="0" borderId="0" xfId="0" applyNumberFormat="1" applyFont="1" applyAlignment="1">
      <alignment horizontal="left" vertical="center"/>
    </xf>
    <xf numFmtId="49" fontId="14" fillId="0" borderId="10" xfId="0" applyNumberFormat="1" applyFont="1" applyBorder="1" applyAlignment="1">
      <alignment horizontal="center" vertical="center" shrinkToFit="1"/>
    </xf>
    <xf numFmtId="49" fontId="14" fillId="0" borderId="10" xfId="0" applyNumberFormat="1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0" fillId="0" borderId="9" xfId="0" applyBorder="1" applyAlignment="1">
      <alignment shrinkToFit="1"/>
    </xf>
    <xf numFmtId="194" fontId="2" fillId="0" borderId="10" xfId="0" applyNumberFormat="1" applyFont="1" applyBorder="1" applyAlignment="1">
      <alignment horizontal="right" vertical="center" shrinkToFit="1"/>
    </xf>
    <xf numFmtId="194" fontId="2" fillId="0" borderId="3" xfId="0" applyNumberFormat="1" applyFont="1" applyBorder="1" applyAlignment="1">
      <alignment horizontal="right" vertical="center" shrinkToFit="1"/>
    </xf>
    <xf numFmtId="194" fontId="2" fillId="0" borderId="6" xfId="0" applyNumberFormat="1" applyFont="1" applyBorder="1" applyAlignment="1">
      <alignment horizontal="right" vertical="center" shrinkToFit="1"/>
    </xf>
    <xf numFmtId="194" fontId="2" fillId="0" borderId="11" xfId="0" applyNumberFormat="1" applyFont="1" applyBorder="1" applyAlignment="1">
      <alignment horizontal="right" vertical="center" shrinkToFit="1"/>
    </xf>
    <xf numFmtId="0" fontId="0" fillId="0" borderId="12" xfId="0" applyBorder="1" applyAlignment="1">
      <alignment shrinkToFit="1"/>
    </xf>
    <xf numFmtId="193" fontId="2" fillId="0" borderId="0" xfId="0" applyNumberFormat="1" applyFont="1" applyAlignment="1">
      <alignment horizontal="right" vertical="center" shrinkToFit="1"/>
    </xf>
    <xf numFmtId="194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0" fontId="0" fillId="0" borderId="0" xfId="0" applyAlignment="1" applyProtection="1">
      <alignment shrinkToFit="1"/>
      <protection hidden="1"/>
    </xf>
    <xf numFmtId="49" fontId="2" fillId="4" borderId="0" xfId="0" applyNumberFormat="1" applyFont="1" applyFill="1" applyAlignment="1" applyProtection="1">
      <alignment horizontal="left" vertical="center" shrinkToFit="1"/>
      <protection hidden="1"/>
    </xf>
    <xf numFmtId="49" fontId="2" fillId="0" borderId="0" xfId="0" applyNumberFormat="1" applyFont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1" fontId="2" fillId="0" borderId="0" xfId="0" applyNumberFormat="1" applyFont="1" applyAlignment="1" applyProtection="1">
      <alignment horizontal="left" vertical="center" shrinkToFit="1"/>
      <protection hidden="1"/>
    </xf>
    <xf numFmtId="0" fontId="15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1" fillId="0" borderId="0" xfId="0" applyNumberFormat="1" applyFont="1" applyAlignment="1">
      <alignment horizontal="center" vertical="center" shrinkToFit="1"/>
    </xf>
    <xf numFmtId="49" fontId="2" fillId="0" borderId="9" xfId="0" applyNumberFormat="1" applyFont="1" applyBorder="1" applyAlignment="1">
      <alignment horizontal="right" vertical="center" shrinkToFit="1"/>
    </xf>
    <xf numFmtId="0" fontId="0" fillId="0" borderId="9" xfId="0" applyBorder="1"/>
    <xf numFmtId="49" fontId="2" fillId="0" borderId="6" xfId="0" applyNumberFormat="1" applyFont="1" applyBorder="1" applyAlignment="1">
      <alignment horizontal="center" vertical="center" shrinkToFit="1"/>
    </xf>
    <xf numFmtId="0" fontId="0" fillId="0" borderId="6" xfId="0" applyBorder="1"/>
    <xf numFmtId="49" fontId="2" fillId="0" borderId="3" xfId="0" applyNumberFormat="1" applyFont="1" applyBorder="1" applyAlignment="1">
      <alignment horizontal="left" vertical="center" shrinkToFit="1"/>
    </xf>
    <xf numFmtId="0" fontId="0" fillId="0" borderId="3" xfId="0" applyBorder="1"/>
    <xf numFmtId="49" fontId="2" fillId="0" borderId="10" xfId="0" applyNumberFormat="1" applyFont="1" applyBorder="1" applyAlignment="1">
      <alignment horizontal="center" vertical="center" textRotation="255" shrinkToFit="1"/>
    </xf>
    <xf numFmtId="0" fontId="0" fillId="0" borderId="10" xfId="0" applyBorder="1"/>
    <xf numFmtId="0" fontId="0" fillId="0" borderId="1" xfId="0" applyBorder="1"/>
    <xf numFmtId="49" fontId="2" fillId="0" borderId="2" xfId="0" applyNumberFormat="1" applyFont="1" applyBorder="1" applyAlignment="1">
      <alignment horizontal="center" vertical="center" shrinkToFit="1"/>
    </xf>
    <xf numFmtId="0" fontId="0" fillId="0" borderId="5" xfId="0" applyBorder="1"/>
    <xf numFmtId="49" fontId="10" fillId="2" borderId="0" xfId="0" applyNumberFormat="1" applyFont="1" applyFill="1" applyAlignment="1">
      <alignment horizontal="center" vertical="center" shrinkToFit="1"/>
    </xf>
    <xf numFmtId="177" fontId="2" fillId="0" borderId="5" xfId="0" applyNumberFormat="1" applyFont="1" applyBorder="1" applyAlignment="1">
      <alignment horizontal="left" vertical="center" shrinkToFit="1"/>
    </xf>
    <xf numFmtId="0" fontId="0" fillId="0" borderId="4" xfId="0" applyBorder="1"/>
    <xf numFmtId="49" fontId="2" fillId="0" borderId="5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83" fontId="2" fillId="0" borderId="10" xfId="0" applyNumberFormat="1" applyFont="1" applyBorder="1" applyAlignment="1">
      <alignment horizontal="right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0" fontId="0" fillId="0" borderId="7" xfId="0" applyBorder="1"/>
    <xf numFmtId="180" fontId="2" fillId="0" borderId="7" xfId="0" applyNumberFormat="1" applyFont="1" applyBorder="1" applyAlignment="1">
      <alignment horizontal="center" vertical="center" shrinkToFit="1"/>
    </xf>
    <xf numFmtId="181" fontId="2" fillId="0" borderId="7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1" fillId="0" borderId="0" xfId="0" applyNumberFormat="1" applyFont="1" applyAlignment="1" applyProtection="1">
      <alignment horizontal="left" vertical="center" shrinkToFit="1"/>
      <protection hidden="1"/>
    </xf>
    <xf numFmtId="49" fontId="2" fillId="0" borderId="3" xfId="0" applyNumberFormat="1" applyFont="1" applyBorder="1" applyAlignment="1">
      <alignment horizontal="distributed" vertical="center" indent="2" shrinkToFit="1"/>
    </xf>
    <xf numFmtId="0" fontId="0" fillId="0" borderId="3" xfId="0" applyBorder="1" applyAlignment="1">
      <alignment horizontal="distributed" indent="2"/>
    </xf>
    <xf numFmtId="0" fontId="0" fillId="0" borderId="1" xfId="0" applyBorder="1" applyAlignment="1">
      <alignment horizontal="distributed" indent="2"/>
    </xf>
    <xf numFmtId="49" fontId="2" fillId="0" borderId="2" xfId="0" applyNumberFormat="1" applyFont="1" applyBorder="1" applyAlignment="1">
      <alignment horizontal="distributed" vertical="center" indent="2" shrinkToFit="1"/>
    </xf>
    <xf numFmtId="0" fontId="0" fillId="0" borderId="5" xfId="0" applyBorder="1" applyAlignment="1">
      <alignment horizontal="distributed" indent="2"/>
    </xf>
    <xf numFmtId="49" fontId="9" fillId="0" borderId="2" xfId="0" applyNumberFormat="1" applyFont="1" applyBorder="1" applyAlignment="1">
      <alignment horizontal="distributed" vertical="center" indent="2" shrinkToFit="1"/>
    </xf>
  </cellXfs>
  <cellStyles count="1">
    <cellStyle name="표준" xfId="0" builtinId="0"/>
  </cellStyles>
  <dxfs count="8">
    <dxf>
      <numFmt numFmtId="176" formatCode="#,###"/>
    </dxf>
    <dxf>
      <numFmt numFmtId="176" formatCode="#,###"/>
    </dxf>
    <dxf>
      <numFmt numFmtId="176" formatCode="#,###"/>
    </dxf>
    <dxf>
      <fill>
        <patternFill>
          <bgColor rgb="FFC0C0C0"/>
        </patternFill>
      </fill>
    </dxf>
    <dxf>
      <fill>
        <patternFill>
          <bgColor rgb="FFFF0000"/>
        </patternFill>
      </fill>
    </dxf>
    <dxf>
      <numFmt numFmtId="176" formatCode="#,###"/>
    </dxf>
    <dxf>
      <numFmt numFmtId="176" formatCode="#,###"/>
    </dxf>
    <dxf>
      <fill>
        <patternFill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0AF8EE87-3111-451B-847D-CD14D2748491}"/>
            </a:ext>
          </a:extLst>
        </xdr:cNvPr>
        <xdr:cNvCxnSpPr/>
      </xdr:nvCxnSpPr>
      <xdr:spPr>
        <a:xfrm>
          <a:off x="0" y="523875"/>
          <a:ext cx="2514600" cy="419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1.xml"/><Relationship Id="rId4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2.xml"/><Relationship Id="rId4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3.xml"/><Relationship Id="rId4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stma.co.kr/" TargetMode="External"/><Relationship Id="rId1" Type="http://schemas.openxmlformats.org/officeDocument/2006/relationships/hyperlink" Target="http://www.stma.co.kr/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B1:D26"/>
  <sheetViews>
    <sheetView tabSelected="1" workbookViewId="0"/>
  </sheetViews>
  <sheetFormatPr defaultRowHeight="16.5" x14ac:dyDescent="0.3"/>
  <cols>
    <col min="2" max="2" width="31.625" customWidth="1"/>
    <col min="4" max="4" width="29.625" customWidth="1"/>
  </cols>
  <sheetData>
    <row r="1" spans="2:4" ht="24.95" customHeight="1" x14ac:dyDescent="0.3">
      <c r="D1" s="129" t="str">
        <f ca="1">IF('〓 INITIAL 〓'!C4,"※※ 기본정보의 일부가 삭제되어 Stmate로 변환할 수 없습니다 ※※","")</f>
        <v/>
      </c>
    </row>
    <row r="2" spans="2:4" ht="16.5" customHeight="1" x14ac:dyDescent="0.3">
      <c r="B2" s="117" t="s">
        <v>2402</v>
      </c>
      <c r="D2" s="130" t="s">
        <v>2541</v>
      </c>
    </row>
    <row r="3" spans="2:4" ht="16.5" customHeight="1" x14ac:dyDescent="0.3">
      <c r="D3" s="130" t="s">
        <v>2542</v>
      </c>
    </row>
    <row r="4" spans="2:4" ht="16.5" customHeight="1" x14ac:dyDescent="0.3">
      <c r="B4" s="24" t="s">
        <v>2403</v>
      </c>
      <c r="D4" s="3" t="str">
        <f>HYPERLINK("#'※※안내※※'!A1","※※안내※※ →")</f>
        <v>※※안내※※ →</v>
      </c>
    </row>
    <row r="5" spans="2:4" ht="16.5" customHeight="1" x14ac:dyDescent="0.3">
      <c r="B5" s="24" t="s">
        <v>2404</v>
      </c>
      <c r="D5" s="3" t="str">
        <f ca="1">HYPERLINK("#"&amp;공사원가계산서!G2&amp;"!A1","공사원가계산서 →")</f>
        <v>공사원가계산서 →</v>
      </c>
    </row>
    <row r="6" spans="2:4" ht="16.5" customHeight="1" x14ac:dyDescent="0.3">
      <c r="B6" s="24" t="s">
        <v>2405</v>
      </c>
      <c r="D6" s="3" t="str">
        <f ca="1">HYPERLINK("#"&amp;총괄설계내역서!H2&amp;"!A1","총괄설계내역서 →")</f>
        <v>총괄설계내역서 →</v>
      </c>
    </row>
    <row r="7" spans="2:4" ht="16.5" customHeight="1" x14ac:dyDescent="0.3">
      <c r="B7" s="24" t="s">
        <v>2406</v>
      </c>
      <c r="D7" s="3" t="str">
        <f ca="1">HYPERLINK("#"&amp;착공내역서!O2&amp;"!A1","착공내역서 →")</f>
        <v>착공내역서 →</v>
      </c>
    </row>
    <row r="8" spans="2:4" ht="16.5" customHeight="1" x14ac:dyDescent="0.3">
      <c r="B8" s="24" t="s">
        <v>2407</v>
      </c>
      <c r="D8" s="3" t="str">
        <f ca="1">HYPERLINK("#"&amp;일위대가목록표!J2&amp;"!A1","일위대가목록표 →")</f>
        <v>일위대가목록표 →</v>
      </c>
    </row>
    <row r="9" spans="2:4" ht="16.5" customHeight="1" x14ac:dyDescent="0.3">
      <c r="B9" s="24" t="s">
        <v>2408</v>
      </c>
      <c r="D9" s="3" t="str">
        <f ca="1">HYPERLINK("#"&amp;일위대가표!N2&amp;"!A1","일위대가표 →")</f>
        <v>일위대가표 →</v>
      </c>
    </row>
    <row r="10" spans="2:4" ht="16.5" customHeight="1" x14ac:dyDescent="0.3">
      <c r="B10" s="24" t="s">
        <v>2409</v>
      </c>
      <c r="D10" s="3" t="str">
        <f ca="1">HYPERLINK("#"&amp;일위대가수량금액집계표!K2&amp;"!A1","일위대가수량금액집계표 →")</f>
        <v>일위대가수량금액집계표 →</v>
      </c>
    </row>
    <row r="11" spans="2:4" ht="16.5" customHeight="1" x14ac:dyDescent="0.3">
      <c r="B11" s="24" t="s">
        <v>2410</v>
      </c>
      <c r="D11" s="3" t="str">
        <f ca="1">HYPERLINK("#"&amp;단가산출근거목록표!J2&amp;"!A1","단가산출근거목록표 →")</f>
        <v>단가산출근거목록표 →</v>
      </c>
    </row>
    <row r="12" spans="2:4" ht="16.5" customHeight="1" x14ac:dyDescent="0.3">
      <c r="B12" s="24" t="s">
        <v>2411</v>
      </c>
      <c r="D12" s="3" t="str">
        <f ca="1">HYPERLINK("#"&amp;단가산출근거!G2&amp;"!A1","단가산출근거 →")</f>
        <v>단가산출근거 →</v>
      </c>
    </row>
    <row r="13" spans="2:4" ht="16.5" customHeight="1" x14ac:dyDescent="0.3">
      <c r="B13" s="24" t="s">
        <v>2412</v>
      </c>
      <c r="D13" s="3" t="str">
        <f ca="1">HYPERLINK("#"&amp;단가산출근거수량금액집계표!K2&amp;"!A1","단가산출근거수량금액집계표 →")</f>
        <v>단가산출근거수량금액집계표 →</v>
      </c>
    </row>
    <row r="14" spans="2:4" ht="16.5" customHeight="1" x14ac:dyDescent="0.3">
      <c r="B14" s="24" t="s">
        <v>2413</v>
      </c>
      <c r="D14" s="3" t="str">
        <f ca="1">HYPERLINK("#"&amp;환율및기초자료!I2&amp;"!A1","환율및기초자료 →")</f>
        <v>환율및기초자료 →</v>
      </c>
    </row>
    <row r="15" spans="2:4" ht="16.5" customHeight="1" x14ac:dyDescent="0.3">
      <c r="B15" s="24" t="s">
        <v>2414</v>
      </c>
      <c r="D15" s="3" t="str">
        <f ca="1">HYPERLINK("#"&amp;중기목록표!J2&amp;"!A1","중기목록표 →")</f>
        <v>중기목록표 →</v>
      </c>
    </row>
    <row r="16" spans="2:4" ht="16.5" customHeight="1" x14ac:dyDescent="0.3">
      <c r="B16" s="24" t="s">
        <v>2415</v>
      </c>
      <c r="D16" s="3" t="str">
        <f ca="1">HYPERLINK("#"&amp;중기사용료!N2&amp;"!A1","중기사용료 →")</f>
        <v>중기사용료 →</v>
      </c>
    </row>
    <row r="17" spans="2:4" ht="16.5" customHeight="1" x14ac:dyDescent="0.3">
      <c r="B17" s="24" t="s">
        <v>2416</v>
      </c>
      <c r="D17" s="3" t="str">
        <f ca="1">HYPERLINK("#"&amp;재료비목록표!G2&amp;"!A1","재료비목록표 →")</f>
        <v>재료비목록표 →</v>
      </c>
    </row>
    <row r="18" spans="2:4" ht="16.5" customHeight="1" x14ac:dyDescent="0.3">
      <c r="B18" s="24" t="s">
        <v>2417</v>
      </c>
      <c r="D18" s="3" t="str">
        <f ca="1">HYPERLINK("#"&amp;노무비목록표!G2&amp;"!A1","노무비목록표 →")</f>
        <v>노무비목록표 →</v>
      </c>
    </row>
    <row r="19" spans="2:4" ht="16.5" customHeight="1" x14ac:dyDescent="0.3">
      <c r="B19" s="24" t="s">
        <v>2418</v>
      </c>
      <c r="D19" s="3" t="str">
        <f ca="1">HYPERLINK("#"&amp;경비목록표!G2&amp;"!A1","경비목록표 →")</f>
        <v>경비목록표 →</v>
      </c>
    </row>
    <row r="20" spans="2:4" ht="16.5" customHeight="1" x14ac:dyDescent="0.3">
      <c r="B20" s="24" t="s">
        <v>2419</v>
      </c>
      <c r="D20" s="3" t="str">
        <f ca="1">HYPERLINK("#"&amp;일식견적목록표!J2&amp;"!A1","일식견적목록표 →")</f>
        <v>일식견적목록표 →</v>
      </c>
    </row>
    <row r="21" spans="2:4" ht="16.5" customHeight="1" x14ac:dyDescent="0.3">
      <c r="B21" s="24" t="s">
        <v>2420</v>
      </c>
      <c r="D21" s="3" t="str">
        <f ca="1">HYPERLINK("#"&amp;자재단가대비표!R2&amp;"!A1","자재단가대비표 →")</f>
        <v>자재단가대비표 →</v>
      </c>
    </row>
    <row r="22" spans="2:4" ht="16.5" customHeight="1" x14ac:dyDescent="0.3">
      <c r="B22" s="24" t="s">
        <v>2421</v>
      </c>
      <c r="D22" s="3" t="str">
        <f ca="1">HYPERLINK("#"&amp;재료비수량금액집계표!I2&amp;"!A1","재료비수량금액집계표 →")</f>
        <v>재료비수량금액집계표 →</v>
      </c>
    </row>
    <row r="23" spans="2:4" ht="16.5" customHeight="1" x14ac:dyDescent="0.3">
      <c r="B23" s="24" t="s">
        <v>2422</v>
      </c>
      <c r="D23" s="3" t="str">
        <f ca="1">HYPERLINK("#"&amp;노무비수량금액집계표!I2&amp;"!A1","노무비수량금액집계표 →")</f>
        <v>노무비수량금액집계표 →</v>
      </c>
    </row>
    <row r="24" spans="2:4" ht="16.5" customHeight="1" x14ac:dyDescent="0.3">
      <c r="B24" s="24" t="s">
        <v>2423</v>
      </c>
      <c r="D24" s="3" t="str">
        <f ca="1">HYPERLINK("#"&amp;경비수량금액집계표!I2&amp;"!A1","경비수량금액집계표 →")</f>
        <v>경비수량금액집계표 →</v>
      </c>
    </row>
    <row r="25" spans="2:4" ht="16.5" customHeight="1" x14ac:dyDescent="0.3">
      <c r="B25" s="24" t="s">
        <v>2424</v>
      </c>
      <c r="D25" s="3" t="str">
        <f ca="1">HYPERLINK("#"&amp;일식견적수량금액집계표!I2&amp;"!A1","일식견적수량금액집계표 →")</f>
        <v>일식견적수량금액집계표 →</v>
      </c>
    </row>
    <row r="26" spans="2:4" ht="16.5" customHeight="1" x14ac:dyDescent="0.3">
      <c r="B26" s="24" t="s">
        <v>2425</v>
      </c>
      <c r="D26" s="3" t="str">
        <f ca="1">HYPERLINK("#"&amp;중기시간금액집계표!K2&amp;"!A1","중기시간금액집계표 →")</f>
        <v>중기시간금액집계표 →</v>
      </c>
    </row>
  </sheetData>
  <phoneticPr fontId="23" type="noConversion"/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1"/>
  <headerFooter alignWithMargins="0">
    <oddFooter xml:space="preserve">&amp;C&amp;"굴림체,"&amp;9 - &amp;P -&amp;R&amp;"굴림체,"&amp;9 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258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6" customWidth="1"/>
    <col min="2" max="2" width="64.75" style="6" customWidth="1"/>
    <col min="3" max="6" width="10" style="6" customWidth="1"/>
    <col min="7" max="7" width="9.125" style="96" hidden="1" customWidth="1"/>
    <col min="8" max="23" width="2.5" style="6" customWidth="1"/>
    <col min="24" max="24" width="9.125" style="6" customWidth="1"/>
    <col min="25" max="25" width="9.125" style="18" customWidth="1"/>
    <col min="26" max="16384" width="9.125" style="6"/>
  </cols>
  <sheetData>
    <row r="1" spans="1:25" ht="24.95" customHeight="1" x14ac:dyDescent="0.3">
      <c r="A1" s="133" t="s">
        <v>1220</v>
      </c>
      <c r="B1" s="132"/>
      <c r="C1" s="132"/>
      <c r="D1" s="132"/>
      <c r="E1" s="132"/>
      <c r="F1" s="132"/>
      <c r="G1" s="5" t="s">
        <v>133</v>
      </c>
      <c r="Y1" s="19" t="s">
        <v>133</v>
      </c>
    </row>
    <row r="2" spans="1:25" ht="12.6" customHeight="1" x14ac:dyDescent="0.3">
      <c r="A2" s="1" t="s">
        <v>1</v>
      </c>
      <c r="G2" s="20" t="str">
        <f ca="1">MID(CELL("filename",$A$1),FIND("]",CELL("filename",$A$1))+1,LEN(CELL("filename",$A$1)))</f>
        <v>단가산출근거</v>
      </c>
    </row>
    <row r="3" spans="1:25" ht="12.6" customHeight="1" x14ac:dyDescent="0.3">
      <c r="A3" s="149" t="s">
        <v>1221</v>
      </c>
      <c r="B3" s="149" t="s">
        <v>1222</v>
      </c>
      <c r="C3" s="149" t="s">
        <v>6</v>
      </c>
      <c r="D3" s="149" t="s">
        <v>7</v>
      </c>
      <c r="E3" s="149" t="s">
        <v>8</v>
      </c>
      <c r="F3" s="136" t="s">
        <v>9</v>
      </c>
    </row>
    <row r="4" spans="1:25" ht="12.6" customHeight="1" x14ac:dyDescent="0.3">
      <c r="A4" s="142"/>
      <c r="B4" s="142"/>
      <c r="C4" s="142"/>
      <c r="D4" s="142"/>
      <c r="E4" s="142"/>
      <c r="F4" s="137"/>
      <c r="H4" s="35" t="s">
        <v>1223</v>
      </c>
      <c r="I4" s="35" t="s">
        <v>1224</v>
      </c>
      <c r="J4" s="35" t="s">
        <v>476</v>
      </c>
      <c r="K4" s="35" t="s">
        <v>414</v>
      </c>
      <c r="L4" s="35" t="s">
        <v>1225</v>
      </c>
      <c r="Y4" s="3" t="str">
        <f>HYPERLINK("#'〓 목 차 〓'!B2","목차 →")</f>
        <v>목차 →</v>
      </c>
    </row>
    <row r="5" spans="1:25" ht="12.6" customHeight="1" x14ac:dyDescent="0.3">
      <c r="A5" s="100" t="s">
        <v>137</v>
      </c>
      <c r="B5" s="101" t="s">
        <v>11</v>
      </c>
      <c r="C5" s="150">
        <f>C39</f>
        <v>8029</v>
      </c>
      <c r="D5" s="150">
        <f>D39</f>
        <v>6594</v>
      </c>
      <c r="E5" s="150">
        <f>E39</f>
        <v>1118</v>
      </c>
      <c r="F5" s="150">
        <f>F39</f>
        <v>317</v>
      </c>
      <c r="G5" s="97" t="str">
        <f>HYPERLINK("#G"&amp;ROW(G23),"_x0005_`BDCOD|D00083_x0007_`POSS|"&amp;ROW(G7)&amp;"_x0007_`POSE|"&amp;ROW(G23)&amp;"_x0007_`")</f>
        <v>_x0005_`BDCOD|D00083_x0007_`POSS|7_x0007_`POSE|23_x0007_`</v>
      </c>
    </row>
    <row r="6" spans="1:25" ht="12.6" customHeight="1" x14ac:dyDescent="0.3">
      <c r="A6" s="83"/>
      <c r="B6" s="101" t="s">
        <v>1226</v>
      </c>
      <c r="C6" s="139"/>
      <c r="D6" s="139"/>
      <c r="E6" s="139"/>
      <c r="F6" s="139"/>
      <c r="M6" s="35" t="s">
        <v>137</v>
      </c>
    </row>
    <row r="7" spans="1:25" ht="12.6" customHeight="1" x14ac:dyDescent="0.3">
      <c r="A7" s="68"/>
      <c r="B7" s="77" t="s">
        <v>1228</v>
      </c>
      <c r="C7" s="103"/>
      <c r="D7" s="103"/>
      <c r="E7" s="103"/>
      <c r="F7" s="103"/>
      <c r="G7" s="17" t="s">
        <v>1227</v>
      </c>
    </row>
    <row r="8" spans="1:25" ht="12.6" customHeight="1" x14ac:dyDescent="0.3">
      <c r="A8" s="78"/>
      <c r="B8" s="78"/>
      <c r="C8" s="78"/>
      <c r="D8" s="78"/>
      <c r="E8" s="78"/>
      <c r="F8" s="78"/>
      <c r="G8" s="17" t="s">
        <v>1229</v>
      </c>
    </row>
    <row r="9" spans="1:25" ht="12.6" customHeight="1" x14ac:dyDescent="0.3">
      <c r="A9" s="68"/>
      <c r="B9" s="77" t="s">
        <v>1231</v>
      </c>
      <c r="C9" s="78"/>
      <c r="D9" s="78"/>
      <c r="E9" s="78"/>
      <c r="F9" s="78"/>
      <c r="G9" s="17" t="s">
        <v>1230</v>
      </c>
    </row>
    <row r="10" spans="1:25" ht="12.6" customHeight="1" x14ac:dyDescent="0.3">
      <c r="A10" s="78"/>
      <c r="B10" s="78"/>
      <c r="C10" s="78"/>
      <c r="D10" s="78"/>
      <c r="E10" s="78"/>
      <c r="F10" s="78"/>
      <c r="G10" s="17" t="s">
        <v>1229</v>
      </c>
    </row>
    <row r="11" spans="1:25" ht="12.6" customHeight="1" x14ac:dyDescent="0.3">
      <c r="A11" s="68"/>
      <c r="B11" s="77" t="s">
        <v>1233</v>
      </c>
      <c r="C11" s="78"/>
      <c r="D11" s="78"/>
      <c r="E11" s="78"/>
      <c r="F11" s="78"/>
      <c r="G11" s="17" t="s">
        <v>1232</v>
      </c>
    </row>
    <row r="12" spans="1:25" ht="12.6" customHeight="1" x14ac:dyDescent="0.3">
      <c r="A12" s="78"/>
      <c r="B12" s="78"/>
      <c r="C12" s="78"/>
      <c r="D12" s="78"/>
      <c r="E12" s="78"/>
      <c r="F12" s="78"/>
      <c r="G12" s="17" t="s">
        <v>1229</v>
      </c>
    </row>
    <row r="13" spans="1:25" ht="12.6" customHeight="1" x14ac:dyDescent="0.3">
      <c r="A13" s="68"/>
      <c r="B13" s="77" t="s">
        <v>1235</v>
      </c>
      <c r="C13" s="78"/>
      <c r="D13" s="78"/>
      <c r="E13" s="78"/>
      <c r="F13" s="78"/>
      <c r="G13" s="17" t="s">
        <v>1234</v>
      </c>
    </row>
    <row r="14" spans="1:25" ht="12.6" customHeight="1" x14ac:dyDescent="0.3">
      <c r="A14" s="78"/>
      <c r="B14" s="78"/>
      <c r="C14" s="78"/>
      <c r="D14" s="78"/>
      <c r="E14" s="78"/>
      <c r="F14" s="78"/>
      <c r="G14" s="17" t="s">
        <v>1229</v>
      </c>
    </row>
    <row r="15" spans="1:25" ht="12.6" customHeight="1" x14ac:dyDescent="0.3">
      <c r="A15" s="68"/>
      <c r="B15" s="77" t="s">
        <v>1237</v>
      </c>
      <c r="C15" s="78"/>
      <c r="D15" s="78"/>
      <c r="E15" s="78"/>
      <c r="F15" s="78"/>
      <c r="G15" s="17" t="s">
        <v>1236</v>
      </c>
    </row>
    <row r="16" spans="1:25" ht="12.6" customHeight="1" x14ac:dyDescent="0.3">
      <c r="A16" s="78"/>
      <c r="B16" s="78"/>
      <c r="C16" s="78"/>
      <c r="D16" s="78"/>
      <c r="E16" s="78"/>
      <c r="F16" s="78"/>
      <c r="G16" s="17" t="s">
        <v>1229</v>
      </c>
    </row>
    <row r="17" spans="1:25" ht="12.6" customHeight="1" x14ac:dyDescent="0.3">
      <c r="A17" s="68" t="s">
        <v>1239</v>
      </c>
      <c r="B17" s="102" t="str">
        <f>" 노 무 비  :   "&amp;TEXT(I17,"#,##0"&amp;IF(I17&lt;&gt;INT(I17),".###",""))&amp;" / Q  = "&amp;TEXT(C17,"#,##0.0")&amp;""</f>
        <v xml:space="preserve"> 노 무 비  :   35,608 / Q  = 6,594.0</v>
      </c>
      <c r="C17" s="104">
        <f>E17+D17+F17</f>
        <v>6594</v>
      </c>
      <c r="D17" s="104">
        <f>IF(H17=0,0,ROUNDDOWN(J17*H17,1))</f>
        <v>6594</v>
      </c>
      <c r="E17" s="104">
        <f>IF(H17=0,0,ROUNDDOWN(K17*H17,1))</f>
        <v>0</v>
      </c>
      <c r="F17" s="104">
        <f>IF(H17=0,0,ROUNDDOWN(L17*H17,1))</f>
        <v>0</v>
      </c>
      <c r="G17" s="17" t="s">
        <v>1238</v>
      </c>
      <c r="H17" s="109">
        <v>0.1851851851854</v>
      </c>
      <c r="I17" s="110">
        <f>K17+J17+L17</f>
        <v>35608</v>
      </c>
      <c r="J17" s="39">
        <f>중기목록표!F22</f>
        <v>35608</v>
      </c>
      <c r="M17" s="35" t="s">
        <v>1240</v>
      </c>
      <c r="N17" s="35" t="s">
        <v>1247</v>
      </c>
      <c r="X17" s="111" t="str">
        <f>중기목록표!B22&amp;" / "&amp;중기목록표!C22</f>
        <v>콘크리트 믹서 / 0.45㎥</v>
      </c>
      <c r="Y17" s="3" t="str">
        <f ca="1">HYPERLINK("#"&amp;중기목록표!J2&amp;"!A"&amp;ROW(중기목록표!A22),"X00350 →")</f>
        <v>X00350 →</v>
      </c>
    </row>
    <row r="18" spans="1:25" ht="12.6" customHeight="1" x14ac:dyDescent="0.3">
      <c r="A18" s="78"/>
      <c r="B18" s="78"/>
      <c r="C18" s="78"/>
      <c r="D18" s="78"/>
      <c r="E18" s="78"/>
      <c r="F18" s="78"/>
      <c r="G18" s="17" t="s">
        <v>1229</v>
      </c>
    </row>
    <row r="19" spans="1:25" ht="12.6" customHeight="1" x14ac:dyDescent="0.3">
      <c r="A19" s="68" t="s">
        <v>1242</v>
      </c>
      <c r="B19" s="102" t="str">
        <f>" 재 료 비  :   "&amp;TEXT(I19,"#,##0"&amp;IF(I19&lt;&gt;INT(I19),".###",""))&amp;" / Q  = "&amp;TEXT(C19,"#,##0.0")&amp;""</f>
        <v xml:space="preserve"> 재 료 비  :   6,038 / Q  = 1,118.1</v>
      </c>
      <c r="C19" s="104">
        <f>E19+D19+F19</f>
        <v>1118.0999999999999</v>
      </c>
      <c r="D19" s="104">
        <f>IF(H19=0,0,ROUNDDOWN(J19*H19,1))</f>
        <v>0</v>
      </c>
      <c r="E19" s="104">
        <f>IF(H19=0,0,ROUNDDOWN(K19*H19,1))</f>
        <v>1118.0999999999999</v>
      </c>
      <c r="F19" s="104">
        <f>IF(H19=0,0,ROUNDDOWN(L19*H19,1))</f>
        <v>0</v>
      </c>
      <c r="G19" s="17" t="s">
        <v>1241</v>
      </c>
      <c r="H19" s="109">
        <v>0.1851851851854</v>
      </c>
      <c r="I19" s="110">
        <f>K19+J19+L19</f>
        <v>6038</v>
      </c>
      <c r="K19" s="39">
        <f>중기목록표!G22</f>
        <v>6038</v>
      </c>
      <c r="M19" s="35" t="s">
        <v>1240</v>
      </c>
      <c r="N19" s="35" t="s">
        <v>1247</v>
      </c>
      <c r="X19" s="111" t="str">
        <f>중기목록표!B22&amp;" / "&amp;중기목록표!C22</f>
        <v>콘크리트 믹서 / 0.45㎥</v>
      </c>
      <c r="Y19" s="3" t="str">
        <f ca="1">HYPERLINK("#"&amp;중기목록표!J2&amp;"!A"&amp;ROW(중기목록표!A22),"X00350 →")</f>
        <v>X00350 →</v>
      </c>
    </row>
    <row r="20" spans="1:25" ht="12.6" customHeight="1" x14ac:dyDescent="0.3">
      <c r="A20" s="78"/>
      <c r="B20" s="78"/>
      <c r="C20" s="78"/>
      <c r="D20" s="78"/>
      <c r="E20" s="78"/>
      <c r="F20" s="78"/>
      <c r="G20" s="17" t="s">
        <v>1229</v>
      </c>
    </row>
    <row r="21" spans="1:25" ht="12.6" customHeight="1" x14ac:dyDescent="0.3">
      <c r="A21" s="68" t="s">
        <v>1244</v>
      </c>
      <c r="B21" s="102" t="str">
        <f>" 경    비  :   "&amp;TEXT(I21,"#,##0"&amp;IF(I21&lt;&gt;INT(I21),".###",""))&amp;" / Q  = "&amp;TEXT(C21,"#,##0.0")&amp;""</f>
        <v xml:space="preserve"> 경    비  :   1,713 / Q  = 317.2</v>
      </c>
      <c r="C21" s="104">
        <f>E21+D21+F21</f>
        <v>317.2</v>
      </c>
      <c r="D21" s="104">
        <f>IF(H21=0,0,ROUNDDOWN(J21*H21,1))</f>
        <v>0</v>
      </c>
      <c r="E21" s="104">
        <f>IF(H21=0,0,ROUNDDOWN(K21*H21,1))</f>
        <v>0</v>
      </c>
      <c r="F21" s="104">
        <f>IF(H21=0,0,ROUNDDOWN(L21*H21,1))</f>
        <v>317.2</v>
      </c>
      <c r="G21" s="17" t="s">
        <v>1243</v>
      </c>
      <c r="H21" s="109">
        <v>0.1851851851854</v>
      </c>
      <c r="I21" s="110">
        <f>K21+J21+L21</f>
        <v>1713</v>
      </c>
      <c r="L21" s="39">
        <f>중기목록표!H22</f>
        <v>1713</v>
      </c>
      <c r="M21" s="35" t="s">
        <v>1240</v>
      </c>
      <c r="N21" s="35" t="s">
        <v>1247</v>
      </c>
      <c r="X21" s="111" t="str">
        <f>중기목록표!B22&amp;" / "&amp;중기목록표!C22</f>
        <v>콘크리트 믹서 / 0.45㎥</v>
      </c>
      <c r="Y21" s="3" t="str">
        <f ca="1">HYPERLINK("#"&amp;중기목록표!J2&amp;"!A"&amp;ROW(중기목록표!A22),"X00350 →")</f>
        <v>X00350 →</v>
      </c>
    </row>
    <row r="22" spans="1:25" ht="12.6" customHeight="1" x14ac:dyDescent="0.3">
      <c r="A22" s="78"/>
      <c r="B22" s="78"/>
      <c r="C22" s="78"/>
      <c r="D22" s="78"/>
      <c r="E22" s="78"/>
      <c r="F22" s="78"/>
      <c r="G22" s="17" t="s">
        <v>1229</v>
      </c>
    </row>
    <row r="23" spans="1:25" ht="12.6" customHeight="1" x14ac:dyDescent="0.3">
      <c r="A23" s="68"/>
      <c r="B23" s="77" t="s">
        <v>1246</v>
      </c>
      <c r="C23" s="105">
        <f>E23+D23+F23</f>
        <v>8029.3</v>
      </c>
      <c r="D23" s="105">
        <f>SUMIF(N7:N22,M23,D7:D22)</f>
        <v>6594</v>
      </c>
      <c r="E23" s="105">
        <f>SUMIF(N7:N22,M23,E7:E22)</f>
        <v>1118.0999999999999</v>
      </c>
      <c r="F23" s="105">
        <f>SUMIF(N7:N22,M23,F7:F22)</f>
        <v>317.2</v>
      </c>
      <c r="G23" s="17" t="s">
        <v>1245</v>
      </c>
      <c r="M23" s="35" t="s">
        <v>1247</v>
      </c>
      <c r="N23" s="35" t="s">
        <v>1011</v>
      </c>
    </row>
    <row r="24" spans="1:25" ht="12.6" customHeight="1" x14ac:dyDescent="0.3">
      <c r="A24" s="78"/>
      <c r="B24" s="78"/>
      <c r="C24" s="103"/>
      <c r="D24" s="103"/>
      <c r="E24" s="103"/>
      <c r="F24" s="103"/>
    </row>
    <row r="25" spans="1:25" ht="12.6" customHeight="1" x14ac:dyDescent="0.3">
      <c r="A25" s="78"/>
      <c r="B25" s="78"/>
      <c r="C25" s="78"/>
      <c r="D25" s="78"/>
      <c r="E25" s="78"/>
      <c r="F25" s="78"/>
    </row>
    <row r="26" spans="1:25" ht="12.6" customHeight="1" x14ac:dyDescent="0.3">
      <c r="A26" s="78"/>
      <c r="B26" s="78"/>
      <c r="C26" s="78"/>
      <c r="D26" s="78"/>
      <c r="E26" s="78"/>
      <c r="F26" s="78"/>
    </row>
    <row r="27" spans="1:25" ht="12.6" customHeight="1" x14ac:dyDescent="0.3">
      <c r="A27" s="78"/>
      <c r="B27" s="78"/>
      <c r="C27" s="78"/>
      <c r="D27" s="78"/>
      <c r="E27" s="78"/>
      <c r="F27" s="78"/>
    </row>
    <row r="28" spans="1:25" ht="12.6" customHeight="1" x14ac:dyDescent="0.3">
      <c r="A28" s="78"/>
      <c r="B28" s="78"/>
      <c r="C28" s="78"/>
      <c r="D28" s="78"/>
      <c r="E28" s="78"/>
      <c r="F28" s="78"/>
    </row>
    <row r="29" spans="1:25" ht="12.6" customHeight="1" x14ac:dyDescent="0.3">
      <c r="A29" s="78"/>
      <c r="B29" s="78"/>
      <c r="C29" s="78"/>
      <c r="D29" s="78"/>
      <c r="E29" s="78"/>
      <c r="F29" s="78"/>
    </row>
    <row r="30" spans="1:25" ht="12.6" customHeight="1" x14ac:dyDescent="0.3">
      <c r="A30" s="78"/>
      <c r="B30" s="78"/>
      <c r="C30" s="78"/>
      <c r="D30" s="78"/>
      <c r="E30" s="78"/>
      <c r="F30" s="78"/>
    </row>
    <row r="31" spans="1:25" ht="12.6" customHeight="1" x14ac:dyDescent="0.3">
      <c r="A31" s="78"/>
      <c r="B31" s="78"/>
      <c r="C31" s="78"/>
      <c r="D31" s="78"/>
      <c r="E31" s="78"/>
      <c r="F31" s="78"/>
    </row>
    <row r="32" spans="1:25" ht="12.6" customHeight="1" x14ac:dyDescent="0.3">
      <c r="A32" s="78"/>
      <c r="B32" s="78"/>
      <c r="C32" s="78"/>
      <c r="D32" s="78"/>
      <c r="E32" s="78"/>
      <c r="F32" s="78"/>
    </row>
    <row r="33" spans="1:13" ht="12.6" customHeight="1" x14ac:dyDescent="0.3">
      <c r="A33" s="78"/>
      <c r="B33" s="78"/>
      <c r="C33" s="78"/>
      <c r="D33" s="78"/>
      <c r="E33" s="78"/>
      <c r="F33" s="78"/>
    </row>
    <row r="34" spans="1:13" ht="12.6" customHeight="1" x14ac:dyDescent="0.3">
      <c r="A34" s="78"/>
      <c r="B34" s="78"/>
      <c r="C34" s="78"/>
      <c r="D34" s="78"/>
      <c r="E34" s="78"/>
      <c r="F34" s="78"/>
    </row>
    <row r="35" spans="1:13" ht="12.6" customHeight="1" x14ac:dyDescent="0.3">
      <c r="A35" s="78"/>
      <c r="B35" s="78"/>
      <c r="C35" s="78"/>
      <c r="D35" s="78"/>
      <c r="E35" s="78"/>
      <c r="F35" s="78"/>
    </row>
    <row r="36" spans="1:13" ht="12.6" customHeight="1" x14ac:dyDescent="0.3">
      <c r="A36" s="78"/>
      <c r="B36" s="78"/>
      <c r="C36" s="78"/>
      <c r="D36" s="78"/>
      <c r="E36" s="78"/>
      <c r="F36" s="78"/>
    </row>
    <row r="37" spans="1:13" ht="12.6" customHeight="1" x14ac:dyDescent="0.3">
      <c r="A37" s="78"/>
      <c r="B37" s="78"/>
      <c r="C37" s="78"/>
      <c r="D37" s="78"/>
      <c r="E37" s="78"/>
      <c r="F37" s="78"/>
    </row>
    <row r="38" spans="1:13" ht="12.6" customHeight="1" x14ac:dyDescent="0.3">
      <c r="A38" s="56"/>
      <c r="B38" s="56"/>
      <c r="C38" s="56"/>
      <c r="D38" s="56"/>
      <c r="E38" s="56"/>
      <c r="F38" s="56"/>
    </row>
    <row r="39" spans="1:13" ht="12.6" customHeight="1" x14ac:dyDescent="0.3">
      <c r="A39" s="143" t="s">
        <v>1248</v>
      </c>
      <c r="B39" s="144"/>
      <c r="C39" s="54">
        <f>E39+D39+F39</f>
        <v>8029</v>
      </c>
      <c r="D39" s="52">
        <f>ROUNDDOWN(SUMIF(N7:N23,M39,D7:D23),0)</f>
        <v>6594</v>
      </c>
      <c r="E39" s="64">
        <f>ROUNDDOWN(SUMIF(N7:N23,M39,E7:E23),0)</f>
        <v>1118</v>
      </c>
      <c r="F39" s="54">
        <f>ROUNDDOWN(SUMIF(N7:N23,M39,F7:F23),0)</f>
        <v>317</v>
      </c>
      <c r="M39" s="35" t="s">
        <v>1011</v>
      </c>
    </row>
    <row r="40" spans="1:13" ht="12.6" customHeight="1" x14ac:dyDescent="0.3">
      <c r="A40" s="100" t="s">
        <v>141</v>
      </c>
      <c r="B40" s="101" t="s">
        <v>17</v>
      </c>
      <c r="C40" s="150">
        <f>C74</f>
        <v>8029</v>
      </c>
      <c r="D40" s="150">
        <f>D74</f>
        <v>4569</v>
      </c>
      <c r="E40" s="150">
        <f>E74</f>
        <v>1539</v>
      </c>
      <c r="F40" s="150">
        <f>F74</f>
        <v>1921</v>
      </c>
      <c r="G40" s="97" t="str">
        <f>HYPERLINK("#G"&amp;ROW(G70),"_x0005_`BDCOD|D00091_x0007_`POSS|"&amp;ROW(G42)&amp;"_x0007_`POSE|"&amp;ROW(G70)&amp;"_x0007_`")</f>
        <v>_x0005_`BDCOD|D00091_x0007_`POSS|42_x0007_`POSE|70_x0007_`</v>
      </c>
    </row>
    <row r="41" spans="1:13" ht="12.6" customHeight="1" x14ac:dyDescent="0.3">
      <c r="A41" s="83"/>
      <c r="B41" s="101" t="s">
        <v>138</v>
      </c>
      <c r="C41" s="139"/>
      <c r="D41" s="139"/>
      <c r="E41" s="139"/>
      <c r="F41" s="139"/>
      <c r="M41" s="35" t="s">
        <v>141</v>
      </c>
    </row>
    <row r="42" spans="1:13" ht="12.6" customHeight="1" x14ac:dyDescent="0.3">
      <c r="A42" s="78"/>
      <c r="B42" s="78"/>
      <c r="C42" s="103"/>
      <c r="D42" s="103"/>
      <c r="E42" s="103"/>
      <c r="F42" s="103"/>
      <c r="G42" s="17" t="s">
        <v>1229</v>
      </c>
    </row>
    <row r="43" spans="1:13" ht="12.6" customHeight="1" x14ac:dyDescent="0.3">
      <c r="A43" s="68"/>
      <c r="B43" s="77" t="s">
        <v>1250</v>
      </c>
      <c r="C43" s="78"/>
      <c r="D43" s="78"/>
      <c r="E43" s="78"/>
      <c r="F43" s="78"/>
      <c r="G43" s="17" t="s">
        <v>1249</v>
      </c>
    </row>
    <row r="44" spans="1:13" ht="12.6" customHeight="1" x14ac:dyDescent="0.3">
      <c r="A44" s="78"/>
      <c r="B44" s="78"/>
      <c r="C44" s="78"/>
      <c r="D44" s="78"/>
      <c r="E44" s="78"/>
      <c r="F44" s="78"/>
      <c r="G44" s="17" t="s">
        <v>1229</v>
      </c>
    </row>
    <row r="45" spans="1:13" ht="12.6" customHeight="1" x14ac:dyDescent="0.3">
      <c r="A45" s="68"/>
      <c r="B45" s="77" t="s">
        <v>1252</v>
      </c>
      <c r="C45" s="78"/>
      <c r="D45" s="78"/>
      <c r="E45" s="78"/>
      <c r="F45" s="78"/>
      <c r="G45" s="17" t="s">
        <v>1251</v>
      </c>
    </row>
    <row r="46" spans="1:13" ht="12.6" customHeight="1" x14ac:dyDescent="0.3">
      <c r="A46" s="78"/>
      <c r="B46" s="78"/>
      <c r="C46" s="78"/>
      <c r="D46" s="78"/>
      <c r="E46" s="78"/>
      <c r="F46" s="78"/>
      <c r="G46" s="17" t="s">
        <v>1229</v>
      </c>
    </row>
    <row r="47" spans="1:13" ht="12.6" customHeight="1" x14ac:dyDescent="0.3">
      <c r="A47" s="68"/>
      <c r="B47" s="77" t="s">
        <v>1254</v>
      </c>
      <c r="C47" s="78"/>
      <c r="D47" s="78"/>
      <c r="E47" s="78"/>
      <c r="F47" s="78"/>
      <c r="G47" s="17" t="s">
        <v>1253</v>
      </c>
    </row>
    <row r="48" spans="1:13" ht="12.6" customHeight="1" x14ac:dyDescent="0.3">
      <c r="A48" s="78"/>
      <c r="B48" s="78"/>
      <c r="C48" s="78"/>
      <c r="D48" s="78"/>
      <c r="E48" s="78"/>
      <c r="F48" s="78"/>
      <c r="G48" s="17" t="s">
        <v>1229</v>
      </c>
    </row>
    <row r="49" spans="1:25" ht="12.6" customHeight="1" x14ac:dyDescent="0.3">
      <c r="A49" s="68"/>
      <c r="B49" s="77" t="s">
        <v>1256</v>
      </c>
      <c r="C49" s="78"/>
      <c r="D49" s="78"/>
      <c r="E49" s="78"/>
      <c r="F49" s="78"/>
      <c r="G49" s="17" t="s">
        <v>1255</v>
      </c>
    </row>
    <row r="50" spans="1:25" ht="12.6" customHeight="1" x14ac:dyDescent="0.3">
      <c r="A50" s="78"/>
      <c r="B50" s="78"/>
      <c r="C50" s="78"/>
      <c r="D50" s="78"/>
      <c r="E50" s="78"/>
      <c r="F50" s="78"/>
      <c r="G50" s="17" t="s">
        <v>1229</v>
      </c>
    </row>
    <row r="51" spans="1:25" ht="12.6" customHeight="1" x14ac:dyDescent="0.3">
      <c r="A51" s="68"/>
      <c r="B51" s="77" t="s">
        <v>1258</v>
      </c>
      <c r="C51" s="78"/>
      <c r="D51" s="78"/>
      <c r="E51" s="78"/>
      <c r="F51" s="78"/>
      <c r="G51" s="17" t="s">
        <v>1257</v>
      </c>
    </row>
    <row r="52" spans="1:25" ht="12.6" customHeight="1" x14ac:dyDescent="0.3">
      <c r="A52" s="78"/>
      <c r="B52" s="78"/>
      <c r="C52" s="78"/>
      <c r="D52" s="78"/>
      <c r="E52" s="78"/>
      <c r="F52" s="78"/>
      <c r="G52" s="17" t="s">
        <v>1229</v>
      </c>
    </row>
    <row r="53" spans="1:25" ht="12.6" customHeight="1" x14ac:dyDescent="0.3">
      <c r="A53" s="68"/>
      <c r="B53" s="77" t="s">
        <v>1260</v>
      </c>
      <c r="C53" s="78"/>
      <c r="D53" s="78"/>
      <c r="E53" s="78"/>
      <c r="F53" s="78"/>
      <c r="G53" s="17" t="s">
        <v>1259</v>
      </c>
    </row>
    <row r="54" spans="1:25" ht="12.6" customHeight="1" x14ac:dyDescent="0.3">
      <c r="A54" s="78"/>
      <c r="B54" s="78"/>
      <c r="C54" s="78"/>
      <c r="D54" s="78"/>
      <c r="E54" s="78"/>
      <c r="F54" s="78"/>
      <c r="G54" s="17" t="s">
        <v>1229</v>
      </c>
    </row>
    <row r="55" spans="1:25" ht="12.6" customHeight="1" x14ac:dyDescent="0.3">
      <c r="A55" s="68"/>
      <c r="B55" s="77" t="s">
        <v>1262</v>
      </c>
      <c r="C55" s="78"/>
      <c r="D55" s="78"/>
      <c r="E55" s="78"/>
      <c r="F55" s="78"/>
      <c r="G55" s="17" t="s">
        <v>1261</v>
      </c>
    </row>
    <row r="56" spans="1:25" ht="12.6" customHeight="1" x14ac:dyDescent="0.3">
      <c r="A56" s="78"/>
      <c r="B56" s="78"/>
      <c r="C56" s="78"/>
      <c r="D56" s="78"/>
      <c r="E56" s="78"/>
      <c r="F56" s="78"/>
      <c r="G56" s="17" t="s">
        <v>1229</v>
      </c>
    </row>
    <row r="57" spans="1:25" ht="12.6" customHeight="1" x14ac:dyDescent="0.3">
      <c r="A57" s="68"/>
      <c r="B57" s="77" t="s">
        <v>1264</v>
      </c>
      <c r="C57" s="78"/>
      <c r="D57" s="78"/>
      <c r="E57" s="78"/>
      <c r="F57" s="78"/>
      <c r="G57" s="17" t="s">
        <v>1263</v>
      </c>
    </row>
    <row r="58" spans="1:25" ht="12.6" customHeight="1" x14ac:dyDescent="0.3">
      <c r="A58" s="78"/>
      <c r="B58" s="78"/>
      <c r="C58" s="78"/>
      <c r="D58" s="78"/>
      <c r="E58" s="78"/>
      <c r="F58" s="78"/>
      <c r="G58" s="17" t="s">
        <v>1229</v>
      </c>
    </row>
    <row r="59" spans="1:25" ht="12.6" customHeight="1" x14ac:dyDescent="0.3">
      <c r="A59" s="68"/>
      <c r="B59" s="77" t="s">
        <v>1266</v>
      </c>
      <c r="C59" s="78"/>
      <c r="D59" s="78"/>
      <c r="E59" s="78"/>
      <c r="F59" s="78"/>
      <c r="G59" s="17" t="s">
        <v>1265</v>
      </c>
    </row>
    <row r="60" spans="1:25" ht="12.6" customHeight="1" x14ac:dyDescent="0.3">
      <c r="A60" s="78"/>
      <c r="B60" s="78"/>
      <c r="C60" s="78"/>
      <c r="D60" s="78"/>
      <c r="E60" s="78"/>
      <c r="F60" s="78"/>
      <c r="G60" s="17" t="s">
        <v>1229</v>
      </c>
    </row>
    <row r="61" spans="1:25" ht="12.6" customHeight="1" x14ac:dyDescent="0.3">
      <c r="A61" s="68"/>
      <c r="B61" s="77" t="s">
        <v>1268</v>
      </c>
      <c r="C61" s="78"/>
      <c r="D61" s="78"/>
      <c r="E61" s="78"/>
      <c r="F61" s="78"/>
      <c r="G61" s="17" t="s">
        <v>1267</v>
      </c>
    </row>
    <row r="62" spans="1:25" ht="12.6" customHeight="1" x14ac:dyDescent="0.3">
      <c r="A62" s="78"/>
      <c r="B62" s="78"/>
      <c r="C62" s="78"/>
      <c r="D62" s="78"/>
      <c r="E62" s="78"/>
      <c r="F62" s="78"/>
      <c r="G62" s="17" t="s">
        <v>1229</v>
      </c>
    </row>
    <row r="63" spans="1:25" ht="12.6" customHeight="1" x14ac:dyDescent="0.3">
      <c r="A63" s="78"/>
      <c r="B63" s="78"/>
      <c r="C63" s="78"/>
      <c r="D63" s="78"/>
      <c r="E63" s="78"/>
      <c r="F63" s="78"/>
      <c r="G63" s="17" t="s">
        <v>1229</v>
      </c>
    </row>
    <row r="64" spans="1:25" ht="12.6" customHeight="1" x14ac:dyDescent="0.3">
      <c r="A64" s="68" t="s">
        <v>1270</v>
      </c>
      <c r="B64" s="102" t="str">
        <f>" 노 무 비  : "&amp;TEXT(I64,"#,##0"&amp;IF(I64&lt;&gt;INT(I64),".###",""))&amp;" / Q = "&amp;TEXT(C64,"#,##0.0")&amp;""</f>
        <v xml:space="preserve"> 노 무 비  : 57,077 / Q = 4,569.8</v>
      </c>
      <c r="C64" s="104">
        <f>E64+D64+F64</f>
        <v>4569.8</v>
      </c>
      <c r="D64" s="104">
        <f>IF(H64=0,0,ROUNDDOWN(J64*H64,1))</f>
        <v>4569.8</v>
      </c>
      <c r="E64" s="104">
        <f>IF(H64=0,0,ROUNDDOWN(K64*H64,1))</f>
        <v>0</v>
      </c>
      <c r="F64" s="104">
        <f>IF(H64=0,0,ROUNDDOWN(L64*H64,1))</f>
        <v>0</v>
      </c>
      <c r="G64" s="17" t="s">
        <v>1269</v>
      </c>
      <c r="H64" s="109">
        <v>8.0064051241200002E-2</v>
      </c>
      <c r="I64" s="110">
        <f>K64+J64+L64</f>
        <v>57077</v>
      </c>
      <c r="J64" s="39">
        <f>중기목록표!F8</f>
        <v>57077</v>
      </c>
      <c r="M64" s="35" t="s">
        <v>1271</v>
      </c>
      <c r="N64" s="35" t="s">
        <v>1247</v>
      </c>
      <c r="X64" s="111" t="str">
        <f>중기목록표!B8&amp;" / "&amp;중기목록표!C8</f>
        <v>굴삭기(무한궤도) / 0.7㎥</v>
      </c>
      <c r="Y64" s="3" t="str">
        <f ca="1">HYPERLINK("#"&amp;중기목록표!J2&amp;"!A"&amp;ROW(중기목록표!A8),"X00022 →")</f>
        <v>X00022 →</v>
      </c>
    </row>
    <row r="65" spans="1:25" ht="12.6" customHeight="1" x14ac:dyDescent="0.3">
      <c r="A65" s="78"/>
      <c r="B65" s="78"/>
      <c r="C65" s="78"/>
      <c r="D65" s="78"/>
      <c r="E65" s="78"/>
      <c r="F65" s="78"/>
      <c r="G65" s="17" t="s">
        <v>1229</v>
      </c>
    </row>
    <row r="66" spans="1:25" ht="12.6" customHeight="1" x14ac:dyDescent="0.3">
      <c r="A66" s="68" t="s">
        <v>1273</v>
      </c>
      <c r="B66" s="102" t="str">
        <f>" 재 료 비  : "&amp;TEXT(I66,"#,##0"&amp;IF(I66&lt;&gt;INT(I66),".###",""))&amp;" / Q = "&amp;TEXT(C66,"#,##0.0")&amp;""</f>
        <v xml:space="preserve"> 재 료 비  : 19,232 / Q = 1,539.7</v>
      </c>
      <c r="C66" s="104">
        <f>E66+D66+F66</f>
        <v>1539.7</v>
      </c>
      <c r="D66" s="104">
        <f>IF(H66=0,0,ROUNDDOWN(J66*H66,1))</f>
        <v>0</v>
      </c>
      <c r="E66" s="104">
        <f>IF(H66=0,0,ROUNDDOWN(K66*H66,1))</f>
        <v>1539.7</v>
      </c>
      <c r="F66" s="104">
        <f>IF(H66=0,0,ROUNDDOWN(L66*H66,1))</f>
        <v>0</v>
      </c>
      <c r="G66" s="17" t="s">
        <v>1272</v>
      </c>
      <c r="H66" s="109">
        <v>8.0064051241200002E-2</v>
      </c>
      <c r="I66" s="110">
        <f>K66+J66+L66</f>
        <v>19232</v>
      </c>
      <c r="K66" s="39">
        <f>중기목록표!G8</f>
        <v>19232</v>
      </c>
      <c r="M66" s="35" t="s">
        <v>1271</v>
      </c>
      <c r="N66" s="35" t="s">
        <v>1247</v>
      </c>
      <c r="X66" s="111" t="str">
        <f>중기목록표!B8&amp;" / "&amp;중기목록표!C8</f>
        <v>굴삭기(무한궤도) / 0.7㎥</v>
      </c>
      <c r="Y66" s="3" t="str">
        <f ca="1">HYPERLINK("#"&amp;중기목록표!J2&amp;"!A"&amp;ROW(중기목록표!A8),"X00022 →")</f>
        <v>X00022 →</v>
      </c>
    </row>
    <row r="67" spans="1:25" ht="12.6" customHeight="1" x14ac:dyDescent="0.3">
      <c r="A67" s="78"/>
      <c r="B67" s="78"/>
      <c r="C67" s="78"/>
      <c r="D67" s="78"/>
      <c r="E67" s="78"/>
      <c r="F67" s="78"/>
      <c r="G67" s="17" t="s">
        <v>1229</v>
      </c>
    </row>
    <row r="68" spans="1:25" ht="12.6" customHeight="1" x14ac:dyDescent="0.3">
      <c r="A68" s="68" t="s">
        <v>1275</v>
      </c>
      <c r="B68" s="102" t="str">
        <f>" 경    비  : "&amp;TEXT(I68,"#,##0"&amp;IF(I68&lt;&gt;INT(I68),".###",""))&amp;" / Q = "&amp;TEXT(C68,"#,##0.0")&amp;""</f>
        <v xml:space="preserve"> 경    비  : 24,001 / Q = 1,921.6</v>
      </c>
      <c r="C68" s="104">
        <f>E68+D68+F68</f>
        <v>1921.6</v>
      </c>
      <c r="D68" s="104">
        <f>IF(H68=0,0,ROUNDDOWN(J68*H68,1))</f>
        <v>0</v>
      </c>
      <c r="E68" s="104">
        <f>IF(H68=0,0,ROUNDDOWN(K68*H68,1))</f>
        <v>0</v>
      </c>
      <c r="F68" s="104">
        <f>IF(H68=0,0,ROUNDDOWN(L68*H68,1))</f>
        <v>1921.6</v>
      </c>
      <c r="G68" s="17" t="s">
        <v>1274</v>
      </c>
      <c r="H68" s="109">
        <v>8.0064051241200002E-2</v>
      </c>
      <c r="I68" s="110">
        <f>K68+J68+L68</f>
        <v>24001</v>
      </c>
      <c r="L68" s="39">
        <f>중기목록표!H8</f>
        <v>24001</v>
      </c>
      <c r="M68" s="35" t="s">
        <v>1271</v>
      </c>
      <c r="N68" s="35" t="s">
        <v>1247</v>
      </c>
      <c r="X68" s="111" t="str">
        <f>중기목록표!B8&amp;" / "&amp;중기목록표!C8</f>
        <v>굴삭기(무한궤도) / 0.7㎥</v>
      </c>
      <c r="Y68" s="3" t="str">
        <f ca="1">HYPERLINK("#"&amp;중기목록표!J2&amp;"!A"&amp;ROW(중기목록표!A8),"X00022 →")</f>
        <v>X00022 →</v>
      </c>
    </row>
    <row r="69" spans="1:25" ht="12.6" customHeight="1" x14ac:dyDescent="0.3">
      <c r="A69" s="78"/>
      <c r="B69" s="78"/>
      <c r="C69" s="78"/>
      <c r="D69" s="78"/>
      <c r="E69" s="78"/>
      <c r="F69" s="78"/>
      <c r="G69" s="17" t="s">
        <v>1229</v>
      </c>
    </row>
    <row r="70" spans="1:25" ht="12.6" customHeight="1" x14ac:dyDescent="0.3">
      <c r="A70" s="68"/>
      <c r="B70" s="77" t="s">
        <v>1246</v>
      </c>
      <c r="C70" s="105">
        <f>E70+D70+F70</f>
        <v>8031.1</v>
      </c>
      <c r="D70" s="105">
        <f>SUMIF(N42:N69,M70,D42:D69)</f>
        <v>4569.8</v>
      </c>
      <c r="E70" s="105">
        <f>SUMIF(N42:N69,M70,E42:E69)</f>
        <v>1539.7</v>
      </c>
      <c r="F70" s="105">
        <f>SUMIF(N42:N69,M70,F42:F69)</f>
        <v>1921.6</v>
      </c>
      <c r="G70" s="17" t="s">
        <v>1245</v>
      </c>
      <c r="M70" s="35" t="s">
        <v>1247</v>
      </c>
      <c r="N70" s="35" t="s">
        <v>1011</v>
      </c>
    </row>
    <row r="71" spans="1:25" ht="12.6" customHeight="1" x14ac:dyDescent="0.3">
      <c r="A71" s="78"/>
      <c r="B71" s="78"/>
      <c r="C71" s="103"/>
      <c r="D71" s="103"/>
      <c r="E71" s="103"/>
      <c r="F71" s="103"/>
    </row>
    <row r="72" spans="1:25" ht="12.6" customHeight="1" x14ac:dyDescent="0.3">
      <c r="A72" s="78"/>
      <c r="B72" s="78"/>
      <c r="C72" s="78"/>
      <c r="D72" s="78"/>
      <c r="E72" s="78"/>
      <c r="F72" s="78"/>
    </row>
    <row r="73" spans="1:25" ht="12.6" customHeight="1" x14ac:dyDescent="0.3">
      <c r="A73" s="56"/>
      <c r="B73" s="56"/>
      <c r="C73" s="56"/>
      <c r="D73" s="56"/>
      <c r="E73" s="56"/>
      <c r="F73" s="56"/>
    </row>
    <row r="74" spans="1:25" ht="12.6" customHeight="1" x14ac:dyDescent="0.3">
      <c r="A74" s="143" t="s">
        <v>1248</v>
      </c>
      <c r="B74" s="144"/>
      <c r="C74" s="54">
        <f>E74+D74+F74</f>
        <v>8029</v>
      </c>
      <c r="D74" s="52">
        <f>ROUNDDOWN(SUMIF(N42:N70,M74,D42:D70),0)</f>
        <v>4569</v>
      </c>
      <c r="E74" s="64">
        <f>ROUNDDOWN(SUMIF(N42:N70,M74,E42:E70),0)</f>
        <v>1539</v>
      </c>
      <c r="F74" s="54">
        <f>ROUNDDOWN(SUMIF(N42:N70,M74,F42:F70),0)</f>
        <v>1921</v>
      </c>
      <c r="M74" s="35" t="s">
        <v>1011</v>
      </c>
    </row>
    <row r="75" spans="1:25" ht="12.6" customHeight="1" x14ac:dyDescent="0.3">
      <c r="A75" s="100" t="s">
        <v>144</v>
      </c>
      <c r="B75" s="101" t="s">
        <v>23</v>
      </c>
      <c r="C75" s="150">
        <f>C179</f>
        <v>12899</v>
      </c>
      <c r="D75" s="150">
        <f>D179</f>
        <v>8082</v>
      </c>
      <c r="E75" s="150">
        <f>E179</f>
        <v>1892</v>
      </c>
      <c r="F75" s="150">
        <f>F179</f>
        <v>2925</v>
      </c>
      <c r="G75" s="97" t="str">
        <f>HYPERLINK("#G"&amp;ROW(G154),"_x0005_`BDCOD|D00408_x0007_`POSS|"&amp;ROW(G77)&amp;"_x0007_`POSE|"&amp;ROW(G154)&amp;"_x0007_`")</f>
        <v>_x0005_`BDCOD|D00408_x0007_`POSS|77_x0007_`POSE|154_x0007_`</v>
      </c>
    </row>
    <row r="76" spans="1:25" ht="12.6" customHeight="1" x14ac:dyDescent="0.3">
      <c r="A76" s="83"/>
      <c r="B76" s="101" t="s">
        <v>142</v>
      </c>
      <c r="C76" s="139"/>
      <c r="D76" s="139"/>
      <c r="E76" s="139"/>
      <c r="F76" s="139"/>
      <c r="M76" s="35" t="s">
        <v>144</v>
      </c>
    </row>
    <row r="77" spans="1:25" ht="12.6" customHeight="1" x14ac:dyDescent="0.3">
      <c r="A77" s="78"/>
      <c r="B77" s="78"/>
      <c r="C77" s="103"/>
      <c r="D77" s="103"/>
      <c r="E77" s="103"/>
      <c r="F77" s="103"/>
      <c r="G77" s="17" t="s">
        <v>1229</v>
      </c>
    </row>
    <row r="78" spans="1:25" ht="12.6" customHeight="1" x14ac:dyDescent="0.3">
      <c r="A78" s="68"/>
      <c r="B78" s="77" t="s">
        <v>1277</v>
      </c>
      <c r="C78" s="78"/>
      <c r="D78" s="78"/>
      <c r="E78" s="78"/>
      <c r="F78" s="78"/>
      <c r="G78" s="17" t="s">
        <v>1276</v>
      </c>
    </row>
    <row r="79" spans="1:25" ht="12.6" customHeight="1" x14ac:dyDescent="0.3">
      <c r="A79" s="78"/>
      <c r="B79" s="78"/>
      <c r="C79" s="78"/>
      <c r="D79" s="78"/>
      <c r="E79" s="78"/>
      <c r="F79" s="78"/>
      <c r="G79" s="17" t="s">
        <v>1229</v>
      </c>
    </row>
    <row r="80" spans="1:25" ht="12.6" customHeight="1" x14ac:dyDescent="0.3">
      <c r="A80" s="68"/>
      <c r="B80" s="77" t="s">
        <v>1279</v>
      </c>
      <c r="C80" s="78"/>
      <c r="D80" s="78"/>
      <c r="E80" s="78"/>
      <c r="F80" s="78"/>
      <c r="G80" s="17" t="s">
        <v>1278</v>
      </c>
    </row>
    <row r="81" spans="1:25" ht="12.6" customHeight="1" x14ac:dyDescent="0.3">
      <c r="A81" s="78"/>
      <c r="B81" s="78"/>
      <c r="C81" s="78"/>
      <c r="D81" s="78"/>
      <c r="E81" s="78"/>
      <c r="F81" s="78"/>
      <c r="G81" s="17" t="s">
        <v>1229</v>
      </c>
    </row>
    <row r="82" spans="1:25" ht="12.6" customHeight="1" x14ac:dyDescent="0.3">
      <c r="A82" s="68"/>
      <c r="B82" s="77" t="s">
        <v>1281</v>
      </c>
      <c r="C82" s="78"/>
      <c r="D82" s="78"/>
      <c r="E82" s="78"/>
      <c r="F82" s="78"/>
      <c r="G82" s="17" t="s">
        <v>1280</v>
      </c>
    </row>
    <row r="83" spans="1:25" ht="12.6" customHeight="1" x14ac:dyDescent="0.3">
      <c r="A83" s="78"/>
      <c r="B83" s="78"/>
      <c r="C83" s="78"/>
      <c r="D83" s="78"/>
      <c r="E83" s="78"/>
      <c r="F83" s="78"/>
      <c r="G83" s="17" t="s">
        <v>1229</v>
      </c>
    </row>
    <row r="84" spans="1:25" ht="12.6" customHeight="1" x14ac:dyDescent="0.3">
      <c r="A84" s="68"/>
      <c r="B84" s="77" t="s">
        <v>1283</v>
      </c>
      <c r="C84" s="78"/>
      <c r="D84" s="78"/>
      <c r="E84" s="78"/>
      <c r="F84" s="78"/>
      <c r="G84" s="17" t="s">
        <v>1282</v>
      </c>
    </row>
    <row r="85" spans="1:25" ht="12.6" customHeight="1" x14ac:dyDescent="0.3">
      <c r="A85" s="78"/>
      <c r="B85" s="78"/>
      <c r="C85" s="78"/>
      <c r="D85" s="78"/>
      <c r="E85" s="78"/>
      <c r="F85" s="78"/>
      <c r="G85" s="17" t="s">
        <v>1229</v>
      </c>
    </row>
    <row r="86" spans="1:25" ht="12.6" customHeight="1" x14ac:dyDescent="0.3">
      <c r="A86" s="68" t="s">
        <v>1285</v>
      </c>
      <c r="B86" s="102" t="str">
        <f>" 노 무 비  :   "&amp;TEXT(I86,"#,##0"&amp;IF(I86&lt;&gt;INT(I86),".###",""))&amp;" / Q  = "&amp;TEXT(C86,"#,##0.0")&amp;""</f>
        <v xml:space="preserve"> 노 무 비  :   57,077 / Q  = 1,712.4</v>
      </c>
      <c r="C86" s="104">
        <f>E86+D86+F86</f>
        <v>1712.4</v>
      </c>
      <c r="D86" s="104">
        <f>IF(H86=0,0,ROUNDDOWN(J86*H86,1))</f>
        <v>1712.4</v>
      </c>
      <c r="E86" s="104">
        <f>IF(H86=0,0,ROUNDDOWN(K86*H86,1))</f>
        <v>0</v>
      </c>
      <c r="F86" s="104">
        <f>IF(H86=0,0,ROUNDDOWN(L86*H86,1))</f>
        <v>0</v>
      </c>
      <c r="G86" s="17" t="s">
        <v>1284</v>
      </c>
      <c r="H86" s="109">
        <v>3.0003000300199999E-2</v>
      </c>
      <c r="I86" s="110">
        <f>K86+J86+L86</f>
        <v>57077</v>
      </c>
      <c r="J86" s="39">
        <f>중기목록표!F5</f>
        <v>57077</v>
      </c>
      <c r="M86" s="35" t="s">
        <v>1286</v>
      </c>
      <c r="N86" s="35" t="s">
        <v>1247</v>
      </c>
      <c r="X86" s="111" t="str">
        <f>중기목록표!B5&amp;" / "&amp;중기목록표!C5</f>
        <v xml:space="preserve">굴삭기+브레카(0.7m3) / </v>
      </c>
      <c r="Y86" s="3" t="str">
        <f ca="1">HYPERLINK("#"&amp;중기목록표!J2&amp;"!A"&amp;ROW(중기목록표!A5),"X00004 →")</f>
        <v>X00004 →</v>
      </c>
    </row>
    <row r="87" spans="1:25" ht="12.6" customHeight="1" x14ac:dyDescent="0.3">
      <c r="A87" s="78"/>
      <c r="B87" s="78"/>
      <c r="C87" s="78"/>
      <c r="D87" s="78"/>
      <c r="E87" s="78"/>
      <c r="F87" s="78"/>
      <c r="G87" s="17" t="s">
        <v>1229</v>
      </c>
    </row>
    <row r="88" spans="1:25" ht="12.6" customHeight="1" x14ac:dyDescent="0.3">
      <c r="A88" s="68" t="s">
        <v>1288</v>
      </c>
      <c r="B88" s="102" t="str">
        <f>" 재 료 비  :   "&amp;TEXT(I88,"#,##0"&amp;IF(I88&lt;&gt;INT(I88),".###",""))&amp;" / Q  = "&amp;TEXT(C88,"#,##0.0")&amp;""</f>
        <v xml:space="preserve"> 재 료 비  :   18,286 / Q  = 548.6</v>
      </c>
      <c r="C88" s="104">
        <f>E88+D88+F88</f>
        <v>548.6</v>
      </c>
      <c r="D88" s="104">
        <f>IF(H88=0,0,ROUNDDOWN(J88*H88,1))</f>
        <v>0</v>
      </c>
      <c r="E88" s="104">
        <f>IF(H88=0,0,ROUNDDOWN(K88*H88,1))</f>
        <v>548.6</v>
      </c>
      <c r="F88" s="104">
        <f>IF(H88=0,0,ROUNDDOWN(L88*H88,1))</f>
        <v>0</v>
      </c>
      <c r="G88" s="17" t="s">
        <v>1287</v>
      </c>
      <c r="H88" s="109">
        <v>3.0003000300199999E-2</v>
      </c>
      <c r="I88" s="110">
        <f>K88+J88+L88</f>
        <v>18286</v>
      </c>
      <c r="K88" s="39">
        <f>중기목록표!G5</f>
        <v>18286</v>
      </c>
      <c r="M88" s="35" t="s">
        <v>1286</v>
      </c>
      <c r="N88" s="35" t="s">
        <v>1247</v>
      </c>
      <c r="X88" s="111" t="str">
        <f>중기목록표!B5&amp;" / "&amp;중기목록표!C5</f>
        <v xml:space="preserve">굴삭기+브레카(0.7m3) / </v>
      </c>
      <c r="Y88" s="3" t="str">
        <f ca="1">HYPERLINK("#"&amp;중기목록표!J2&amp;"!A"&amp;ROW(중기목록표!A5),"X00004 →")</f>
        <v>X00004 →</v>
      </c>
    </row>
    <row r="89" spans="1:25" ht="12.6" customHeight="1" x14ac:dyDescent="0.3">
      <c r="A89" s="78"/>
      <c r="B89" s="78"/>
      <c r="C89" s="78"/>
      <c r="D89" s="78"/>
      <c r="E89" s="78"/>
      <c r="F89" s="78"/>
      <c r="G89" s="17" t="s">
        <v>1229</v>
      </c>
    </row>
    <row r="90" spans="1:25" ht="12.6" customHeight="1" x14ac:dyDescent="0.3">
      <c r="A90" s="68" t="s">
        <v>1290</v>
      </c>
      <c r="B90" s="102" t="str">
        <f>" 경    비  :   "&amp;TEXT(I90,"#,##0"&amp;IF(I90&lt;&gt;INT(I90),".###",""))&amp;" / Q  = "&amp;TEXT(C90,"#,##0.0")&amp;""</f>
        <v xml:space="preserve"> 경    비  :   35,102 / Q  = 1,053.1</v>
      </c>
      <c r="C90" s="104">
        <f>E90+D90+F90</f>
        <v>1053.0999999999999</v>
      </c>
      <c r="D90" s="104">
        <f>IF(H90=0,0,ROUNDDOWN(J90*H90,1))</f>
        <v>0</v>
      </c>
      <c r="E90" s="104">
        <f>IF(H90=0,0,ROUNDDOWN(K90*H90,1))</f>
        <v>0</v>
      </c>
      <c r="F90" s="104">
        <f>IF(H90=0,0,ROUNDDOWN(L90*H90,1))</f>
        <v>1053.0999999999999</v>
      </c>
      <c r="G90" s="17" t="s">
        <v>1289</v>
      </c>
      <c r="H90" s="109">
        <v>3.0003000300199999E-2</v>
      </c>
      <c r="I90" s="110">
        <f>K90+J90+L90</f>
        <v>35102</v>
      </c>
      <c r="L90" s="39">
        <f>중기목록표!H5</f>
        <v>35102</v>
      </c>
      <c r="M90" s="35" t="s">
        <v>1286</v>
      </c>
      <c r="N90" s="35" t="s">
        <v>1247</v>
      </c>
      <c r="X90" s="111" t="str">
        <f>중기목록표!B5&amp;" / "&amp;중기목록표!C5</f>
        <v xml:space="preserve">굴삭기+브레카(0.7m3) / </v>
      </c>
      <c r="Y90" s="3" t="str">
        <f ca="1">HYPERLINK("#"&amp;중기목록표!J2&amp;"!A"&amp;ROW(중기목록표!A5),"X00004 →")</f>
        <v>X00004 →</v>
      </c>
    </row>
    <row r="91" spans="1:25" ht="12.6" customHeight="1" x14ac:dyDescent="0.3">
      <c r="A91" s="78"/>
      <c r="B91" s="78"/>
      <c r="C91" s="78"/>
      <c r="D91" s="78"/>
      <c r="E91" s="78"/>
      <c r="F91" s="78"/>
      <c r="G91" s="17" t="s">
        <v>1229</v>
      </c>
    </row>
    <row r="92" spans="1:25" ht="12.6" customHeight="1" x14ac:dyDescent="0.3">
      <c r="A92" s="68"/>
      <c r="B92" s="77" t="s">
        <v>1246</v>
      </c>
      <c r="C92" s="105">
        <f>E92+D92+F92</f>
        <v>3314.1</v>
      </c>
      <c r="D92" s="105">
        <f>SUMIF(N77:N91,M92,D77:D91)</f>
        <v>1712.4</v>
      </c>
      <c r="E92" s="105">
        <f>SUMIF(N77:N91,M92,E77:E91)</f>
        <v>548.6</v>
      </c>
      <c r="F92" s="105">
        <f>SUMIF(N77:N91,M92,F77:F91)</f>
        <v>1053.0999999999999</v>
      </c>
      <c r="G92" s="17" t="s">
        <v>1245</v>
      </c>
      <c r="M92" s="35" t="s">
        <v>1247</v>
      </c>
      <c r="N92" s="35" t="s">
        <v>1348</v>
      </c>
    </row>
    <row r="93" spans="1:25" ht="12.6" customHeight="1" x14ac:dyDescent="0.3">
      <c r="A93" s="78"/>
      <c r="B93" s="78"/>
      <c r="C93" s="103"/>
      <c r="D93" s="103"/>
      <c r="E93" s="103"/>
      <c r="F93" s="103"/>
      <c r="G93" s="17" t="s">
        <v>1229</v>
      </c>
    </row>
    <row r="94" spans="1:25" ht="12.6" customHeight="1" x14ac:dyDescent="0.3">
      <c r="A94" s="68"/>
      <c r="B94" s="77" t="s">
        <v>1292</v>
      </c>
      <c r="C94" s="78"/>
      <c r="D94" s="78"/>
      <c r="E94" s="78"/>
      <c r="F94" s="78"/>
      <c r="G94" s="17" t="s">
        <v>1291</v>
      </c>
    </row>
    <row r="95" spans="1:25" ht="12.6" customHeight="1" x14ac:dyDescent="0.3">
      <c r="A95" s="78"/>
      <c r="B95" s="78"/>
      <c r="C95" s="78"/>
      <c r="D95" s="78"/>
      <c r="E95" s="78"/>
      <c r="F95" s="78"/>
      <c r="G95" s="17" t="s">
        <v>1229</v>
      </c>
    </row>
    <row r="96" spans="1:25" ht="12.6" customHeight="1" x14ac:dyDescent="0.3">
      <c r="A96" s="68" t="s">
        <v>635</v>
      </c>
      <c r="B96" s="102" t="str">
        <f>"0.006 *("&amp;TEXT(I96,"#,##0"&amp;IF(I96&lt;&gt;INT(I96),".###",""))&amp;"*1000)/ Q= "&amp;TEXT(C96,"#,##0.0")&amp;" W/㎥ "</f>
        <v xml:space="preserve">0.006 *(223*1000)/ Q= 40.1 W/㎥ </v>
      </c>
      <c r="C96" s="104">
        <f>E96+D96+F96</f>
        <v>40.1</v>
      </c>
      <c r="D96" s="104">
        <f>IF(H96=0,0,ROUNDDOWN(J96*H96,1))</f>
        <v>0</v>
      </c>
      <c r="E96" s="104">
        <f>IF(H96=0,0,ROUNDDOWN(K96*H96,1))</f>
        <v>0</v>
      </c>
      <c r="F96" s="104">
        <f>IF(H96=0,0,ROUNDDOWN(L96*H96,1))</f>
        <v>40.1</v>
      </c>
      <c r="G96" s="17" t="s">
        <v>1293</v>
      </c>
      <c r="H96" s="109">
        <v>0.18001800180040001</v>
      </c>
      <c r="I96" s="110">
        <f>K96+J96+L96</f>
        <v>223</v>
      </c>
      <c r="L96" s="39">
        <f>경비목록표!E15</f>
        <v>223</v>
      </c>
      <c r="M96" s="35" t="s">
        <v>1294</v>
      </c>
      <c r="N96" s="35" t="s">
        <v>1247</v>
      </c>
      <c r="X96" s="111" t="str">
        <f>경비목록표!B15&amp;" / "&amp;경비목록표!C15</f>
        <v>대형브레이카용 치즐 / 0.7㎥</v>
      </c>
      <c r="Y96" s="3" t="str">
        <f ca="1">HYPERLINK("#"&amp;경비목록표!G2&amp;"!A"&amp;ROW(경비목록표!A15),"S00174 →")</f>
        <v>S00174 →</v>
      </c>
    </row>
    <row r="97" spans="1:14" ht="12.6" customHeight="1" x14ac:dyDescent="0.3">
      <c r="A97" s="78"/>
      <c r="B97" s="78"/>
      <c r="C97" s="78"/>
      <c r="D97" s="78"/>
      <c r="E97" s="78"/>
      <c r="F97" s="78"/>
      <c r="G97" s="17" t="s">
        <v>1229</v>
      </c>
    </row>
    <row r="98" spans="1:14" ht="12.6" customHeight="1" x14ac:dyDescent="0.3">
      <c r="A98" s="68"/>
      <c r="B98" s="77" t="s">
        <v>1246</v>
      </c>
      <c r="C98" s="105">
        <f>E98+D98+F98</f>
        <v>40.1</v>
      </c>
      <c r="D98" s="105">
        <f>SUMIF(N93:N97,M98,D93:D97)</f>
        <v>0</v>
      </c>
      <c r="E98" s="105">
        <f>SUMIF(N93:N97,M98,E93:E97)</f>
        <v>0</v>
      </c>
      <c r="F98" s="105">
        <f>SUMIF(N93:N97,M98,F93:F97)</f>
        <v>40.1</v>
      </c>
      <c r="G98" s="17" t="s">
        <v>1245</v>
      </c>
      <c r="M98" s="35" t="s">
        <v>1247</v>
      </c>
      <c r="N98" s="35" t="s">
        <v>1348</v>
      </c>
    </row>
    <row r="99" spans="1:14" ht="12.6" customHeight="1" x14ac:dyDescent="0.3">
      <c r="A99" s="78"/>
      <c r="B99" s="78"/>
      <c r="C99" s="103"/>
      <c r="D99" s="103"/>
      <c r="E99" s="103"/>
      <c r="F99" s="103"/>
      <c r="G99" s="17" t="s">
        <v>1229</v>
      </c>
    </row>
    <row r="100" spans="1:14" ht="12.6" customHeight="1" x14ac:dyDescent="0.3">
      <c r="A100" s="68"/>
      <c r="B100" s="77" t="s">
        <v>1296</v>
      </c>
      <c r="C100" s="78"/>
      <c r="D100" s="78"/>
      <c r="E100" s="78"/>
      <c r="F100" s="78"/>
      <c r="G100" s="17" t="s">
        <v>1295</v>
      </c>
    </row>
    <row r="101" spans="1:14" ht="12.6" customHeight="1" x14ac:dyDescent="0.3">
      <c r="A101" s="78"/>
      <c r="B101" s="78"/>
      <c r="C101" s="78"/>
      <c r="D101" s="78"/>
      <c r="E101" s="78"/>
      <c r="F101" s="78"/>
      <c r="G101" s="17" t="s">
        <v>1229</v>
      </c>
    </row>
    <row r="102" spans="1:14" ht="12.6" customHeight="1" x14ac:dyDescent="0.3">
      <c r="A102" s="68"/>
      <c r="B102" s="77" t="s">
        <v>1298</v>
      </c>
      <c r="C102" s="78"/>
      <c r="D102" s="78"/>
      <c r="E102" s="78"/>
      <c r="F102" s="78"/>
      <c r="G102" s="17" t="s">
        <v>1297</v>
      </c>
    </row>
    <row r="103" spans="1:14" ht="12.6" customHeight="1" x14ac:dyDescent="0.3">
      <c r="A103" s="78"/>
      <c r="B103" s="78"/>
      <c r="C103" s="78"/>
      <c r="D103" s="78"/>
      <c r="E103" s="78"/>
      <c r="F103" s="78"/>
      <c r="G103" s="17" t="s">
        <v>1229</v>
      </c>
    </row>
    <row r="104" spans="1:14" ht="12.6" customHeight="1" x14ac:dyDescent="0.3">
      <c r="A104" s="68"/>
      <c r="B104" s="77" t="s">
        <v>1300</v>
      </c>
      <c r="C104" s="78"/>
      <c r="D104" s="78"/>
      <c r="E104" s="78"/>
      <c r="F104" s="78"/>
      <c r="G104" s="17" t="s">
        <v>1299</v>
      </c>
    </row>
    <row r="105" spans="1:14" ht="12.6" customHeight="1" x14ac:dyDescent="0.3">
      <c r="A105" s="78"/>
      <c r="B105" s="78"/>
      <c r="C105" s="78"/>
      <c r="D105" s="78"/>
      <c r="E105" s="78"/>
      <c r="F105" s="78"/>
      <c r="G105" s="17" t="s">
        <v>1229</v>
      </c>
    </row>
    <row r="106" spans="1:14" ht="12.6" customHeight="1" x14ac:dyDescent="0.3">
      <c r="A106" s="68"/>
      <c r="B106" s="77" t="s">
        <v>1302</v>
      </c>
      <c r="C106" s="78"/>
      <c r="D106" s="78"/>
      <c r="E106" s="78"/>
      <c r="F106" s="78"/>
      <c r="G106" s="17" t="s">
        <v>1301</v>
      </c>
    </row>
    <row r="107" spans="1:14" ht="12.6" customHeight="1" x14ac:dyDescent="0.3">
      <c r="A107" s="78"/>
      <c r="B107" s="78"/>
      <c r="C107" s="78"/>
      <c r="D107" s="78"/>
      <c r="E107" s="78"/>
      <c r="F107" s="78"/>
      <c r="G107" s="17" t="s">
        <v>1229</v>
      </c>
    </row>
    <row r="108" spans="1:14" ht="12.6" customHeight="1" x14ac:dyDescent="0.3">
      <c r="A108" s="68"/>
      <c r="B108" s="77" t="s">
        <v>1304</v>
      </c>
      <c r="C108" s="78"/>
      <c r="D108" s="78"/>
      <c r="E108" s="78"/>
      <c r="F108" s="78"/>
      <c r="G108" s="17" t="s">
        <v>1303</v>
      </c>
    </row>
    <row r="109" spans="1:14" ht="12.6" customHeight="1" x14ac:dyDescent="0.3">
      <c r="A109" s="78"/>
      <c r="B109" s="78"/>
      <c r="C109" s="78"/>
      <c r="D109" s="78"/>
      <c r="E109" s="78"/>
      <c r="F109" s="78"/>
      <c r="G109" s="17" t="s">
        <v>1229</v>
      </c>
    </row>
    <row r="110" spans="1:14" ht="12.6" customHeight="1" x14ac:dyDescent="0.3">
      <c r="A110" s="68"/>
      <c r="B110" s="77" t="s">
        <v>1306</v>
      </c>
      <c r="C110" s="78"/>
      <c r="D110" s="78"/>
      <c r="E110" s="78"/>
      <c r="F110" s="78"/>
      <c r="G110" s="17" t="s">
        <v>1305</v>
      </c>
    </row>
    <row r="111" spans="1:14" ht="12.6" customHeight="1" x14ac:dyDescent="0.3">
      <c r="A111" s="78"/>
      <c r="B111" s="78"/>
      <c r="C111" s="78"/>
      <c r="D111" s="78"/>
      <c r="E111" s="78"/>
      <c r="F111" s="78"/>
      <c r="G111" s="17" t="s">
        <v>1229</v>
      </c>
    </row>
    <row r="112" spans="1:14" ht="12.6" customHeight="1" x14ac:dyDescent="0.3">
      <c r="A112" s="68"/>
      <c r="B112" s="77" t="s">
        <v>1308</v>
      </c>
      <c r="C112" s="78"/>
      <c r="D112" s="78"/>
      <c r="E112" s="78"/>
      <c r="F112" s="78"/>
      <c r="G112" s="17" t="s">
        <v>1307</v>
      </c>
    </row>
    <row r="113" spans="1:25" ht="12.6" customHeight="1" x14ac:dyDescent="0.3">
      <c r="A113" s="78"/>
      <c r="B113" s="78"/>
      <c r="C113" s="78"/>
      <c r="D113" s="78"/>
      <c r="E113" s="78"/>
      <c r="F113" s="78"/>
      <c r="G113" s="17" t="s">
        <v>1229</v>
      </c>
    </row>
    <row r="114" spans="1:25" ht="12.6" customHeight="1" x14ac:dyDescent="0.3">
      <c r="A114" s="68" t="s">
        <v>1310</v>
      </c>
      <c r="B114" s="102" t="str">
        <f>" 노 무 비  :   "&amp;TEXT(I114,"#,##0"&amp;IF(I114&lt;&gt;INT(I114),".###",""))&amp;" / Q1  = "&amp;TEXT(C114,"#,##0.0")&amp;""</f>
        <v xml:space="preserve"> 노 무 비  :   57,077 / Q1  = 2,835.4</v>
      </c>
      <c r="C114" s="104">
        <f>E114+D114+F114</f>
        <v>2835.4</v>
      </c>
      <c r="D114" s="104">
        <f>IF(H114=0,0,ROUNDDOWN(J114*H114,1))</f>
        <v>2835.4</v>
      </c>
      <c r="E114" s="104">
        <f>IF(H114=0,0,ROUNDDOWN(K114*H114,1))</f>
        <v>0</v>
      </c>
      <c r="F114" s="104">
        <f>IF(H114=0,0,ROUNDDOWN(L114*H114,1))</f>
        <v>0</v>
      </c>
      <c r="G114" s="17" t="s">
        <v>1309</v>
      </c>
      <c r="H114" s="109">
        <v>4.9677098857600001E-2</v>
      </c>
      <c r="I114" s="110">
        <f>K114+J114+L114</f>
        <v>57077</v>
      </c>
      <c r="J114" s="39">
        <f>중기목록표!F17</f>
        <v>57077</v>
      </c>
      <c r="M114" s="35" t="s">
        <v>1311</v>
      </c>
      <c r="N114" s="35" t="s">
        <v>1247</v>
      </c>
      <c r="X114" s="111" t="str">
        <f>중기목록표!B17&amp;" / "&amp;중기목록표!C17</f>
        <v>굴삭기(무한궤도) / 0.7㎥:할증120%</v>
      </c>
      <c r="Y114" s="3" t="str">
        <f ca="1">HYPERLINK("#"&amp;중기목록표!J2&amp;"!A"&amp;ROW(중기목록표!A17),"X00270 →")</f>
        <v>X00270 →</v>
      </c>
    </row>
    <row r="115" spans="1:25" ht="12.6" customHeight="1" x14ac:dyDescent="0.3">
      <c r="A115" s="78"/>
      <c r="B115" s="78"/>
      <c r="C115" s="78"/>
      <c r="D115" s="78"/>
      <c r="E115" s="78"/>
      <c r="F115" s="78"/>
      <c r="G115" s="17" t="s">
        <v>1229</v>
      </c>
    </row>
    <row r="116" spans="1:25" ht="12.6" customHeight="1" x14ac:dyDescent="0.3">
      <c r="A116" s="68" t="s">
        <v>1313</v>
      </c>
      <c r="B116" s="102" t="str">
        <f>" 재 료 비  :   "&amp;TEXT(I116,"#,##0"&amp;IF(I116&lt;&gt;INT(I116),".###",""))&amp;" / Q1  = "&amp;TEXT(C116,"#,##0.0")&amp;""</f>
        <v xml:space="preserve"> 재 료 비  :   19,232 / Q1  = 955.3</v>
      </c>
      <c r="C116" s="104">
        <f>E116+D116+F116</f>
        <v>955.3</v>
      </c>
      <c r="D116" s="104">
        <f>IF(H116=0,0,ROUNDDOWN(J116*H116,1))</f>
        <v>0</v>
      </c>
      <c r="E116" s="104">
        <f>IF(H116=0,0,ROUNDDOWN(K116*H116,1))</f>
        <v>955.3</v>
      </c>
      <c r="F116" s="104">
        <f>IF(H116=0,0,ROUNDDOWN(L116*H116,1))</f>
        <v>0</v>
      </c>
      <c r="G116" s="17" t="s">
        <v>1312</v>
      </c>
      <c r="H116" s="109">
        <v>4.9677098857600001E-2</v>
      </c>
      <c r="I116" s="110">
        <f>K116+J116+L116</f>
        <v>19232</v>
      </c>
      <c r="K116" s="39">
        <f>중기목록표!G17</f>
        <v>19232</v>
      </c>
      <c r="M116" s="35" t="s">
        <v>1311</v>
      </c>
      <c r="N116" s="35" t="s">
        <v>1247</v>
      </c>
      <c r="X116" s="111" t="str">
        <f>중기목록표!B17&amp;" / "&amp;중기목록표!C17</f>
        <v>굴삭기(무한궤도) / 0.7㎥:할증120%</v>
      </c>
      <c r="Y116" s="3" t="str">
        <f ca="1">HYPERLINK("#"&amp;중기목록표!J2&amp;"!A"&amp;ROW(중기목록표!A17),"X00270 →")</f>
        <v>X00270 →</v>
      </c>
    </row>
    <row r="117" spans="1:25" ht="12.6" customHeight="1" x14ac:dyDescent="0.3">
      <c r="A117" s="78"/>
      <c r="B117" s="78"/>
      <c r="C117" s="78"/>
      <c r="D117" s="78"/>
      <c r="E117" s="78"/>
      <c r="F117" s="78"/>
      <c r="G117" s="17" t="s">
        <v>1229</v>
      </c>
    </row>
    <row r="118" spans="1:25" ht="12.6" customHeight="1" x14ac:dyDescent="0.3">
      <c r="A118" s="68" t="s">
        <v>1315</v>
      </c>
      <c r="B118" s="102" t="str">
        <f>" 경    비  :   "&amp;TEXT(I118,"#,##0"&amp;IF(I118&lt;&gt;INT(I118),".###",""))&amp;" / Q1  = "&amp;TEXT(C118,"#,##0.0")&amp;""</f>
        <v xml:space="preserve"> 경    비  :   27,685 / Q1  = 1,375.3</v>
      </c>
      <c r="C118" s="104">
        <f>E118+D118+F118</f>
        <v>1375.3</v>
      </c>
      <c r="D118" s="104">
        <f>IF(H118=0,0,ROUNDDOWN(J118*H118,1))</f>
        <v>0</v>
      </c>
      <c r="E118" s="104">
        <f>IF(H118=0,0,ROUNDDOWN(K118*H118,1))</f>
        <v>0</v>
      </c>
      <c r="F118" s="104">
        <f>IF(H118=0,0,ROUNDDOWN(L118*H118,1))</f>
        <v>1375.3</v>
      </c>
      <c r="G118" s="17" t="s">
        <v>1314</v>
      </c>
      <c r="H118" s="109">
        <v>4.9677098857600001E-2</v>
      </c>
      <c r="I118" s="110">
        <f>K118+J118+L118</f>
        <v>27685</v>
      </c>
      <c r="L118" s="39">
        <f>중기목록표!H17</f>
        <v>27685</v>
      </c>
      <c r="M118" s="35" t="s">
        <v>1311</v>
      </c>
      <c r="N118" s="35" t="s">
        <v>1247</v>
      </c>
      <c r="X118" s="111" t="str">
        <f>중기목록표!B17&amp;" / "&amp;중기목록표!C17</f>
        <v>굴삭기(무한궤도) / 0.7㎥:할증120%</v>
      </c>
      <c r="Y118" s="3" t="str">
        <f ca="1">HYPERLINK("#"&amp;중기목록표!J2&amp;"!A"&amp;ROW(중기목록표!A17),"X00270 →")</f>
        <v>X00270 →</v>
      </c>
    </row>
    <row r="119" spans="1:25" ht="12.6" customHeight="1" x14ac:dyDescent="0.3">
      <c r="A119" s="78"/>
      <c r="B119" s="78"/>
      <c r="C119" s="78"/>
      <c r="D119" s="78"/>
      <c r="E119" s="78"/>
      <c r="F119" s="78"/>
      <c r="G119" s="17" t="s">
        <v>1229</v>
      </c>
    </row>
    <row r="120" spans="1:25" ht="12.6" customHeight="1" x14ac:dyDescent="0.3">
      <c r="A120" s="68"/>
      <c r="B120" s="77" t="s">
        <v>1246</v>
      </c>
      <c r="C120" s="105">
        <f>E120+D120+F120</f>
        <v>5166</v>
      </c>
      <c r="D120" s="105">
        <f>SUMIF(N99:N119,M120,D99:D119)</f>
        <v>2835.4</v>
      </c>
      <c r="E120" s="105">
        <f>SUMIF(N99:N119,M120,E99:E119)</f>
        <v>955.3</v>
      </c>
      <c r="F120" s="105">
        <f>SUMIF(N99:N119,M120,F99:F119)</f>
        <v>1375.3</v>
      </c>
      <c r="G120" s="17" t="s">
        <v>1245</v>
      </c>
      <c r="M120" s="35" t="s">
        <v>1247</v>
      </c>
      <c r="N120" s="35" t="s">
        <v>1348</v>
      </c>
    </row>
    <row r="121" spans="1:25" ht="12.6" customHeight="1" x14ac:dyDescent="0.3">
      <c r="A121" s="78"/>
      <c r="B121" s="78"/>
      <c r="C121" s="103"/>
      <c r="D121" s="103"/>
      <c r="E121" s="103"/>
      <c r="F121" s="103"/>
      <c r="G121" s="17" t="s">
        <v>1229</v>
      </c>
    </row>
    <row r="122" spans="1:25" ht="12.6" customHeight="1" x14ac:dyDescent="0.3">
      <c r="A122" s="68"/>
      <c r="B122" s="77" t="s">
        <v>1317</v>
      </c>
      <c r="C122" s="78"/>
      <c r="D122" s="78"/>
      <c r="E122" s="78"/>
      <c r="F122" s="78"/>
      <c r="G122" s="17" t="s">
        <v>1316</v>
      </c>
    </row>
    <row r="123" spans="1:25" ht="12.6" customHeight="1" x14ac:dyDescent="0.3">
      <c r="A123" s="78"/>
      <c r="B123" s="78"/>
      <c r="C123" s="78"/>
      <c r="D123" s="78"/>
      <c r="E123" s="78"/>
      <c r="F123" s="78"/>
      <c r="G123" s="17" t="s">
        <v>1229</v>
      </c>
    </row>
    <row r="124" spans="1:25" ht="12.6" customHeight="1" x14ac:dyDescent="0.3">
      <c r="A124" s="68"/>
      <c r="B124" s="77" t="s">
        <v>1319</v>
      </c>
      <c r="C124" s="78"/>
      <c r="D124" s="78"/>
      <c r="E124" s="78"/>
      <c r="F124" s="78"/>
      <c r="G124" s="17" t="s">
        <v>1318</v>
      </c>
    </row>
    <row r="125" spans="1:25" ht="12.6" customHeight="1" x14ac:dyDescent="0.3">
      <c r="A125" s="78"/>
      <c r="B125" s="78"/>
      <c r="C125" s="78"/>
      <c r="D125" s="78"/>
      <c r="E125" s="78"/>
      <c r="F125" s="78"/>
      <c r="G125" s="17" t="s">
        <v>1229</v>
      </c>
    </row>
    <row r="126" spans="1:25" ht="12.6" customHeight="1" x14ac:dyDescent="0.3">
      <c r="A126" s="68"/>
      <c r="B126" s="77" t="s">
        <v>1321</v>
      </c>
      <c r="C126" s="78"/>
      <c r="D126" s="78"/>
      <c r="E126" s="78"/>
      <c r="F126" s="78"/>
      <c r="G126" s="17" t="s">
        <v>1320</v>
      </c>
    </row>
    <row r="127" spans="1:25" ht="12.6" customHeight="1" x14ac:dyDescent="0.3">
      <c r="A127" s="78"/>
      <c r="B127" s="78"/>
      <c r="C127" s="78"/>
      <c r="D127" s="78"/>
      <c r="E127" s="78"/>
      <c r="F127" s="78"/>
      <c r="G127" s="17" t="s">
        <v>1229</v>
      </c>
    </row>
    <row r="128" spans="1:25" ht="12.6" customHeight="1" x14ac:dyDescent="0.3">
      <c r="A128" s="68"/>
      <c r="B128" s="77" t="s">
        <v>1323</v>
      </c>
      <c r="C128" s="78"/>
      <c r="D128" s="78"/>
      <c r="E128" s="78"/>
      <c r="F128" s="78"/>
      <c r="G128" s="17" t="s">
        <v>1322</v>
      </c>
    </row>
    <row r="129" spans="1:7" ht="12.6" customHeight="1" x14ac:dyDescent="0.3">
      <c r="A129" s="78"/>
      <c r="B129" s="78"/>
      <c r="C129" s="78"/>
      <c r="D129" s="78"/>
      <c r="E129" s="78"/>
      <c r="F129" s="78"/>
      <c r="G129" s="17" t="s">
        <v>1229</v>
      </c>
    </row>
    <row r="130" spans="1:7" ht="12.6" customHeight="1" x14ac:dyDescent="0.3">
      <c r="A130" s="68"/>
      <c r="B130" s="77" t="s">
        <v>1325</v>
      </c>
      <c r="C130" s="78"/>
      <c r="D130" s="78"/>
      <c r="E130" s="78"/>
      <c r="F130" s="78"/>
      <c r="G130" s="17" t="s">
        <v>1324</v>
      </c>
    </row>
    <row r="131" spans="1:7" ht="12.6" customHeight="1" x14ac:dyDescent="0.3">
      <c r="A131" s="78"/>
      <c r="B131" s="78"/>
      <c r="C131" s="78"/>
      <c r="D131" s="78"/>
      <c r="E131" s="78"/>
      <c r="F131" s="78"/>
      <c r="G131" s="17" t="s">
        <v>1229</v>
      </c>
    </row>
    <row r="132" spans="1:7" ht="12.6" customHeight="1" x14ac:dyDescent="0.3">
      <c r="A132" s="68"/>
      <c r="B132" s="77" t="s">
        <v>1327</v>
      </c>
      <c r="C132" s="78"/>
      <c r="D132" s="78"/>
      <c r="E132" s="78"/>
      <c r="F132" s="78"/>
      <c r="G132" s="17" t="s">
        <v>1326</v>
      </c>
    </row>
    <row r="133" spans="1:7" ht="12.6" customHeight="1" x14ac:dyDescent="0.3">
      <c r="A133" s="78"/>
      <c r="B133" s="78"/>
      <c r="C133" s="78"/>
      <c r="D133" s="78"/>
      <c r="E133" s="78"/>
      <c r="F133" s="78"/>
      <c r="G133" s="17" t="s">
        <v>1229</v>
      </c>
    </row>
    <row r="134" spans="1:7" ht="12.6" customHeight="1" x14ac:dyDescent="0.3">
      <c r="A134" s="68"/>
      <c r="B134" s="77" t="s">
        <v>1329</v>
      </c>
      <c r="C134" s="78"/>
      <c r="D134" s="78"/>
      <c r="E134" s="78"/>
      <c r="F134" s="78"/>
      <c r="G134" s="17" t="s">
        <v>1328</v>
      </c>
    </row>
    <row r="135" spans="1:7" ht="12.6" customHeight="1" x14ac:dyDescent="0.3">
      <c r="A135" s="78"/>
      <c r="B135" s="78"/>
      <c r="C135" s="78"/>
      <c r="D135" s="78"/>
      <c r="E135" s="78"/>
      <c r="F135" s="78"/>
      <c r="G135" s="17" t="s">
        <v>1229</v>
      </c>
    </row>
    <row r="136" spans="1:7" ht="12.6" customHeight="1" x14ac:dyDescent="0.3">
      <c r="A136" s="68"/>
      <c r="B136" s="77" t="s">
        <v>1331</v>
      </c>
      <c r="C136" s="78"/>
      <c r="D136" s="78"/>
      <c r="E136" s="78"/>
      <c r="F136" s="78"/>
      <c r="G136" s="17" t="s">
        <v>1330</v>
      </c>
    </row>
    <row r="137" spans="1:7" ht="12.6" customHeight="1" x14ac:dyDescent="0.3">
      <c r="A137" s="78"/>
      <c r="B137" s="78"/>
      <c r="C137" s="78"/>
      <c r="D137" s="78"/>
      <c r="E137" s="78"/>
      <c r="F137" s="78"/>
      <c r="G137" s="17" t="s">
        <v>1229</v>
      </c>
    </row>
    <row r="138" spans="1:7" ht="12.6" customHeight="1" x14ac:dyDescent="0.3">
      <c r="A138" s="68"/>
      <c r="B138" s="77" t="s">
        <v>1333</v>
      </c>
      <c r="C138" s="78"/>
      <c r="D138" s="78"/>
      <c r="E138" s="78"/>
      <c r="F138" s="78"/>
      <c r="G138" s="17" t="s">
        <v>1332</v>
      </c>
    </row>
    <row r="139" spans="1:7" ht="12.6" customHeight="1" x14ac:dyDescent="0.3">
      <c r="A139" s="78"/>
      <c r="B139" s="78"/>
      <c r="C139" s="78"/>
      <c r="D139" s="78"/>
      <c r="E139" s="78"/>
      <c r="F139" s="78"/>
      <c r="G139" s="17" t="s">
        <v>1229</v>
      </c>
    </row>
    <row r="140" spans="1:7" ht="12.6" customHeight="1" x14ac:dyDescent="0.3">
      <c r="A140" s="68"/>
      <c r="B140" s="77" t="s">
        <v>1335</v>
      </c>
      <c r="C140" s="78"/>
      <c r="D140" s="78"/>
      <c r="E140" s="78"/>
      <c r="F140" s="78"/>
      <c r="G140" s="17" t="s">
        <v>1334</v>
      </c>
    </row>
    <row r="141" spans="1:7" ht="12.6" customHeight="1" x14ac:dyDescent="0.3">
      <c r="A141" s="78"/>
      <c r="B141" s="78"/>
      <c r="C141" s="78"/>
      <c r="D141" s="78"/>
      <c r="E141" s="78"/>
      <c r="F141" s="78"/>
      <c r="G141" s="17" t="s">
        <v>1229</v>
      </c>
    </row>
    <row r="142" spans="1:7" ht="12.6" customHeight="1" x14ac:dyDescent="0.3">
      <c r="A142" s="68"/>
      <c r="B142" s="77" t="s">
        <v>1337</v>
      </c>
      <c r="C142" s="78"/>
      <c r="D142" s="78"/>
      <c r="E142" s="78"/>
      <c r="F142" s="78"/>
      <c r="G142" s="17" t="s">
        <v>1336</v>
      </c>
    </row>
    <row r="143" spans="1:7" ht="12.6" customHeight="1" x14ac:dyDescent="0.3">
      <c r="A143" s="78"/>
      <c r="B143" s="78"/>
      <c r="C143" s="78"/>
      <c r="D143" s="78"/>
      <c r="E143" s="78"/>
      <c r="F143" s="78"/>
      <c r="G143" s="17" t="s">
        <v>1229</v>
      </c>
    </row>
    <row r="144" spans="1:7" ht="12.6" customHeight="1" x14ac:dyDescent="0.3">
      <c r="A144" s="68"/>
      <c r="B144" s="77" t="s">
        <v>1339</v>
      </c>
      <c r="C144" s="78"/>
      <c r="D144" s="78"/>
      <c r="E144" s="78"/>
      <c r="F144" s="78"/>
      <c r="G144" s="17" t="s">
        <v>1338</v>
      </c>
    </row>
    <row r="145" spans="1:25" ht="12.6" customHeight="1" x14ac:dyDescent="0.3">
      <c r="A145" s="78"/>
      <c r="B145" s="78"/>
      <c r="C145" s="78"/>
      <c r="D145" s="78"/>
      <c r="E145" s="78"/>
      <c r="F145" s="78"/>
      <c r="G145" s="17" t="s">
        <v>1229</v>
      </c>
    </row>
    <row r="146" spans="1:25" ht="12.6" customHeight="1" x14ac:dyDescent="0.3">
      <c r="A146" s="68" t="s">
        <v>1341</v>
      </c>
      <c r="B146" s="102" t="str">
        <f>" 노무비: "&amp;TEXT(I146,"#,##0"&amp;IF(I146&lt;&gt;INT(I146),".###",""))&amp;" / Q1 = "&amp;TEXT(C146,"#,##0.0")&amp;""</f>
        <v xml:space="preserve"> 노무비: 49,479 / Q1 = 3,534.2</v>
      </c>
      <c r="C146" s="104">
        <f>E146+D146+F146</f>
        <v>3534.2</v>
      </c>
      <c r="D146" s="104">
        <f>IF(H146=0,0,ROUNDDOWN(J146*H146,1))</f>
        <v>3534.2</v>
      </c>
      <c r="E146" s="104">
        <f>IF(H146=0,0,ROUNDDOWN(K146*H146,1))</f>
        <v>0</v>
      </c>
      <c r="F146" s="104">
        <f>IF(H146=0,0,ROUNDDOWN(L146*H146,1))</f>
        <v>0</v>
      </c>
      <c r="G146" s="17" t="s">
        <v>1340</v>
      </c>
      <c r="H146" s="109">
        <v>7.1428571428800006E-2</v>
      </c>
      <c r="I146" s="110">
        <f>K146+J146+L146</f>
        <v>49479</v>
      </c>
      <c r="J146" s="39">
        <f>중기목록표!F11</f>
        <v>49479</v>
      </c>
      <c r="M146" s="35" t="s">
        <v>1342</v>
      </c>
      <c r="N146" s="35" t="s">
        <v>1247</v>
      </c>
      <c r="X146" s="111" t="str">
        <f>중기목록표!B11&amp;" / "&amp;중기목록표!C11</f>
        <v>덤프트럭 / 2.5톤</v>
      </c>
      <c r="Y146" s="3" t="str">
        <f ca="1">HYPERLINK("#"&amp;중기목록표!J2&amp;"!A"&amp;ROW(중기목록표!A11),"X00060 →")</f>
        <v>X00060 →</v>
      </c>
    </row>
    <row r="147" spans="1:25" ht="12.6" customHeight="1" x14ac:dyDescent="0.3">
      <c r="A147" s="78"/>
      <c r="B147" s="78"/>
      <c r="C147" s="78"/>
      <c r="D147" s="78"/>
      <c r="E147" s="78"/>
      <c r="F147" s="78"/>
      <c r="G147" s="17" t="s">
        <v>1229</v>
      </c>
    </row>
    <row r="148" spans="1:25" ht="12.6" customHeight="1" x14ac:dyDescent="0.3">
      <c r="A148" s="68" t="s">
        <v>1344</v>
      </c>
      <c r="B148" s="102" t="str">
        <f>" 재료비: "&amp;TEXT(I148,"#,##0"&amp;IF(I148&lt;&gt;INT(I148),".###",""))&amp;" / Q1 = "&amp;TEXT(C148,"#,##0.0")&amp;""</f>
        <v xml:space="preserve"> 재료비: 5,438 / Q1 = 388.4</v>
      </c>
      <c r="C148" s="104">
        <f>E148+D148+F148</f>
        <v>388.4</v>
      </c>
      <c r="D148" s="104">
        <f>IF(H148=0,0,ROUNDDOWN(J148*H148,1))</f>
        <v>0</v>
      </c>
      <c r="E148" s="104">
        <f>IF(H148=0,0,ROUNDDOWN(K148*H148,1))</f>
        <v>388.4</v>
      </c>
      <c r="F148" s="104">
        <f>IF(H148=0,0,ROUNDDOWN(L148*H148,1))</f>
        <v>0</v>
      </c>
      <c r="G148" s="17" t="s">
        <v>1343</v>
      </c>
      <c r="H148" s="109">
        <v>7.1428571428800006E-2</v>
      </c>
      <c r="I148" s="110">
        <f>K148+J148+L148</f>
        <v>5438</v>
      </c>
      <c r="K148" s="39">
        <f>중기목록표!G11</f>
        <v>5438</v>
      </c>
      <c r="M148" s="35" t="s">
        <v>1342</v>
      </c>
      <c r="N148" s="35" t="s">
        <v>1247</v>
      </c>
      <c r="X148" s="111" t="str">
        <f>중기목록표!B11&amp;" / "&amp;중기목록표!C11</f>
        <v>덤프트럭 / 2.5톤</v>
      </c>
      <c r="Y148" s="3" t="str">
        <f ca="1">HYPERLINK("#"&amp;중기목록표!J2&amp;"!A"&amp;ROW(중기목록표!A11),"X00060 →")</f>
        <v>X00060 →</v>
      </c>
    </row>
    <row r="149" spans="1:25" ht="12.6" customHeight="1" x14ac:dyDescent="0.3">
      <c r="A149" s="78"/>
      <c r="B149" s="78"/>
      <c r="C149" s="78"/>
      <c r="D149" s="78"/>
      <c r="E149" s="78"/>
      <c r="F149" s="78"/>
      <c r="G149" s="17" t="s">
        <v>1229</v>
      </c>
    </row>
    <row r="150" spans="1:25" ht="12.6" customHeight="1" x14ac:dyDescent="0.3">
      <c r="A150" s="68" t="s">
        <v>1346</v>
      </c>
      <c r="B150" s="102" t="str">
        <f>" 경  비: "&amp;TEXT(I150,"#,##0"&amp;IF(I150&lt;&gt;INT(I150),".###",""))&amp;" / Q1 = "&amp;TEXT(C150,"#,##0.0")&amp;""</f>
        <v xml:space="preserve"> 경  비: 6,400 / Q1 = 457.1</v>
      </c>
      <c r="C150" s="104">
        <f>E150+D150+F150</f>
        <v>457.1</v>
      </c>
      <c r="D150" s="104">
        <f>IF(H150=0,0,ROUNDDOWN(J150*H150,1))</f>
        <v>0</v>
      </c>
      <c r="E150" s="104">
        <f>IF(H150=0,0,ROUNDDOWN(K150*H150,1))</f>
        <v>0</v>
      </c>
      <c r="F150" s="104">
        <f>IF(H150=0,0,ROUNDDOWN(L150*H150,1))</f>
        <v>457.1</v>
      </c>
      <c r="G150" s="17" t="s">
        <v>1345</v>
      </c>
      <c r="H150" s="109">
        <v>7.1428571428800006E-2</v>
      </c>
      <c r="I150" s="110">
        <f>K150+J150+L150</f>
        <v>6400</v>
      </c>
      <c r="L150" s="39">
        <f>중기목록표!H11</f>
        <v>6400</v>
      </c>
      <c r="M150" s="35" t="s">
        <v>1342</v>
      </c>
      <c r="N150" s="35" t="s">
        <v>1247</v>
      </c>
      <c r="X150" s="111" t="str">
        <f>중기목록표!B11&amp;" / "&amp;중기목록표!C11</f>
        <v>덤프트럭 / 2.5톤</v>
      </c>
      <c r="Y150" s="3" t="str">
        <f ca="1">HYPERLINK("#"&amp;중기목록표!J2&amp;"!A"&amp;ROW(중기목록표!A11),"X00060 →")</f>
        <v>X00060 →</v>
      </c>
    </row>
    <row r="151" spans="1:25" ht="12.6" customHeight="1" x14ac:dyDescent="0.3">
      <c r="A151" s="78"/>
      <c r="B151" s="78"/>
      <c r="C151" s="78"/>
      <c r="D151" s="78"/>
      <c r="E151" s="78"/>
      <c r="F151" s="78"/>
      <c r="G151" s="17" t="s">
        <v>1229</v>
      </c>
    </row>
    <row r="152" spans="1:25" ht="12.6" customHeight="1" x14ac:dyDescent="0.3">
      <c r="A152" s="68"/>
      <c r="B152" s="77" t="s">
        <v>1246</v>
      </c>
      <c r="C152" s="105">
        <f>E152+D152+F152</f>
        <v>4379.7</v>
      </c>
      <c r="D152" s="105">
        <f>SUMIF(N121:N151,M152,D121:D151)</f>
        <v>3534.2</v>
      </c>
      <c r="E152" s="105">
        <f>SUMIF(N121:N151,M152,E121:E151)</f>
        <v>388.4</v>
      </c>
      <c r="F152" s="105">
        <f>SUMIF(N121:N151,M152,F121:F151)</f>
        <v>457.1</v>
      </c>
      <c r="G152" s="17" t="s">
        <v>1245</v>
      </c>
      <c r="M152" s="35" t="s">
        <v>1247</v>
      </c>
      <c r="N152" s="35" t="s">
        <v>1348</v>
      </c>
    </row>
    <row r="153" spans="1:25" ht="12.6" customHeight="1" x14ac:dyDescent="0.3">
      <c r="A153" s="78"/>
      <c r="B153" s="78"/>
      <c r="C153" s="103"/>
      <c r="D153" s="103"/>
      <c r="E153" s="103"/>
      <c r="F153" s="103"/>
      <c r="G153" s="17" t="s">
        <v>1229</v>
      </c>
    </row>
    <row r="154" spans="1:25" ht="12.6" customHeight="1" x14ac:dyDescent="0.3">
      <c r="A154" s="68"/>
      <c r="B154" s="77" t="s">
        <v>1101</v>
      </c>
      <c r="C154" s="105">
        <f>E154+D154+F154</f>
        <v>12899.9</v>
      </c>
      <c r="D154" s="105">
        <f>SUMIF(N77:N153,M154,D77:D153)</f>
        <v>8082</v>
      </c>
      <c r="E154" s="105">
        <f>SUMIF(N77:N153,M154,E77:E153)</f>
        <v>1892.3000000000002</v>
      </c>
      <c r="F154" s="105">
        <f>SUMIF(N77:N153,M154,F77:F153)</f>
        <v>2925.6</v>
      </c>
      <c r="G154" s="17" t="s">
        <v>1347</v>
      </c>
      <c r="M154" s="35" t="s">
        <v>1348</v>
      </c>
      <c r="N154" s="35" t="s">
        <v>1011</v>
      </c>
    </row>
    <row r="155" spans="1:25" ht="12.6" customHeight="1" x14ac:dyDescent="0.3">
      <c r="A155" s="78"/>
      <c r="B155" s="78"/>
      <c r="C155" s="103"/>
      <c r="D155" s="103"/>
      <c r="E155" s="103"/>
      <c r="F155" s="103"/>
    </row>
    <row r="156" spans="1:25" ht="12.6" customHeight="1" x14ac:dyDescent="0.3">
      <c r="A156" s="78"/>
      <c r="B156" s="78"/>
      <c r="C156" s="78"/>
      <c r="D156" s="78"/>
      <c r="E156" s="78"/>
      <c r="F156" s="78"/>
    </row>
    <row r="157" spans="1:25" ht="12.6" customHeight="1" x14ac:dyDescent="0.3">
      <c r="A157" s="78"/>
      <c r="B157" s="78"/>
      <c r="C157" s="78"/>
      <c r="D157" s="78"/>
      <c r="E157" s="78"/>
      <c r="F157" s="78"/>
    </row>
    <row r="158" spans="1:25" ht="12.6" customHeight="1" x14ac:dyDescent="0.3">
      <c r="A158" s="78"/>
      <c r="B158" s="78"/>
      <c r="C158" s="78"/>
      <c r="D158" s="78"/>
      <c r="E158" s="78"/>
      <c r="F158" s="78"/>
    </row>
    <row r="159" spans="1:25" ht="12.6" customHeight="1" x14ac:dyDescent="0.3">
      <c r="A159" s="78"/>
      <c r="B159" s="78"/>
      <c r="C159" s="78"/>
      <c r="D159" s="78"/>
      <c r="E159" s="78"/>
      <c r="F159" s="78"/>
    </row>
    <row r="160" spans="1:25" ht="12.6" customHeight="1" x14ac:dyDescent="0.3">
      <c r="A160" s="78"/>
      <c r="B160" s="78"/>
      <c r="C160" s="78"/>
      <c r="D160" s="78"/>
      <c r="E160" s="78"/>
      <c r="F160" s="78"/>
    </row>
    <row r="161" spans="1:6" ht="12.6" customHeight="1" x14ac:dyDescent="0.3">
      <c r="A161" s="78"/>
      <c r="B161" s="78"/>
      <c r="C161" s="78"/>
      <c r="D161" s="78"/>
      <c r="E161" s="78"/>
      <c r="F161" s="78"/>
    </row>
    <row r="162" spans="1:6" ht="12.6" customHeight="1" x14ac:dyDescent="0.3">
      <c r="A162" s="78"/>
      <c r="B162" s="78"/>
      <c r="C162" s="78"/>
      <c r="D162" s="78"/>
      <c r="E162" s="78"/>
      <c r="F162" s="78"/>
    </row>
    <row r="163" spans="1:6" ht="12.6" customHeight="1" x14ac:dyDescent="0.3">
      <c r="A163" s="78"/>
      <c r="B163" s="78"/>
      <c r="C163" s="78"/>
      <c r="D163" s="78"/>
      <c r="E163" s="78"/>
      <c r="F163" s="78"/>
    </row>
    <row r="164" spans="1:6" ht="12.6" customHeight="1" x14ac:dyDescent="0.3">
      <c r="A164" s="78"/>
      <c r="B164" s="78"/>
      <c r="C164" s="78"/>
      <c r="D164" s="78"/>
      <c r="E164" s="78"/>
      <c r="F164" s="78"/>
    </row>
    <row r="165" spans="1:6" ht="12.6" customHeight="1" x14ac:dyDescent="0.3">
      <c r="A165" s="78"/>
      <c r="B165" s="78"/>
      <c r="C165" s="78"/>
      <c r="D165" s="78"/>
      <c r="E165" s="78"/>
      <c r="F165" s="78"/>
    </row>
    <row r="166" spans="1:6" ht="12.6" customHeight="1" x14ac:dyDescent="0.3">
      <c r="A166" s="78"/>
      <c r="B166" s="78"/>
      <c r="C166" s="78"/>
      <c r="D166" s="78"/>
      <c r="E166" s="78"/>
      <c r="F166" s="78"/>
    </row>
    <row r="167" spans="1:6" ht="12.6" customHeight="1" x14ac:dyDescent="0.3">
      <c r="A167" s="78"/>
      <c r="B167" s="78"/>
      <c r="C167" s="78"/>
      <c r="D167" s="78"/>
      <c r="E167" s="78"/>
      <c r="F167" s="78"/>
    </row>
    <row r="168" spans="1:6" ht="12.6" customHeight="1" x14ac:dyDescent="0.3">
      <c r="A168" s="78"/>
      <c r="B168" s="78"/>
      <c r="C168" s="78"/>
      <c r="D168" s="78"/>
      <c r="E168" s="78"/>
      <c r="F168" s="78"/>
    </row>
    <row r="169" spans="1:6" ht="12.6" customHeight="1" x14ac:dyDescent="0.3">
      <c r="A169" s="78"/>
      <c r="B169" s="78"/>
      <c r="C169" s="78"/>
      <c r="D169" s="78"/>
      <c r="E169" s="78"/>
      <c r="F169" s="78"/>
    </row>
    <row r="170" spans="1:6" ht="12.6" customHeight="1" x14ac:dyDescent="0.3">
      <c r="A170" s="78"/>
      <c r="B170" s="78"/>
      <c r="C170" s="78"/>
      <c r="D170" s="78"/>
      <c r="E170" s="78"/>
      <c r="F170" s="78"/>
    </row>
    <row r="171" spans="1:6" ht="12.6" customHeight="1" x14ac:dyDescent="0.3">
      <c r="A171" s="78"/>
      <c r="B171" s="78"/>
      <c r="C171" s="78"/>
      <c r="D171" s="78"/>
      <c r="E171" s="78"/>
      <c r="F171" s="78"/>
    </row>
    <row r="172" spans="1:6" ht="12.6" customHeight="1" x14ac:dyDescent="0.3">
      <c r="A172" s="78"/>
      <c r="B172" s="78"/>
      <c r="C172" s="78"/>
      <c r="D172" s="78"/>
      <c r="E172" s="78"/>
      <c r="F172" s="78"/>
    </row>
    <row r="173" spans="1:6" ht="12.6" customHeight="1" x14ac:dyDescent="0.3">
      <c r="A173" s="78"/>
      <c r="B173" s="78"/>
      <c r="C173" s="78"/>
      <c r="D173" s="78"/>
      <c r="E173" s="78"/>
      <c r="F173" s="78"/>
    </row>
    <row r="174" spans="1:6" ht="12.6" customHeight="1" x14ac:dyDescent="0.3">
      <c r="A174" s="78"/>
      <c r="B174" s="78"/>
      <c r="C174" s="78"/>
      <c r="D174" s="78"/>
      <c r="E174" s="78"/>
      <c r="F174" s="78"/>
    </row>
    <row r="175" spans="1:6" ht="12.6" customHeight="1" x14ac:dyDescent="0.3">
      <c r="A175" s="78"/>
      <c r="B175" s="78"/>
      <c r="C175" s="78"/>
      <c r="D175" s="78"/>
      <c r="E175" s="78"/>
      <c r="F175" s="78"/>
    </row>
    <row r="176" spans="1:6" ht="12.6" customHeight="1" x14ac:dyDescent="0.3">
      <c r="A176" s="78"/>
      <c r="B176" s="78"/>
      <c r="C176" s="78"/>
      <c r="D176" s="78"/>
      <c r="E176" s="78"/>
      <c r="F176" s="78"/>
    </row>
    <row r="177" spans="1:25" ht="12.6" customHeight="1" x14ac:dyDescent="0.3">
      <c r="A177" s="78"/>
      <c r="B177" s="78"/>
      <c r="C177" s="78"/>
      <c r="D177" s="78"/>
      <c r="E177" s="78"/>
      <c r="F177" s="78"/>
    </row>
    <row r="178" spans="1:25" ht="12.6" customHeight="1" x14ac:dyDescent="0.3">
      <c r="A178" s="56"/>
      <c r="B178" s="56"/>
      <c r="C178" s="56"/>
      <c r="D178" s="56"/>
      <c r="E178" s="56"/>
      <c r="F178" s="56"/>
    </row>
    <row r="179" spans="1:25" ht="12.6" customHeight="1" x14ac:dyDescent="0.3">
      <c r="A179" s="143" t="s">
        <v>1248</v>
      </c>
      <c r="B179" s="144"/>
      <c r="C179" s="54">
        <f>E179+D179+F179</f>
        <v>12899</v>
      </c>
      <c r="D179" s="52">
        <f>ROUNDDOWN(SUMIF(N77:N154,M179,D77:D154),0)</f>
        <v>8082</v>
      </c>
      <c r="E179" s="64">
        <f>ROUNDDOWN(SUMIF(N77:N154,M179,E77:E154),0)</f>
        <v>1892</v>
      </c>
      <c r="F179" s="54">
        <f>ROUNDDOWN(SUMIF(N77:N154,M179,F77:F154),0)</f>
        <v>2925</v>
      </c>
      <c r="M179" s="35" t="s">
        <v>1011</v>
      </c>
    </row>
    <row r="180" spans="1:25" ht="12.6" customHeight="1" x14ac:dyDescent="0.3">
      <c r="A180" s="100" t="s">
        <v>148</v>
      </c>
      <c r="B180" s="101" t="s">
        <v>29</v>
      </c>
      <c r="C180" s="150">
        <f>C214</f>
        <v>8029</v>
      </c>
      <c r="D180" s="150">
        <f>D214</f>
        <v>6594</v>
      </c>
      <c r="E180" s="150">
        <f>E214</f>
        <v>1118</v>
      </c>
      <c r="F180" s="150">
        <f>F214</f>
        <v>317</v>
      </c>
      <c r="G180" s="97" t="str">
        <f>HYPERLINK("#G"&amp;ROW(G204),"_x0005_`BDCOD|D00492_x0007_`POSS|"&amp;ROW(G182)&amp;"_x0007_`POSE|"&amp;ROW(G204)&amp;"_x0007_`")</f>
        <v>_x0005_`BDCOD|D00492_x0007_`POSS|182_x0007_`POSE|204_x0007_`</v>
      </c>
    </row>
    <row r="181" spans="1:25" ht="12.6" customHeight="1" x14ac:dyDescent="0.3">
      <c r="A181" s="83"/>
      <c r="B181" s="101" t="s">
        <v>145</v>
      </c>
      <c r="C181" s="139"/>
      <c r="D181" s="139"/>
      <c r="E181" s="139"/>
      <c r="F181" s="139"/>
      <c r="M181" s="35" t="s">
        <v>148</v>
      </c>
    </row>
    <row r="182" spans="1:25" ht="12.6" customHeight="1" x14ac:dyDescent="0.3">
      <c r="A182" s="78"/>
      <c r="B182" s="78"/>
      <c r="C182" s="103"/>
      <c r="D182" s="103"/>
      <c r="E182" s="103"/>
      <c r="F182" s="103"/>
      <c r="G182" s="17" t="s">
        <v>1229</v>
      </c>
    </row>
    <row r="183" spans="1:25" ht="12.6" customHeight="1" x14ac:dyDescent="0.3">
      <c r="A183" s="68"/>
      <c r="B183" s="77" t="s">
        <v>1350</v>
      </c>
      <c r="C183" s="78"/>
      <c r="D183" s="78"/>
      <c r="E183" s="78"/>
      <c r="F183" s="78"/>
      <c r="G183" s="17" t="s">
        <v>1349</v>
      </c>
    </row>
    <row r="184" spans="1:25" ht="12.6" customHeight="1" x14ac:dyDescent="0.3">
      <c r="A184" s="78"/>
      <c r="B184" s="78"/>
      <c r="C184" s="78"/>
      <c r="D184" s="78"/>
      <c r="E184" s="78"/>
      <c r="F184" s="78"/>
      <c r="G184" s="17" t="s">
        <v>1229</v>
      </c>
    </row>
    <row r="185" spans="1:25" ht="12.6" customHeight="1" x14ac:dyDescent="0.3">
      <c r="A185" s="68"/>
      <c r="B185" s="77" t="s">
        <v>1352</v>
      </c>
      <c r="C185" s="78"/>
      <c r="D185" s="78"/>
      <c r="E185" s="78"/>
      <c r="F185" s="78"/>
      <c r="G185" s="17" t="s">
        <v>1351</v>
      </c>
    </row>
    <row r="186" spans="1:25" ht="12.6" customHeight="1" x14ac:dyDescent="0.3">
      <c r="A186" s="78"/>
      <c r="B186" s="78"/>
      <c r="C186" s="78"/>
      <c r="D186" s="78"/>
      <c r="E186" s="78"/>
      <c r="F186" s="78"/>
      <c r="G186" s="17" t="s">
        <v>1229</v>
      </c>
    </row>
    <row r="187" spans="1:25" ht="12.6" customHeight="1" x14ac:dyDescent="0.3">
      <c r="A187" s="68"/>
      <c r="B187" s="77" t="s">
        <v>1354</v>
      </c>
      <c r="C187" s="78"/>
      <c r="D187" s="78"/>
      <c r="E187" s="78"/>
      <c r="F187" s="78"/>
      <c r="G187" s="17" t="s">
        <v>1353</v>
      </c>
    </row>
    <row r="188" spans="1:25" ht="12.6" customHeight="1" x14ac:dyDescent="0.3">
      <c r="A188" s="78"/>
      <c r="B188" s="78"/>
      <c r="C188" s="78"/>
      <c r="D188" s="78"/>
      <c r="E188" s="78"/>
      <c r="F188" s="78"/>
      <c r="G188" s="17" t="s">
        <v>1229</v>
      </c>
    </row>
    <row r="189" spans="1:25" ht="12.6" customHeight="1" x14ac:dyDescent="0.3">
      <c r="A189" s="68" t="s">
        <v>576</v>
      </c>
      <c r="B189" s="102" t="str">
        <f>" 콘크리트공 : "&amp;TEXT(I189,"#,##0"&amp;IF(I189&lt;&gt;INT(I189),".###",""))&amp;" * a = "&amp;TEXT(C189,"#,##0.0")&amp;""</f>
        <v xml:space="preserve"> 콘크리트공 : 266,361 * a = 0.0</v>
      </c>
      <c r="C189" s="104">
        <f>E189+D189+F189</f>
        <v>0</v>
      </c>
      <c r="D189" s="104">
        <f>IF(H189=0,0,ROUNDDOWN(J189*H189,1))</f>
        <v>0</v>
      </c>
      <c r="E189" s="104">
        <f>IF(H189=0,0,ROUNDDOWN(K189*H189,1))</f>
        <v>0</v>
      </c>
      <c r="F189" s="104">
        <f>IF(H189=0,0,ROUNDDOWN(L189*H189,1))</f>
        <v>0</v>
      </c>
      <c r="G189" s="17" t="s">
        <v>1355</v>
      </c>
      <c r="H189" s="109">
        <v>0</v>
      </c>
      <c r="I189" s="110">
        <f>K189+J189+L189</f>
        <v>266361</v>
      </c>
      <c r="J189" s="39">
        <f>노무비목록표!E7</f>
        <v>266361</v>
      </c>
      <c r="M189" s="35" t="s">
        <v>1356</v>
      </c>
      <c r="N189" s="35" t="s">
        <v>1247</v>
      </c>
      <c r="X189" s="111" t="str">
        <f>노무비목록표!B7&amp;" / "&amp;노무비목록표!C7</f>
        <v xml:space="preserve">콘크리트공 / </v>
      </c>
      <c r="Y189" s="3" t="str">
        <f ca="1">HYPERLINK("#"&amp;노무비목록표!G2&amp;"!A"&amp;ROW(노무비목록표!A7),"L00007 →")</f>
        <v>L00007 →</v>
      </c>
    </row>
    <row r="190" spans="1:25" ht="12.6" customHeight="1" x14ac:dyDescent="0.3">
      <c r="A190" s="78"/>
      <c r="B190" s="78"/>
      <c r="C190" s="78"/>
      <c r="D190" s="78"/>
      <c r="E190" s="78"/>
      <c r="F190" s="78"/>
      <c r="G190" s="17" t="s">
        <v>1229</v>
      </c>
    </row>
    <row r="191" spans="1:25" ht="12.6" customHeight="1" x14ac:dyDescent="0.3">
      <c r="A191" s="78"/>
      <c r="B191" s="78"/>
      <c r="C191" s="78"/>
      <c r="D191" s="78"/>
      <c r="E191" s="78"/>
      <c r="F191" s="78"/>
      <c r="G191" s="17" t="s">
        <v>1229</v>
      </c>
    </row>
    <row r="192" spans="1:25" ht="12.6" customHeight="1" x14ac:dyDescent="0.3">
      <c r="A192" s="68"/>
      <c r="B192" s="77" t="s">
        <v>1358</v>
      </c>
      <c r="C192" s="78"/>
      <c r="D192" s="78"/>
      <c r="E192" s="78"/>
      <c r="F192" s="78"/>
      <c r="G192" s="17" t="s">
        <v>1357</v>
      </c>
    </row>
    <row r="193" spans="1:25" ht="12.6" customHeight="1" x14ac:dyDescent="0.3">
      <c r="A193" s="78"/>
      <c r="B193" s="78"/>
      <c r="C193" s="78"/>
      <c r="D193" s="78"/>
      <c r="E193" s="78"/>
      <c r="F193" s="78"/>
      <c r="G193" s="17" t="s">
        <v>1229</v>
      </c>
    </row>
    <row r="194" spans="1:25" ht="12.6" customHeight="1" x14ac:dyDescent="0.3">
      <c r="A194" s="68" t="s">
        <v>588</v>
      </c>
      <c r="B194" s="102" t="str">
        <f>" ○.보통인부:   "&amp;TEXT(I194,"#,##0"&amp;IF(I194&lt;&gt;INT(I194),".###",""))&amp;" * b = "&amp;TEXT(C194,"#,##0.0")&amp;""</f>
        <v xml:space="preserve"> ○.보통인부:   169,804 * b = 0.0</v>
      </c>
      <c r="C194" s="104">
        <f>E194+D194+F194</f>
        <v>0</v>
      </c>
      <c r="D194" s="104">
        <f>IF(H194=0,0,ROUNDDOWN(J194*H194,1))</f>
        <v>0</v>
      </c>
      <c r="E194" s="104">
        <f>IF(H194=0,0,ROUNDDOWN(K194*H194,1))</f>
        <v>0</v>
      </c>
      <c r="F194" s="104">
        <f>IF(H194=0,0,ROUNDDOWN(L194*H194,1))</f>
        <v>0</v>
      </c>
      <c r="G194" s="17" t="s">
        <v>1359</v>
      </c>
      <c r="H194" s="109">
        <v>0</v>
      </c>
      <c r="I194" s="110">
        <f>K194+J194+L194</f>
        <v>169804</v>
      </c>
      <c r="J194" s="39">
        <f>노무비목록표!E11</f>
        <v>169804</v>
      </c>
      <c r="M194" s="35" t="s">
        <v>1018</v>
      </c>
      <c r="N194" s="35" t="s">
        <v>1247</v>
      </c>
      <c r="X194" s="111" t="str">
        <f>노무비목록표!B11&amp;" / "&amp;노무비목록표!C11</f>
        <v xml:space="preserve">보통인부 / </v>
      </c>
      <c r="Y194" s="3" t="str">
        <f ca="1">HYPERLINK("#"&amp;노무비목록표!G2&amp;"!A"&amp;ROW(노무비목록표!A11),"L00016 →")</f>
        <v>L00016 →</v>
      </c>
    </row>
    <row r="195" spans="1:25" ht="12.6" customHeight="1" x14ac:dyDescent="0.3">
      <c r="A195" s="78"/>
      <c r="B195" s="78"/>
      <c r="C195" s="78"/>
      <c r="D195" s="78"/>
      <c r="E195" s="78"/>
      <c r="F195" s="78"/>
      <c r="G195" s="17" t="s">
        <v>1229</v>
      </c>
    </row>
    <row r="196" spans="1:25" ht="12.6" customHeight="1" x14ac:dyDescent="0.3">
      <c r="A196" s="68"/>
      <c r="B196" s="77" t="s">
        <v>1246</v>
      </c>
      <c r="C196" s="105">
        <f>E196+D196+F196</f>
        <v>0</v>
      </c>
      <c r="D196" s="105">
        <f>SUMIF(N182:N195,M196,D182:D195)</f>
        <v>0</v>
      </c>
      <c r="E196" s="105">
        <f>SUMIF(N182:N195,M196,E182:E195)</f>
        <v>0</v>
      </c>
      <c r="F196" s="105">
        <f>SUMIF(N182:N195,M196,F182:F195)</f>
        <v>0</v>
      </c>
      <c r="G196" s="17" t="s">
        <v>1245</v>
      </c>
      <c r="M196" s="35" t="s">
        <v>1247</v>
      </c>
      <c r="N196" s="35" t="s">
        <v>1348</v>
      </c>
    </row>
    <row r="197" spans="1:25" ht="12.6" customHeight="1" x14ac:dyDescent="0.3">
      <c r="A197" s="78"/>
      <c r="B197" s="78"/>
      <c r="C197" s="103"/>
      <c r="D197" s="103"/>
      <c r="E197" s="103"/>
      <c r="F197" s="103"/>
      <c r="G197" s="17" t="s">
        <v>1229</v>
      </c>
    </row>
    <row r="198" spans="1:25" ht="12.6" customHeight="1" x14ac:dyDescent="0.3">
      <c r="A198" s="68"/>
      <c r="B198" s="77" t="s">
        <v>1361</v>
      </c>
      <c r="C198" s="78"/>
      <c r="D198" s="78"/>
      <c r="E198" s="78"/>
      <c r="F198" s="78"/>
      <c r="G198" s="17" t="s">
        <v>1360</v>
      </c>
    </row>
    <row r="199" spans="1:25" ht="12.6" customHeight="1" x14ac:dyDescent="0.3">
      <c r="A199" s="78"/>
      <c r="B199" s="78"/>
      <c r="C199" s="78"/>
      <c r="D199" s="78"/>
      <c r="E199" s="78"/>
      <c r="F199" s="78"/>
      <c r="G199" s="17" t="s">
        <v>1229</v>
      </c>
    </row>
    <row r="200" spans="1:25" ht="12.6" customHeight="1" x14ac:dyDescent="0.3">
      <c r="A200" s="68" t="s">
        <v>1363</v>
      </c>
      <c r="B200" s="102" t="str">
        <f>" 콘크리트믹서사용 : "&amp;TEXT(I200,"#,##0"&amp;IF(I200&lt;&gt;INT(I200),".###",""))&amp;" * 1 = "&amp;TEXT(C200,"#,##0.0")&amp;""</f>
        <v xml:space="preserve"> 콘크리트믹서사용 : 8,029 * 1 = 8,029.0</v>
      </c>
      <c r="C200" s="104">
        <f>E200+D200+F200</f>
        <v>8029</v>
      </c>
      <c r="D200" s="104">
        <f>IF(H200=0,0,ROUNDDOWN(J200*H200,1))</f>
        <v>6594</v>
      </c>
      <c r="E200" s="104">
        <f>IF(H200=0,0,ROUNDDOWN(K200*H200,1))</f>
        <v>1118</v>
      </c>
      <c r="F200" s="104">
        <f>IF(H200=0,0,ROUNDDOWN(L200*H200,1))</f>
        <v>317</v>
      </c>
      <c r="G200" s="17" t="s">
        <v>1362</v>
      </c>
      <c r="H200" s="109">
        <v>1</v>
      </c>
      <c r="I200" s="110">
        <f>K200+J200+L200</f>
        <v>8029</v>
      </c>
      <c r="J200" s="39">
        <f>단가산출근거목록표!F4</f>
        <v>6594</v>
      </c>
      <c r="K200" s="39">
        <f>단가산출근거목록표!G4</f>
        <v>1118</v>
      </c>
      <c r="L200" s="39">
        <f>단가산출근거목록표!H4</f>
        <v>317</v>
      </c>
      <c r="M200" s="35" t="s">
        <v>1364</v>
      </c>
      <c r="N200" s="35" t="s">
        <v>1247</v>
      </c>
      <c r="X200" s="111" t="str">
        <f>단가산출근거목록표!B4&amp;" / "&amp;단가산출근거목록표!C4</f>
        <v>콘크리트믹서사용 / 0.45 m3</v>
      </c>
      <c r="Y200" s="3" t="str">
        <f ca="1">HYPERLINK("#"&amp;단가산출근거목록표!J2&amp;"!A"&amp;ROW(단가산출근거목록표!A4),"D00083 →")</f>
        <v>D00083 →</v>
      </c>
    </row>
    <row r="201" spans="1:25" ht="12.6" customHeight="1" x14ac:dyDescent="0.3">
      <c r="A201" s="78"/>
      <c r="B201" s="78"/>
      <c r="C201" s="78"/>
      <c r="D201" s="78"/>
      <c r="E201" s="78"/>
      <c r="F201" s="78"/>
      <c r="G201" s="17" t="s">
        <v>1229</v>
      </c>
    </row>
    <row r="202" spans="1:25" ht="12.6" customHeight="1" x14ac:dyDescent="0.3">
      <c r="A202" s="68"/>
      <c r="B202" s="77" t="s">
        <v>1246</v>
      </c>
      <c r="C202" s="105">
        <f>E202+D202+F202</f>
        <v>8029</v>
      </c>
      <c r="D202" s="105">
        <f>SUMIF(N197:N201,M202,D197:D201)</f>
        <v>6594</v>
      </c>
      <c r="E202" s="105">
        <f>SUMIF(N197:N201,M202,E197:E201)</f>
        <v>1118</v>
      </c>
      <c r="F202" s="105">
        <f>SUMIF(N197:N201,M202,F197:F201)</f>
        <v>317</v>
      </c>
      <c r="G202" s="17" t="s">
        <v>1245</v>
      </c>
      <c r="M202" s="35" t="s">
        <v>1247</v>
      </c>
      <c r="N202" s="35" t="s">
        <v>1348</v>
      </c>
    </row>
    <row r="203" spans="1:25" ht="12.6" customHeight="1" x14ac:dyDescent="0.3">
      <c r="A203" s="78"/>
      <c r="B203" s="78"/>
      <c r="C203" s="103"/>
      <c r="D203" s="103"/>
      <c r="E203" s="103"/>
      <c r="F203" s="103"/>
      <c r="G203" s="17" t="s">
        <v>1229</v>
      </c>
    </row>
    <row r="204" spans="1:25" ht="12.6" customHeight="1" x14ac:dyDescent="0.3">
      <c r="A204" s="68"/>
      <c r="B204" s="77" t="s">
        <v>1101</v>
      </c>
      <c r="C204" s="105">
        <f>E204+D204+F204</f>
        <v>8029</v>
      </c>
      <c r="D204" s="105">
        <f>SUMIF(N182:N203,M204,D182:D203)</f>
        <v>6594</v>
      </c>
      <c r="E204" s="105">
        <f>SUMIF(N182:N203,M204,E182:E203)</f>
        <v>1118</v>
      </c>
      <c r="F204" s="105">
        <f>SUMIF(N182:N203,M204,F182:F203)</f>
        <v>317</v>
      </c>
      <c r="G204" s="17" t="s">
        <v>1347</v>
      </c>
      <c r="M204" s="35" t="s">
        <v>1348</v>
      </c>
      <c r="N204" s="35" t="s">
        <v>1011</v>
      </c>
    </row>
    <row r="205" spans="1:25" ht="12.6" customHeight="1" x14ac:dyDescent="0.3">
      <c r="A205" s="78"/>
      <c r="B205" s="78"/>
      <c r="C205" s="103"/>
      <c r="D205" s="103"/>
      <c r="E205" s="103"/>
      <c r="F205" s="103"/>
    </row>
    <row r="206" spans="1:25" ht="12.6" customHeight="1" x14ac:dyDescent="0.3">
      <c r="A206" s="78"/>
      <c r="B206" s="78"/>
      <c r="C206" s="78"/>
      <c r="D206" s="78"/>
      <c r="E206" s="78"/>
      <c r="F206" s="78"/>
    </row>
    <row r="207" spans="1:25" ht="12.6" customHeight="1" x14ac:dyDescent="0.3">
      <c r="A207" s="78"/>
      <c r="B207" s="78"/>
      <c r="C207" s="78"/>
      <c r="D207" s="78"/>
      <c r="E207" s="78"/>
      <c r="F207" s="78"/>
    </row>
    <row r="208" spans="1:25" ht="12.6" customHeight="1" x14ac:dyDescent="0.3">
      <c r="A208" s="78"/>
      <c r="B208" s="78"/>
      <c r="C208" s="78"/>
      <c r="D208" s="78"/>
      <c r="E208" s="78"/>
      <c r="F208" s="78"/>
    </row>
    <row r="209" spans="1:13" ht="12.6" customHeight="1" x14ac:dyDescent="0.3">
      <c r="A209" s="78"/>
      <c r="B209" s="78"/>
      <c r="C209" s="78"/>
      <c r="D209" s="78"/>
      <c r="E209" s="78"/>
      <c r="F209" s="78"/>
    </row>
    <row r="210" spans="1:13" ht="12.6" customHeight="1" x14ac:dyDescent="0.3">
      <c r="A210" s="78"/>
      <c r="B210" s="78"/>
      <c r="C210" s="78"/>
      <c r="D210" s="78"/>
      <c r="E210" s="78"/>
      <c r="F210" s="78"/>
    </row>
    <row r="211" spans="1:13" ht="12.6" customHeight="1" x14ac:dyDescent="0.3">
      <c r="A211" s="78"/>
      <c r="B211" s="78"/>
      <c r="C211" s="78"/>
      <c r="D211" s="78"/>
      <c r="E211" s="78"/>
      <c r="F211" s="78"/>
    </row>
    <row r="212" spans="1:13" ht="12.6" customHeight="1" x14ac:dyDescent="0.3">
      <c r="A212" s="78"/>
      <c r="B212" s="78"/>
      <c r="C212" s="78"/>
      <c r="D212" s="78"/>
      <c r="E212" s="78"/>
      <c r="F212" s="78"/>
    </row>
    <row r="213" spans="1:13" ht="12.6" customHeight="1" x14ac:dyDescent="0.3">
      <c r="A213" s="56"/>
      <c r="B213" s="56"/>
      <c r="C213" s="56"/>
      <c r="D213" s="56"/>
      <c r="E213" s="56"/>
      <c r="F213" s="56"/>
    </row>
    <row r="214" spans="1:13" ht="12.6" customHeight="1" x14ac:dyDescent="0.3">
      <c r="A214" s="143" t="s">
        <v>1248</v>
      </c>
      <c r="B214" s="144"/>
      <c r="C214" s="54">
        <f>E214+D214+F214</f>
        <v>8029</v>
      </c>
      <c r="D214" s="52">
        <f>ROUNDDOWN(SUMIF(N182:N204,M214,D182:D204),0)</f>
        <v>6594</v>
      </c>
      <c r="E214" s="64">
        <f>ROUNDDOWN(SUMIF(N182:N204,M214,E182:E204),0)</f>
        <v>1118</v>
      </c>
      <c r="F214" s="54">
        <f>ROUNDDOWN(SUMIF(N182:N204,M214,F182:F204),0)</f>
        <v>317</v>
      </c>
      <c r="M214" s="35" t="s">
        <v>1011</v>
      </c>
    </row>
    <row r="215" spans="1:13" ht="12.6" customHeight="1" x14ac:dyDescent="0.3">
      <c r="A215" s="100" t="s">
        <v>152</v>
      </c>
      <c r="B215" s="101" t="s">
        <v>33</v>
      </c>
      <c r="C215" s="150">
        <f>C284</f>
        <v>3067</v>
      </c>
      <c r="D215" s="150">
        <f>D284</f>
        <v>3067</v>
      </c>
      <c r="E215" s="150">
        <f>E284</f>
        <v>0</v>
      </c>
      <c r="F215" s="150">
        <f>F284</f>
        <v>0</v>
      </c>
      <c r="G215" s="97" t="str">
        <f>HYPERLINK("#G"&amp;ROW(G249),"_x0005_`BDCOD|D00794_x0007_`POSS|"&amp;ROW(G217)&amp;"_x0007_`POSE|"&amp;ROW(G249)&amp;"_x0007_`")</f>
        <v>_x0005_`BDCOD|D00794_x0007_`POSS|217_x0007_`POSE|249_x0007_`</v>
      </c>
    </row>
    <row r="216" spans="1:13" ht="12.6" customHeight="1" x14ac:dyDescent="0.3">
      <c r="A216" s="83"/>
      <c r="B216" s="101" t="s">
        <v>149</v>
      </c>
      <c r="C216" s="139"/>
      <c r="D216" s="139"/>
      <c r="E216" s="139"/>
      <c r="F216" s="139"/>
      <c r="M216" s="35" t="s">
        <v>152</v>
      </c>
    </row>
    <row r="217" spans="1:13" ht="12.6" customHeight="1" x14ac:dyDescent="0.3">
      <c r="A217" s="68"/>
      <c r="B217" s="77" t="s">
        <v>1366</v>
      </c>
      <c r="C217" s="103"/>
      <c r="D217" s="103"/>
      <c r="E217" s="103"/>
      <c r="F217" s="103"/>
      <c r="G217" s="17" t="s">
        <v>1365</v>
      </c>
    </row>
    <row r="218" spans="1:13" ht="12.6" customHeight="1" x14ac:dyDescent="0.3">
      <c r="A218" s="78"/>
      <c r="B218" s="78"/>
      <c r="C218" s="78"/>
      <c r="D218" s="78"/>
      <c r="E218" s="78"/>
      <c r="F218" s="78"/>
      <c r="G218" s="17" t="s">
        <v>1229</v>
      </c>
    </row>
    <row r="219" spans="1:13" ht="12.6" customHeight="1" x14ac:dyDescent="0.3">
      <c r="A219" s="68"/>
      <c r="B219" s="77" t="s">
        <v>1368</v>
      </c>
      <c r="C219" s="78"/>
      <c r="D219" s="78"/>
      <c r="E219" s="78"/>
      <c r="F219" s="78"/>
      <c r="G219" s="17" t="s">
        <v>1367</v>
      </c>
    </row>
    <row r="220" spans="1:13" ht="12.6" customHeight="1" x14ac:dyDescent="0.3">
      <c r="A220" s="78"/>
      <c r="B220" s="78"/>
      <c r="C220" s="78"/>
      <c r="D220" s="78"/>
      <c r="E220" s="78"/>
      <c r="F220" s="78"/>
      <c r="G220" s="17" t="s">
        <v>1229</v>
      </c>
    </row>
    <row r="221" spans="1:13" ht="12.6" customHeight="1" x14ac:dyDescent="0.3">
      <c r="A221" s="68"/>
      <c r="B221" s="77" t="s">
        <v>1370</v>
      </c>
      <c r="C221" s="78"/>
      <c r="D221" s="78"/>
      <c r="E221" s="78"/>
      <c r="F221" s="78"/>
      <c r="G221" s="17" t="s">
        <v>1369</v>
      </c>
    </row>
    <row r="222" spans="1:13" ht="12.6" customHeight="1" x14ac:dyDescent="0.3">
      <c r="A222" s="78"/>
      <c r="B222" s="78"/>
      <c r="C222" s="78"/>
      <c r="D222" s="78"/>
      <c r="E222" s="78"/>
      <c r="F222" s="78"/>
      <c r="G222" s="17" t="s">
        <v>1229</v>
      </c>
    </row>
    <row r="223" spans="1:13" ht="12.6" customHeight="1" x14ac:dyDescent="0.3">
      <c r="A223" s="68"/>
      <c r="B223" s="77" t="s">
        <v>1372</v>
      </c>
      <c r="C223" s="78"/>
      <c r="D223" s="78"/>
      <c r="E223" s="78"/>
      <c r="F223" s="78"/>
      <c r="G223" s="17" t="s">
        <v>1371</v>
      </c>
    </row>
    <row r="224" spans="1:13" ht="12.6" customHeight="1" x14ac:dyDescent="0.3">
      <c r="A224" s="78"/>
      <c r="B224" s="78"/>
      <c r="C224" s="78"/>
      <c r="D224" s="78"/>
      <c r="E224" s="78"/>
      <c r="F224" s="78"/>
      <c r="G224" s="17" t="s">
        <v>1229</v>
      </c>
    </row>
    <row r="225" spans="1:25" ht="12.6" customHeight="1" x14ac:dyDescent="0.3">
      <c r="A225" s="68"/>
      <c r="B225" s="77" t="s">
        <v>1374</v>
      </c>
      <c r="C225" s="78"/>
      <c r="D225" s="78"/>
      <c r="E225" s="78"/>
      <c r="F225" s="78"/>
      <c r="G225" s="17" t="s">
        <v>1373</v>
      </c>
    </row>
    <row r="226" spans="1:25" ht="12.6" customHeight="1" x14ac:dyDescent="0.3">
      <c r="A226" s="78"/>
      <c r="B226" s="78"/>
      <c r="C226" s="78"/>
      <c r="D226" s="78"/>
      <c r="E226" s="78"/>
      <c r="F226" s="78"/>
      <c r="G226" s="17" t="s">
        <v>1229</v>
      </c>
    </row>
    <row r="227" spans="1:25" ht="12.6" customHeight="1" x14ac:dyDescent="0.3">
      <c r="A227" s="68" t="s">
        <v>588</v>
      </c>
      <c r="B227" s="102" t="str">
        <f>" 보통인부 : "&amp;TEXT(I227,"#,##0"&amp;IF(I227&lt;&gt;INT(I227),".###",""))&amp;" * 0.34 * 0.5 /100 = "&amp;TEXT(C227,"#,##0.0")&amp;""</f>
        <v xml:space="preserve"> 보통인부 : 169,804 * 0.34 * 0.5 /100 = 288.6</v>
      </c>
      <c r="C227" s="104">
        <f>E227+D227+F227</f>
        <v>288.60000000000002</v>
      </c>
      <c r="D227" s="104">
        <f>IF(H227=0,0,ROUNDDOWN(J227*H227,1))</f>
        <v>288.60000000000002</v>
      </c>
      <c r="E227" s="104">
        <f>IF(H227=0,0,ROUNDDOWN(K227*H227,1))</f>
        <v>0</v>
      </c>
      <c r="F227" s="104">
        <f>IF(H227=0,0,ROUNDDOWN(L227*H227,1))</f>
        <v>0</v>
      </c>
      <c r="G227" s="17" t="s">
        <v>1375</v>
      </c>
      <c r="H227" s="109">
        <v>1.7000000001E-3</v>
      </c>
      <c r="I227" s="110">
        <f>K227+J227+L227</f>
        <v>169804</v>
      </c>
      <c r="J227" s="39">
        <f>노무비목록표!E11</f>
        <v>169804</v>
      </c>
      <c r="M227" s="35" t="s">
        <v>1018</v>
      </c>
      <c r="N227" s="35" t="s">
        <v>1247</v>
      </c>
      <c r="X227" s="111" t="str">
        <f>노무비목록표!B11&amp;" / "&amp;노무비목록표!C11</f>
        <v xml:space="preserve">보통인부 / </v>
      </c>
      <c r="Y227" s="3" t="str">
        <f ca="1">HYPERLINK("#"&amp;노무비목록표!G2&amp;"!A"&amp;ROW(노무비목록표!A11),"L00016 →")</f>
        <v>L00016 →</v>
      </c>
    </row>
    <row r="228" spans="1:25" ht="12.6" customHeight="1" x14ac:dyDescent="0.3">
      <c r="A228" s="78"/>
      <c r="B228" s="78"/>
      <c r="C228" s="78"/>
      <c r="D228" s="78"/>
      <c r="E228" s="78"/>
      <c r="F228" s="78"/>
      <c r="G228" s="17" t="s">
        <v>1229</v>
      </c>
    </row>
    <row r="229" spans="1:25" ht="12.6" customHeight="1" x14ac:dyDescent="0.3">
      <c r="A229" s="68"/>
      <c r="B229" s="77" t="s">
        <v>1246</v>
      </c>
      <c r="C229" s="105">
        <f>E229+D229+F229</f>
        <v>288.60000000000002</v>
      </c>
      <c r="D229" s="105">
        <f>SUMIF(N217:N228,M229,D217:D228)</f>
        <v>288.60000000000002</v>
      </c>
      <c r="E229" s="105">
        <f>SUMIF(N217:N228,M229,E217:E228)</f>
        <v>0</v>
      </c>
      <c r="F229" s="105">
        <f>SUMIF(N217:N228,M229,F217:F228)</f>
        <v>0</v>
      </c>
      <c r="G229" s="17" t="s">
        <v>1245</v>
      </c>
      <c r="M229" s="35" t="s">
        <v>1247</v>
      </c>
      <c r="N229" s="35" t="s">
        <v>1348</v>
      </c>
    </row>
    <row r="230" spans="1:25" ht="12.6" customHeight="1" x14ac:dyDescent="0.3">
      <c r="A230" s="78"/>
      <c r="B230" s="78"/>
      <c r="C230" s="103"/>
      <c r="D230" s="103"/>
      <c r="E230" s="103"/>
      <c r="F230" s="103"/>
      <c r="G230" s="17" t="s">
        <v>1229</v>
      </c>
    </row>
    <row r="231" spans="1:25" ht="12.6" customHeight="1" x14ac:dyDescent="0.3">
      <c r="A231" s="68"/>
      <c r="B231" s="77" t="s">
        <v>1377</v>
      </c>
      <c r="C231" s="78"/>
      <c r="D231" s="78"/>
      <c r="E231" s="78"/>
      <c r="F231" s="78"/>
      <c r="G231" s="17" t="s">
        <v>1376</v>
      </c>
    </row>
    <row r="232" spans="1:25" ht="12.6" customHeight="1" x14ac:dyDescent="0.3">
      <c r="A232" s="78"/>
      <c r="B232" s="78"/>
      <c r="C232" s="78"/>
      <c r="D232" s="78"/>
      <c r="E232" s="78"/>
      <c r="F232" s="78"/>
      <c r="G232" s="17" t="s">
        <v>1229</v>
      </c>
    </row>
    <row r="233" spans="1:25" ht="12.6" customHeight="1" x14ac:dyDescent="0.3">
      <c r="A233" s="68" t="s">
        <v>588</v>
      </c>
      <c r="B233" s="102" t="str">
        <f>" 보통인부 : "&amp;TEXT(I233,"#,##0"&amp;IF(I233&lt;&gt;INT(I233),".###",""))&amp;" * 0.36/100 = "&amp;TEXT(C233,"#,##0.0")&amp;""</f>
        <v xml:space="preserve"> 보통인부 : 169,804 * 0.36/100 = 611.2</v>
      </c>
      <c r="C233" s="104">
        <f>E233+D233+F233</f>
        <v>611.20000000000005</v>
      </c>
      <c r="D233" s="104">
        <f>IF(H233=0,0,ROUNDDOWN(J233*H233,1))</f>
        <v>611.20000000000005</v>
      </c>
      <c r="E233" s="104">
        <f>IF(H233=0,0,ROUNDDOWN(K233*H233,1))</f>
        <v>0</v>
      </c>
      <c r="F233" s="104">
        <f>IF(H233=0,0,ROUNDDOWN(L233*H233,1))</f>
        <v>0</v>
      </c>
      <c r="G233" s="17" t="s">
        <v>1378</v>
      </c>
      <c r="H233" s="109">
        <v>3.6000000001000002E-3</v>
      </c>
      <c r="I233" s="110">
        <f>K233+J233+L233</f>
        <v>169804</v>
      </c>
      <c r="J233" s="39">
        <f>노무비목록표!E11</f>
        <v>169804</v>
      </c>
      <c r="M233" s="35" t="s">
        <v>1018</v>
      </c>
      <c r="N233" s="35" t="s">
        <v>1247</v>
      </c>
      <c r="X233" s="111" t="str">
        <f>노무비목록표!B11&amp;" / "&amp;노무비목록표!C11</f>
        <v xml:space="preserve">보통인부 / </v>
      </c>
      <c r="Y233" s="3" t="str">
        <f ca="1">HYPERLINK("#"&amp;노무비목록표!G2&amp;"!A"&amp;ROW(노무비목록표!A11),"L00016 →")</f>
        <v>L00016 →</v>
      </c>
    </row>
    <row r="234" spans="1:25" ht="12.6" customHeight="1" x14ac:dyDescent="0.3">
      <c r="A234" s="78"/>
      <c r="B234" s="78"/>
      <c r="C234" s="78"/>
      <c r="D234" s="78"/>
      <c r="E234" s="78"/>
      <c r="F234" s="78"/>
      <c r="G234" s="17" t="s">
        <v>1229</v>
      </c>
    </row>
    <row r="235" spans="1:25" ht="12.6" customHeight="1" x14ac:dyDescent="0.3">
      <c r="A235" s="68"/>
      <c r="B235" s="77" t="s">
        <v>1246</v>
      </c>
      <c r="C235" s="105">
        <f>E235+D235+F235</f>
        <v>611.20000000000005</v>
      </c>
      <c r="D235" s="105">
        <f>SUMIF(N230:N234,M235,D230:D234)</f>
        <v>611.20000000000005</v>
      </c>
      <c r="E235" s="105">
        <f>SUMIF(N230:N234,M235,E230:E234)</f>
        <v>0</v>
      </c>
      <c r="F235" s="105">
        <f>SUMIF(N230:N234,M235,F230:F234)</f>
        <v>0</v>
      </c>
      <c r="G235" s="17" t="s">
        <v>1245</v>
      </c>
      <c r="M235" s="35" t="s">
        <v>1247</v>
      </c>
      <c r="N235" s="35" t="s">
        <v>1348</v>
      </c>
    </row>
    <row r="236" spans="1:25" ht="12.6" customHeight="1" x14ac:dyDescent="0.3">
      <c r="A236" s="78"/>
      <c r="B236" s="78"/>
      <c r="C236" s="103"/>
      <c r="D236" s="103"/>
      <c r="E236" s="103"/>
      <c r="F236" s="103"/>
      <c r="G236" s="17" t="s">
        <v>1229</v>
      </c>
    </row>
    <row r="237" spans="1:25" ht="12.6" customHeight="1" x14ac:dyDescent="0.3">
      <c r="A237" s="68"/>
      <c r="B237" s="77" t="s">
        <v>1380</v>
      </c>
      <c r="C237" s="78"/>
      <c r="D237" s="78"/>
      <c r="E237" s="78"/>
      <c r="F237" s="78"/>
      <c r="G237" s="17" t="s">
        <v>1379</v>
      </c>
    </row>
    <row r="238" spans="1:25" ht="12.6" customHeight="1" x14ac:dyDescent="0.3">
      <c r="A238" s="78"/>
      <c r="B238" s="78"/>
      <c r="C238" s="78"/>
      <c r="D238" s="78"/>
      <c r="E238" s="78"/>
      <c r="F238" s="78"/>
      <c r="G238" s="17" t="s">
        <v>1229</v>
      </c>
    </row>
    <row r="239" spans="1:25" ht="12.6" customHeight="1" x14ac:dyDescent="0.3">
      <c r="A239" s="68" t="s">
        <v>588</v>
      </c>
      <c r="B239" s="102" t="str">
        <f>" 보통인부 : "&amp;TEXT(I239,"#,##0"&amp;IF(I239&lt;&gt;INT(I239),".###",""))&amp;" * 1.17/100 = "&amp;TEXT(C239,"#,##0.0")&amp;""</f>
        <v xml:space="preserve"> 보통인부 : 169,804 * 1.17/100 = 1,986.7</v>
      </c>
      <c r="C239" s="104">
        <f>E239+D239+F239</f>
        <v>1986.7</v>
      </c>
      <c r="D239" s="104">
        <f>IF(H239=0,0,ROUNDDOWN(J239*H239,1))</f>
        <v>1986.7</v>
      </c>
      <c r="E239" s="104">
        <f>IF(H239=0,0,ROUNDDOWN(K239*H239,1))</f>
        <v>0</v>
      </c>
      <c r="F239" s="104">
        <f>IF(H239=0,0,ROUNDDOWN(L239*H239,1))</f>
        <v>0</v>
      </c>
      <c r="G239" s="17" t="s">
        <v>1381</v>
      </c>
      <c r="H239" s="109">
        <v>1.17000000001E-2</v>
      </c>
      <c r="I239" s="110">
        <f>K239+J239+L239</f>
        <v>169804</v>
      </c>
      <c r="J239" s="39">
        <f>노무비목록표!E11</f>
        <v>169804</v>
      </c>
      <c r="M239" s="35" t="s">
        <v>1018</v>
      </c>
      <c r="N239" s="35" t="s">
        <v>1247</v>
      </c>
      <c r="X239" s="111" t="str">
        <f>노무비목록표!B11&amp;" / "&amp;노무비목록표!C11</f>
        <v xml:space="preserve">보통인부 / </v>
      </c>
      <c r="Y239" s="3" t="str">
        <f ca="1">HYPERLINK("#"&amp;노무비목록표!G2&amp;"!A"&amp;ROW(노무비목록표!A11),"L00016 →")</f>
        <v>L00016 →</v>
      </c>
    </row>
    <row r="240" spans="1:25" ht="12.6" customHeight="1" x14ac:dyDescent="0.3">
      <c r="A240" s="78"/>
      <c r="B240" s="78"/>
      <c r="C240" s="78"/>
      <c r="D240" s="78"/>
      <c r="E240" s="78"/>
      <c r="F240" s="78"/>
      <c r="G240" s="17" t="s">
        <v>1229</v>
      </c>
    </row>
    <row r="241" spans="1:25" ht="12.6" customHeight="1" x14ac:dyDescent="0.3">
      <c r="A241" s="68"/>
      <c r="B241" s="77" t="s">
        <v>1246</v>
      </c>
      <c r="C241" s="105">
        <f>E241+D241+F241</f>
        <v>1986.7</v>
      </c>
      <c r="D241" s="105">
        <f>SUMIF(N236:N240,M241,D236:D240)</f>
        <v>1986.7</v>
      </c>
      <c r="E241" s="105">
        <f>SUMIF(N236:N240,M241,E236:E240)</f>
        <v>0</v>
      </c>
      <c r="F241" s="105">
        <f>SUMIF(N236:N240,M241,F236:F240)</f>
        <v>0</v>
      </c>
      <c r="G241" s="17" t="s">
        <v>1245</v>
      </c>
      <c r="M241" s="35" t="s">
        <v>1247</v>
      </c>
      <c r="N241" s="35" t="s">
        <v>1348</v>
      </c>
    </row>
    <row r="242" spans="1:25" ht="12.6" customHeight="1" x14ac:dyDescent="0.3">
      <c r="A242" s="78"/>
      <c r="B242" s="78"/>
      <c r="C242" s="103"/>
      <c r="D242" s="103"/>
      <c r="E242" s="103"/>
      <c r="F242" s="103"/>
      <c r="G242" s="17" t="s">
        <v>1229</v>
      </c>
    </row>
    <row r="243" spans="1:25" ht="12.6" customHeight="1" x14ac:dyDescent="0.3">
      <c r="A243" s="68"/>
      <c r="B243" s="77" t="s">
        <v>1383</v>
      </c>
      <c r="C243" s="78"/>
      <c r="D243" s="78"/>
      <c r="E243" s="78"/>
      <c r="F243" s="78"/>
      <c r="G243" s="17" t="s">
        <v>1382</v>
      </c>
    </row>
    <row r="244" spans="1:25" ht="12.6" customHeight="1" x14ac:dyDescent="0.3">
      <c r="A244" s="78"/>
      <c r="B244" s="78"/>
      <c r="C244" s="78"/>
      <c r="D244" s="78"/>
      <c r="E244" s="78"/>
      <c r="F244" s="78"/>
      <c r="G244" s="17" t="s">
        <v>1229</v>
      </c>
    </row>
    <row r="245" spans="1:25" ht="12.6" customHeight="1" x14ac:dyDescent="0.3">
      <c r="A245" s="68" t="s">
        <v>582</v>
      </c>
      <c r="B245" s="102" t="str">
        <f>" "&amp;TEXT(I245,"#,##0"&amp;IF(I245&lt;&gt;INT(I245),".###",""))&amp;" *(0.17+0.36+1.17)/100 / 20 = "&amp;TEXT(C245,"#,##0.0")&amp;""</f>
        <v xml:space="preserve"> 213,033 *(0.17+0.36+1.17)/100 / 20 = 181.0</v>
      </c>
      <c r="C245" s="104">
        <f>E245+D245+F245</f>
        <v>181</v>
      </c>
      <c r="D245" s="104">
        <f>IF(H245=0,0,ROUNDDOWN(J245*H245,1))</f>
        <v>181</v>
      </c>
      <c r="E245" s="104">
        <f>IF(H245=0,0,ROUNDDOWN(K245*H245,1))</f>
        <v>0</v>
      </c>
      <c r="F245" s="104">
        <f>IF(H245=0,0,ROUNDDOWN(L245*H245,1))</f>
        <v>0</v>
      </c>
      <c r="G245" s="17" t="s">
        <v>1384</v>
      </c>
      <c r="H245" s="109">
        <v>8.5000000010000004E-4</v>
      </c>
      <c r="I245" s="110">
        <f>K245+J245+L245</f>
        <v>213033</v>
      </c>
      <c r="J245" s="39">
        <f>노무비목록표!E9</f>
        <v>213033</v>
      </c>
      <c r="M245" s="35" t="s">
        <v>1385</v>
      </c>
      <c r="N245" s="35" t="s">
        <v>1247</v>
      </c>
      <c r="X245" s="111" t="str">
        <f>노무비목록표!B9&amp;" / "&amp;노무비목록표!C9</f>
        <v xml:space="preserve">작업반장 / </v>
      </c>
      <c r="Y245" s="3" t="str">
        <f ca="1">HYPERLINK("#"&amp;노무비목록표!G2&amp;"!A"&amp;ROW(노무비목록표!A9),"L00014 →")</f>
        <v>L00014 →</v>
      </c>
    </row>
    <row r="246" spans="1:25" ht="12.6" customHeight="1" x14ac:dyDescent="0.3">
      <c r="A246" s="78"/>
      <c r="B246" s="78"/>
      <c r="C246" s="78"/>
      <c r="D246" s="78"/>
      <c r="E246" s="78"/>
      <c r="F246" s="78"/>
      <c r="G246" s="17" t="s">
        <v>1229</v>
      </c>
    </row>
    <row r="247" spans="1:25" ht="12.6" customHeight="1" x14ac:dyDescent="0.3">
      <c r="A247" s="68"/>
      <c r="B247" s="77" t="s">
        <v>1246</v>
      </c>
      <c r="C247" s="105">
        <f>E247+D247+F247</f>
        <v>181</v>
      </c>
      <c r="D247" s="105">
        <f>SUMIF(N242:N246,M247,D242:D246)</f>
        <v>181</v>
      </c>
      <c r="E247" s="105">
        <f>SUMIF(N242:N246,M247,E242:E246)</f>
        <v>0</v>
      </c>
      <c r="F247" s="105">
        <f>SUMIF(N242:N246,M247,F242:F246)</f>
        <v>0</v>
      </c>
      <c r="G247" s="17" t="s">
        <v>1245</v>
      </c>
      <c r="M247" s="35" t="s">
        <v>1247</v>
      </c>
      <c r="N247" s="35" t="s">
        <v>1348</v>
      </c>
    </row>
    <row r="248" spans="1:25" ht="12.6" customHeight="1" x14ac:dyDescent="0.3">
      <c r="A248" s="78"/>
      <c r="B248" s="78"/>
      <c r="C248" s="103"/>
      <c r="D248" s="103"/>
      <c r="E248" s="103"/>
      <c r="F248" s="103"/>
      <c r="G248" s="17" t="s">
        <v>1229</v>
      </c>
    </row>
    <row r="249" spans="1:25" ht="12.6" customHeight="1" x14ac:dyDescent="0.3">
      <c r="A249" s="68"/>
      <c r="B249" s="77" t="s">
        <v>1101</v>
      </c>
      <c r="C249" s="105">
        <f>E249+D249+F249</f>
        <v>3067.5</v>
      </c>
      <c r="D249" s="105">
        <f>SUMIF(N217:N248,M249,D217:D248)</f>
        <v>3067.5</v>
      </c>
      <c r="E249" s="105">
        <f>SUMIF(N217:N248,M249,E217:E248)</f>
        <v>0</v>
      </c>
      <c r="F249" s="105">
        <f>SUMIF(N217:N248,M249,F217:F248)</f>
        <v>0</v>
      </c>
      <c r="G249" s="17" t="s">
        <v>1347</v>
      </c>
      <c r="M249" s="35" t="s">
        <v>1348</v>
      </c>
      <c r="N249" s="35" t="s">
        <v>1011</v>
      </c>
    </row>
    <row r="250" spans="1:25" ht="12.6" customHeight="1" x14ac:dyDescent="0.3">
      <c r="A250" s="78"/>
      <c r="B250" s="78"/>
      <c r="C250" s="103"/>
      <c r="D250" s="103"/>
      <c r="E250" s="103"/>
      <c r="F250" s="103"/>
    </row>
    <row r="251" spans="1:25" ht="12.6" customHeight="1" x14ac:dyDescent="0.3">
      <c r="A251" s="78"/>
      <c r="B251" s="78"/>
      <c r="C251" s="78"/>
      <c r="D251" s="78"/>
      <c r="E251" s="78"/>
      <c r="F251" s="78"/>
    </row>
    <row r="252" spans="1:25" ht="12.6" customHeight="1" x14ac:dyDescent="0.3">
      <c r="A252" s="78"/>
      <c r="B252" s="78"/>
      <c r="C252" s="78"/>
      <c r="D252" s="78"/>
      <c r="E252" s="78"/>
      <c r="F252" s="78"/>
    </row>
    <row r="253" spans="1:25" ht="12.6" customHeight="1" x14ac:dyDescent="0.3">
      <c r="A253" s="78"/>
      <c r="B253" s="78"/>
      <c r="C253" s="78"/>
      <c r="D253" s="78"/>
      <c r="E253" s="78"/>
      <c r="F253" s="78"/>
    </row>
    <row r="254" spans="1:25" ht="12.6" customHeight="1" x14ac:dyDescent="0.3">
      <c r="A254" s="78"/>
      <c r="B254" s="78"/>
      <c r="C254" s="78"/>
      <c r="D254" s="78"/>
      <c r="E254" s="78"/>
      <c r="F254" s="78"/>
    </row>
    <row r="255" spans="1:25" ht="12.6" customHeight="1" x14ac:dyDescent="0.3">
      <c r="A255" s="78"/>
      <c r="B255" s="78"/>
      <c r="C255" s="78"/>
      <c r="D255" s="78"/>
      <c r="E255" s="78"/>
      <c r="F255" s="78"/>
    </row>
    <row r="256" spans="1:25" ht="12.6" customHeight="1" x14ac:dyDescent="0.3">
      <c r="A256" s="78"/>
      <c r="B256" s="78"/>
      <c r="C256" s="78"/>
      <c r="D256" s="78"/>
      <c r="E256" s="78"/>
      <c r="F256" s="78"/>
    </row>
    <row r="257" spans="1:6" ht="12.6" customHeight="1" x14ac:dyDescent="0.3">
      <c r="A257" s="78"/>
      <c r="B257" s="78"/>
      <c r="C257" s="78"/>
      <c r="D257" s="78"/>
      <c r="E257" s="78"/>
      <c r="F257" s="78"/>
    </row>
    <row r="258" spans="1:6" ht="12.6" customHeight="1" x14ac:dyDescent="0.3">
      <c r="A258" s="78"/>
      <c r="B258" s="78"/>
      <c r="C258" s="78"/>
      <c r="D258" s="78"/>
      <c r="E258" s="78"/>
      <c r="F258" s="78"/>
    </row>
    <row r="259" spans="1:6" ht="12.6" customHeight="1" x14ac:dyDescent="0.3">
      <c r="A259" s="78"/>
      <c r="B259" s="78"/>
      <c r="C259" s="78"/>
      <c r="D259" s="78"/>
      <c r="E259" s="78"/>
      <c r="F259" s="78"/>
    </row>
    <row r="260" spans="1:6" ht="12.6" customHeight="1" x14ac:dyDescent="0.3">
      <c r="A260" s="78"/>
      <c r="B260" s="78"/>
      <c r="C260" s="78"/>
      <c r="D260" s="78"/>
      <c r="E260" s="78"/>
      <c r="F260" s="78"/>
    </row>
    <row r="261" spans="1:6" ht="12.6" customHeight="1" x14ac:dyDescent="0.3">
      <c r="A261" s="78"/>
      <c r="B261" s="78"/>
      <c r="C261" s="78"/>
      <c r="D261" s="78"/>
      <c r="E261" s="78"/>
      <c r="F261" s="78"/>
    </row>
    <row r="262" spans="1:6" ht="12.6" customHeight="1" x14ac:dyDescent="0.3">
      <c r="A262" s="78"/>
      <c r="B262" s="78"/>
      <c r="C262" s="78"/>
      <c r="D262" s="78"/>
      <c r="E262" s="78"/>
      <c r="F262" s="78"/>
    </row>
    <row r="263" spans="1:6" ht="12.6" customHeight="1" x14ac:dyDescent="0.3">
      <c r="A263" s="78"/>
      <c r="B263" s="78"/>
      <c r="C263" s="78"/>
      <c r="D263" s="78"/>
      <c r="E263" s="78"/>
      <c r="F263" s="78"/>
    </row>
    <row r="264" spans="1:6" ht="12.6" customHeight="1" x14ac:dyDescent="0.3">
      <c r="A264" s="78"/>
      <c r="B264" s="78"/>
      <c r="C264" s="78"/>
      <c r="D264" s="78"/>
      <c r="E264" s="78"/>
      <c r="F264" s="78"/>
    </row>
    <row r="265" spans="1:6" ht="12.6" customHeight="1" x14ac:dyDescent="0.3">
      <c r="A265" s="78"/>
      <c r="B265" s="78"/>
      <c r="C265" s="78"/>
      <c r="D265" s="78"/>
      <c r="E265" s="78"/>
      <c r="F265" s="78"/>
    </row>
    <row r="266" spans="1:6" ht="12.6" customHeight="1" x14ac:dyDescent="0.3">
      <c r="A266" s="78"/>
      <c r="B266" s="78"/>
      <c r="C266" s="78"/>
      <c r="D266" s="78"/>
      <c r="E266" s="78"/>
      <c r="F266" s="78"/>
    </row>
    <row r="267" spans="1:6" ht="12.6" customHeight="1" x14ac:dyDescent="0.3">
      <c r="A267" s="78"/>
      <c r="B267" s="78"/>
      <c r="C267" s="78"/>
      <c r="D267" s="78"/>
      <c r="E267" s="78"/>
      <c r="F267" s="78"/>
    </row>
    <row r="268" spans="1:6" ht="12.6" customHeight="1" x14ac:dyDescent="0.3">
      <c r="A268" s="78"/>
      <c r="B268" s="78"/>
      <c r="C268" s="78"/>
      <c r="D268" s="78"/>
      <c r="E268" s="78"/>
      <c r="F268" s="78"/>
    </row>
    <row r="269" spans="1:6" ht="12.6" customHeight="1" x14ac:dyDescent="0.3">
      <c r="A269" s="78"/>
      <c r="B269" s="78"/>
      <c r="C269" s="78"/>
      <c r="D269" s="78"/>
      <c r="E269" s="78"/>
      <c r="F269" s="78"/>
    </row>
    <row r="270" spans="1:6" ht="12.6" customHeight="1" x14ac:dyDescent="0.3">
      <c r="A270" s="78"/>
      <c r="B270" s="78"/>
      <c r="C270" s="78"/>
      <c r="D270" s="78"/>
      <c r="E270" s="78"/>
      <c r="F270" s="78"/>
    </row>
    <row r="271" spans="1:6" ht="12.6" customHeight="1" x14ac:dyDescent="0.3">
      <c r="A271" s="78"/>
      <c r="B271" s="78"/>
      <c r="C271" s="78"/>
      <c r="D271" s="78"/>
      <c r="E271" s="78"/>
      <c r="F271" s="78"/>
    </row>
    <row r="272" spans="1:6" ht="12.6" customHeight="1" x14ac:dyDescent="0.3">
      <c r="A272" s="78"/>
      <c r="B272" s="78"/>
      <c r="C272" s="78"/>
      <c r="D272" s="78"/>
      <c r="E272" s="78"/>
      <c r="F272" s="78"/>
    </row>
    <row r="273" spans="1:13" ht="12.6" customHeight="1" x14ac:dyDescent="0.3">
      <c r="A273" s="78"/>
      <c r="B273" s="78"/>
      <c r="C273" s="78"/>
      <c r="D273" s="78"/>
      <c r="E273" s="78"/>
      <c r="F273" s="78"/>
    </row>
    <row r="274" spans="1:13" ht="12.6" customHeight="1" x14ac:dyDescent="0.3">
      <c r="A274" s="78"/>
      <c r="B274" s="78"/>
      <c r="C274" s="78"/>
      <c r="D274" s="78"/>
      <c r="E274" s="78"/>
      <c r="F274" s="78"/>
    </row>
    <row r="275" spans="1:13" ht="12.6" customHeight="1" x14ac:dyDescent="0.3">
      <c r="A275" s="78"/>
      <c r="B275" s="78"/>
      <c r="C275" s="78"/>
      <c r="D275" s="78"/>
      <c r="E275" s="78"/>
      <c r="F275" s="78"/>
    </row>
    <row r="276" spans="1:13" ht="12.6" customHeight="1" x14ac:dyDescent="0.3">
      <c r="A276" s="78"/>
      <c r="B276" s="78"/>
      <c r="C276" s="78"/>
      <c r="D276" s="78"/>
      <c r="E276" s="78"/>
      <c r="F276" s="78"/>
    </row>
    <row r="277" spans="1:13" ht="12.6" customHeight="1" x14ac:dyDescent="0.3">
      <c r="A277" s="78"/>
      <c r="B277" s="78"/>
      <c r="C277" s="78"/>
      <c r="D277" s="78"/>
      <c r="E277" s="78"/>
      <c r="F277" s="78"/>
    </row>
    <row r="278" spans="1:13" ht="12.6" customHeight="1" x14ac:dyDescent="0.3">
      <c r="A278" s="78"/>
      <c r="B278" s="78"/>
      <c r="C278" s="78"/>
      <c r="D278" s="78"/>
      <c r="E278" s="78"/>
      <c r="F278" s="78"/>
    </row>
    <row r="279" spans="1:13" ht="12.6" customHeight="1" x14ac:dyDescent="0.3">
      <c r="A279" s="78"/>
      <c r="B279" s="78"/>
      <c r="C279" s="78"/>
      <c r="D279" s="78"/>
      <c r="E279" s="78"/>
      <c r="F279" s="78"/>
    </row>
    <row r="280" spans="1:13" ht="12.6" customHeight="1" x14ac:dyDescent="0.3">
      <c r="A280" s="78"/>
      <c r="B280" s="78"/>
      <c r="C280" s="78"/>
      <c r="D280" s="78"/>
      <c r="E280" s="78"/>
      <c r="F280" s="78"/>
    </row>
    <row r="281" spans="1:13" ht="12.6" customHeight="1" x14ac:dyDescent="0.3">
      <c r="A281" s="78"/>
      <c r="B281" s="78"/>
      <c r="C281" s="78"/>
      <c r="D281" s="78"/>
      <c r="E281" s="78"/>
      <c r="F281" s="78"/>
    </row>
    <row r="282" spans="1:13" ht="12.6" customHeight="1" x14ac:dyDescent="0.3">
      <c r="A282" s="78"/>
      <c r="B282" s="78"/>
      <c r="C282" s="78"/>
      <c r="D282" s="78"/>
      <c r="E282" s="78"/>
      <c r="F282" s="78"/>
    </row>
    <row r="283" spans="1:13" ht="12.6" customHeight="1" x14ac:dyDescent="0.3">
      <c r="A283" s="56"/>
      <c r="B283" s="56"/>
      <c r="C283" s="56"/>
      <c r="D283" s="56"/>
      <c r="E283" s="56"/>
      <c r="F283" s="56"/>
    </row>
    <row r="284" spans="1:13" ht="12.6" customHeight="1" x14ac:dyDescent="0.3">
      <c r="A284" s="143" t="s">
        <v>1248</v>
      </c>
      <c r="B284" s="144"/>
      <c r="C284" s="54">
        <f>E284+D284+F284</f>
        <v>3067</v>
      </c>
      <c r="D284" s="52">
        <f>ROUNDDOWN(SUMIF(N217:N249,M284,D217:D249),0)</f>
        <v>3067</v>
      </c>
      <c r="E284" s="64">
        <f>ROUNDDOWN(SUMIF(N217:N249,M284,E217:E249),0)</f>
        <v>0</v>
      </c>
      <c r="F284" s="54">
        <f>ROUNDDOWN(SUMIF(N217:N249,M284,F217:F249),0)</f>
        <v>0</v>
      </c>
      <c r="M284" s="35" t="s">
        <v>1011</v>
      </c>
    </row>
    <row r="285" spans="1:13" ht="12.6" customHeight="1" x14ac:dyDescent="0.3">
      <c r="A285" s="100" t="s">
        <v>156</v>
      </c>
      <c r="B285" s="101" t="s">
        <v>38</v>
      </c>
      <c r="C285" s="150">
        <f>C319</f>
        <v>4862</v>
      </c>
      <c r="D285" s="150">
        <f>D319</f>
        <v>3391</v>
      </c>
      <c r="E285" s="150">
        <f>E319</f>
        <v>625</v>
      </c>
      <c r="F285" s="150">
        <f>F319</f>
        <v>846</v>
      </c>
      <c r="G285" s="97" t="str">
        <f>HYPERLINK("#G"&amp;ROW(G314),"_x0005_`BDCOD|D00867_x0007_`POSS|"&amp;ROW(G287)&amp;"_x0007_`POSE|"&amp;ROW(G314)&amp;"_x0007_`")</f>
        <v>_x0005_`BDCOD|D00867_x0007_`POSS|287_x0007_`POSE|314_x0007_`</v>
      </c>
    </row>
    <row r="286" spans="1:13" ht="12.6" customHeight="1" x14ac:dyDescent="0.3">
      <c r="A286" s="83"/>
      <c r="B286" s="101" t="s">
        <v>153</v>
      </c>
      <c r="C286" s="139"/>
      <c r="D286" s="139"/>
      <c r="E286" s="139"/>
      <c r="F286" s="139"/>
      <c r="M286" s="35" t="s">
        <v>156</v>
      </c>
    </row>
    <row r="287" spans="1:13" ht="12.6" customHeight="1" x14ac:dyDescent="0.3">
      <c r="A287" s="78"/>
      <c r="B287" s="78"/>
      <c r="C287" s="103"/>
      <c r="D287" s="103"/>
      <c r="E287" s="103"/>
      <c r="F287" s="103"/>
      <c r="G287" s="17" t="s">
        <v>1229</v>
      </c>
    </row>
    <row r="288" spans="1:13" ht="12.6" customHeight="1" x14ac:dyDescent="0.3">
      <c r="A288" s="68"/>
      <c r="B288" s="77" t="s">
        <v>1387</v>
      </c>
      <c r="C288" s="78"/>
      <c r="D288" s="78"/>
      <c r="E288" s="78"/>
      <c r="F288" s="78"/>
      <c r="G288" s="17" t="s">
        <v>1386</v>
      </c>
    </row>
    <row r="289" spans="1:25" ht="12.6" customHeight="1" x14ac:dyDescent="0.3">
      <c r="A289" s="78"/>
      <c r="B289" s="78"/>
      <c r="C289" s="78"/>
      <c r="D289" s="78"/>
      <c r="E289" s="78"/>
      <c r="F289" s="78"/>
      <c r="G289" s="17" t="s">
        <v>1229</v>
      </c>
    </row>
    <row r="290" spans="1:25" ht="12.6" customHeight="1" x14ac:dyDescent="0.3">
      <c r="A290" s="68"/>
      <c r="B290" s="77" t="s">
        <v>1389</v>
      </c>
      <c r="C290" s="78"/>
      <c r="D290" s="78"/>
      <c r="E290" s="78"/>
      <c r="F290" s="78"/>
      <c r="G290" s="17" t="s">
        <v>1388</v>
      </c>
    </row>
    <row r="291" spans="1:25" ht="12.6" customHeight="1" x14ac:dyDescent="0.3">
      <c r="A291" s="78"/>
      <c r="B291" s="78"/>
      <c r="C291" s="78"/>
      <c r="D291" s="78"/>
      <c r="E291" s="78"/>
      <c r="F291" s="78"/>
      <c r="G291" s="17" t="s">
        <v>1229</v>
      </c>
    </row>
    <row r="292" spans="1:25" ht="12.6" customHeight="1" x14ac:dyDescent="0.3">
      <c r="A292" s="68"/>
      <c r="B292" s="77" t="s">
        <v>1391</v>
      </c>
      <c r="C292" s="78"/>
      <c r="D292" s="78"/>
      <c r="E292" s="78"/>
      <c r="F292" s="78"/>
      <c r="G292" s="17" t="s">
        <v>1390</v>
      </c>
    </row>
    <row r="293" spans="1:25" ht="12.6" customHeight="1" x14ac:dyDescent="0.3">
      <c r="A293" s="78"/>
      <c r="B293" s="78"/>
      <c r="C293" s="78"/>
      <c r="D293" s="78"/>
      <c r="E293" s="78"/>
      <c r="F293" s="78"/>
      <c r="G293" s="17" t="s">
        <v>1229</v>
      </c>
    </row>
    <row r="294" spans="1:25" ht="12.6" customHeight="1" x14ac:dyDescent="0.3">
      <c r="A294" s="68"/>
      <c r="B294" s="77" t="s">
        <v>1393</v>
      </c>
      <c r="C294" s="78"/>
      <c r="D294" s="78"/>
      <c r="E294" s="78"/>
      <c r="F294" s="78"/>
      <c r="G294" s="17" t="s">
        <v>1392</v>
      </c>
    </row>
    <row r="295" spans="1:25" ht="12.6" customHeight="1" x14ac:dyDescent="0.3">
      <c r="A295" s="78"/>
      <c r="B295" s="78"/>
      <c r="C295" s="78"/>
      <c r="D295" s="78"/>
      <c r="E295" s="78"/>
      <c r="F295" s="78"/>
      <c r="G295" s="17" t="s">
        <v>1229</v>
      </c>
    </row>
    <row r="296" spans="1:25" ht="12.6" customHeight="1" x14ac:dyDescent="0.3">
      <c r="A296" s="68"/>
      <c r="B296" s="77" t="s">
        <v>1395</v>
      </c>
      <c r="C296" s="78"/>
      <c r="D296" s="78"/>
      <c r="E296" s="78"/>
      <c r="F296" s="78"/>
      <c r="G296" s="17" t="s">
        <v>1394</v>
      </c>
    </row>
    <row r="297" spans="1:25" ht="12.6" customHeight="1" x14ac:dyDescent="0.3">
      <c r="A297" s="78"/>
      <c r="B297" s="78"/>
      <c r="C297" s="78"/>
      <c r="D297" s="78"/>
      <c r="E297" s="78"/>
      <c r="F297" s="78"/>
      <c r="G297" s="17" t="s">
        <v>1229</v>
      </c>
    </row>
    <row r="298" spans="1:25" ht="12.6" customHeight="1" x14ac:dyDescent="0.3">
      <c r="A298" s="68" t="s">
        <v>1397</v>
      </c>
      <c r="B298" s="102" t="str">
        <f>" 노 무 비 :  "&amp;TEXT(I298,"#,##0"&amp;IF(I298&lt;&gt;INT(I298),".###",""))&amp;" / q1 = "&amp;TEXT(C298,"#,##0.0")&amp;""</f>
        <v xml:space="preserve"> 노 무 비 :  57,077 / q1 = 1,826.4</v>
      </c>
      <c r="C298" s="104">
        <f>E298+D298+F298</f>
        <v>1826.4</v>
      </c>
      <c r="D298" s="104">
        <f>IF(H298=0,0,ROUNDDOWN(J298*H298,1))</f>
        <v>1826.4</v>
      </c>
      <c r="E298" s="104">
        <f>IF(H298=0,0,ROUNDDOWN(K298*H298,1))</f>
        <v>0</v>
      </c>
      <c r="F298" s="104">
        <f>IF(H298=0,0,ROUNDDOWN(L298*H298,1))</f>
        <v>0</v>
      </c>
      <c r="G298" s="17" t="s">
        <v>1396</v>
      </c>
      <c r="H298" s="109">
        <v>3.2000000000099997E-2</v>
      </c>
      <c r="I298" s="110">
        <f>K298+J298+L298</f>
        <v>57077</v>
      </c>
      <c r="J298" s="39">
        <f>중기목록표!F20</f>
        <v>57077</v>
      </c>
      <c r="M298" s="35" t="s">
        <v>1084</v>
      </c>
      <c r="N298" s="35" t="s">
        <v>1247</v>
      </c>
      <c r="X298" s="111" t="str">
        <f>중기목록표!B20&amp;" / "&amp;중기목록표!C20</f>
        <v>굴삭기(타이어) / 0.6㎥</v>
      </c>
      <c r="Y298" s="3" t="str">
        <f ca="1">HYPERLINK("#"&amp;중기목록표!J2&amp;"!A"&amp;ROW(중기목록표!A20),"X00283 →")</f>
        <v>X00283 →</v>
      </c>
    </row>
    <row r="299" spans="1:25" ht="12.6" customHeight="1" x14ac:dyDescent="0.3">
      <c r="A299" s="78"/>
      <c r="B299" s="78"/>
      <c r="C299" s="78"/>
      <c r="D299" s="78"/>
      <c r="E299" s="78"/>
      <c r="F299" s="78"/>
      <c r="G299" s="17" t="s">
        <v>1229</v>
      </c>
    </row>
    <row r="300" spans="1:25" ht="12.6" customHeight="1" x14ac:dyDescent="0.3">
      <c r="A300" s="68" t="s">
        <v>1399</v>
      </c>
      <c r="B300" s="102" t="str">
        <f>" 재 료 비 :  "&amp;TEXT(I300,"#,##0"&amp;IF(I300&lt;&gt;INT(I300),".###",""))&amp;" / q1 = "&amp;TEXT(C300,"#,##0.0")&amp;""</f>
        <v xml:space="preserve"> 재 료 비 :  19,547 / q1 = 625.5</v>
      </c>
      <c r="C300" s="104">
        <f>E300+D300+F300</f>
        <v>625.5</v>
      </c>
      <c r="D300" s="104">
        <f>IF(H300=0,0,ROUNDDOWN(J300*H300,1))</f>
        <v>0</v>
      </c>
      <c r="E300" s="104">
        <f>IF(H300=0,0,ROUNDDOWN(K300*H300,1))</f>
        <v>625.5</v>
      </c>
      <c r="F300" s="104">
        <f>IF(H300=0,0,ROUNDDOWN(L300*H300,1))</f>
        <v>0</v>
      </c>
      <c r="G300" s="17" t="s">
        <v>1398</v>
      </c>
      <c r="H300" s="109">
        <v>3.2000000000099997E-2</v>
      </c>
      <c r="I300" s="110">
        <f>K300+J300+L300</f>
        <v>19547</v>
      </c>
      <c r="K300" s="39">
        <f>중기목록표!G20</f>
        <v>19547</v>
      </c>
      <c r="M300" s="35" t="s">
        <v>1084</v>
      </c>
      <c r="N300" s="35" t="s">
        <v>1247</v>
      </c>
      <c r="X300" s="111" t="str">
        <f>중기목록표!B20&amp;" / "&amp;중기목록표!C20</f>
        <v>굴삭기(타이어) / 0.6㎥</v>
      </c>
      <c r="Y300" s="3" t="str">
        <f ca="1">HYPERLINK("#"&amp;중기목록표!J2&amp;"!A"&amp;ROW(중기목록표!A20),"X00283 →")</f>
        <v>X00283 →</v>
      </c>
    </row>
    <row r="301" spans="1:25" ht="12.6" customHeight="1" x14ac:dyDescent="0.3">
      <c r="A301" s="78"/>
      <c r="B301" s="78"/>
      <c r="C301" s="78"/>
      <c r="D301" s="78"/>
      <c r="E301" s="78"/>
      <c r="F301" s="78"/>
      <c r="G301" s="17" t="s">
        <v>1229</v>
      </c>
    </row>
    <row r="302" spans="1:25" ht="12.6" customHeight="1" x14ac:dyDescent="0.3">
      <c r="A302" s="68" t="s">
        <v>1401</v>
      </c>
      <c r="B302" s="102" t="str">
        <f>" 경    비 :  "&amp;TEXT(I302,"#,##0"&amp;IF(I302&lt;&gt;INT(I302),".###",""))&amp;" / q1 = "&amp;TEXT(C302,"#,##0.0")&amp;""</f>
        <v xml:space="preserve"> 경    비 :  26,463 / q1 = 846.8</v>
      </c>
      <c r="C302" s="104">
        <f>E302+D302+F302</f>
        <v>846.8</v>
      </c>
      <c r="D302" s="104">
        <f>IF(H302=0,0,ROUNDDOWN(J302*H302,1))</f>
        <v>0</v>
      </c>
      <c r="E302" s="104">
        <f>IF(H302=0,0,ROUNDDOWN(K302*H302,1))</f>
        <v>0</v>
      </c>
      <c r="F302" s="104">
        <f>IF(H302=0,0,ROUNDDOWN(L302*H302,1))</f>
        <v>846.8</v>
      </c>
      <c r="G302" s="17" t="s">
        <v>1400</v>
      </c>
      <c r="H302" s="109">
        <v>3.2000000000099997E-2</v>
      </c>
      <c r="I302" s="110">
        <f>K302+J302+L302</f>
        <v>26463</v>
      </c>
      <c r="L302" s="39">
        <f>중기목록표!H20</f>
        <v>26463</v>
      </c>
      <c r="M302" s="35" t="s">
        <v>1084</v>
      </c>
      <c r="N302" s="35" t="s">
        <v>1247</v>
      </c>
      <c r="X302" s="111" t="str">
        <f>중기목록표!B20&amp;" / "&amp;중기목록표!C20</f>
        <v>굴삭기(타이어) / 0.6㎥</v>
      </c>
      <c r="Y302" s="3" t="str">
        <f ca="1">HYPERLINK("#"&amp;중기목록표!J2&amp;"!A"&amp;ROW(중기목록표!A20),"X00283 →")</f>
        <v>X00283 →</v>
      </c>
    </row>
    <row r="303" spans="1:25" ht="12.6" customHeight="1" x14ac:dyDescent="0.3">
      <c r="A303" s="78"/>
      <c r="B303" s="78"/>
      <c r="C303" s="78"/>
      <c r="D303" s="78"/>
      <c r="E303" s="78"/>
      <c r="F303" s="78"/>
      <c r="G303" s="17" t="s">
        <v>1229</v>
      </c>
    </row>
    <row r="304" spans="1:25" ht="12.6" customHeight="1" x14ac:dyDescent="0.3">
      <c r="A304" s="68"/>
      <c r="B304" s="77" t="s">
        <v>1246</v>
      </c>
      <c r="C304" s="105">
        <f>E304+D304+F304</f>
        <v>3298.7</v>
      </c>
      <c r="D304" s="105">
        <f>SUMIF(N287:N303,M304,D287:D303)</f>
        <v>1826.4</v>
      </c>
      <c r="E304" s="105">
        <f>SUMIF(N287:N303,M304,E287:E303)</f>
        <v>625.5</v>
      </c>
      <c r="F304" s="105">
        <f>SUMIF(N287:N303,M304,F287:F303)</f>
        <v>846.8</v>
      </c>
      <c r="G304" s="17" t="s">
        <v>1245</v>
      </c>
      <c r="M304" s="35" t="s">
        <v>1247</v>
      </c>
      <c r="N304" s="35" t="s">
        <v>1348</v>
      </c>
    </row>
    <row r="305" spans="1:25" ht="12.6" customHeight="1" x14ac:dyDescent="0.3">
      <c r="A305" s="78"/>
      <c r="B305" s="78"/>
      <c r="C305" s="103"/>
      <c r="D305" s="103"/>
      <c r="E305" s="103"/>
      <c r="F305" s="103"/>
      <c r="G305" s="17" t="s">
        <v>1229</v>
      </c>
    </row>
    <row r="306" spans="1:25" ht="12.6" customHeight="1" x14ac:dyDescent="0.3">
      <c r="A306" s="68"/>
      <c r="B306" s="77" t="s">
        <v>1403</v>
      </c>
      <c r="C306" s="78"/>
      <c r="D306" s="78"/>
      <c r="E306" s="78"/>
      <c r="F306" s="78"/>
      <c r="G306" s="17" t="s">
        <v>1402</v>
      </c>
    </row>
    <row r="307" spans="1:25" ht="12.6" customHeight="1" x14ac:dyDescent="0.3">
      <c r="A307" s="78"/>
      <c r="B307" s="78"/>
      <c r="C307" s="78"/>
      <c r="D307" s="78"/>
      <c r="E307" s="78"/>
      <c r="F307" s="78"/>
      <c r="G307" s="17" t="s">
        <v>1229</v>
      </c>
    </row>
    <row r="308" spans="1:25" ht="12.6" customHeight="1" x14ac:dyDescent="0.3">
      <c r="A308" s="68" t="s">
        <v>585</v>
      </c>
      <c r="B308" s="102" t="str">
        <f>" ○특별인부:  "&amp;TEXT(I308,"#,##0"&amp;IF(I308&lt;&gt;INT(I308),".###",""))&amp;" * 1.0 / Q = "&amp;TEXT(C308,"#,##0.0")&amp;""</f>
        <v xml:space="preserve"> ○특별인부:  221,506 * 1.0 / Q = 886.0</v>
      </c>
      <c r="C308" s="104">
        <f>E308+D308+F308</f>
        <v>886</v>
      </c>
      <c r="D308" s="104">
        <f>IF(H308=0,0,ROUNDDOWN(J308*H308,1))</f>
        <v>886</v>
      </c>
      <c r="E308" s="104">
        <f>IF(H308=0,0,ROUNDDOWN(K308*H308,1))</f>
        <v>0</v>
      </c>
      <c r="F308" s="104">
        <f>IF(H308=0,0,ROUNDDOWN(L308*H308,1))</f>
        <v>0</v>
      </c>
      <c r="G308" s="17" t="s">
        <v>1404</v>
      </c>
      <c r="H308" s="109">
        <v>4.0000000001E-3</v>
      </c>
      <c r="I308" s="110">
        <f>K308+J308+L308</f>
        <v>221506</v>
      </c>
      <c r="J308" s="39">
        <f>노무비목록표!E10</f>
        <v>221506</v>
      </c>
      <c r="M308" s="35" t="s">
        <v>1405</v>
      </c>
      <c r="N308" s="35" t="s">
        <v>1247</v>
      </c>
      <c r="X308" s="111" t="str">
        <f>노무비목록표!B10&amp;" / "&amp;노무비목록표!C10</f>
        <v xml:space="preserve">특별인부 / </v>
      </c>
      <c r="Y308" s="3" t="str">
        <f ca="1">HYPERLINK("#"&amp;노무비목록표!G2&amp;"!A"&amp;ROW(노무비목록표!A10),"L00015 →")</f>
        <v>L00015 →</v>
      </c>
    </row>
    <row r="309" spans="1:25" ht="12.6" customHeight="1" x14ac:dyDescent="0.3">
      <c r="A309" s="78"/>
      <c r="B309" s="78"/>
      <c r="C309" s="78"/>
      <c r="D309" s="78"/>
      <c r="E309" s="78"/>
      <c r="F309" s="78"/>
      <c r="G309" s="17" t="s">
        <v>1229</v>
      </c>
    </row>
    <row r="310" spans="1:25" ht="12.6" customHeight="1" x14ac:dyDescent="0.3">
      <c r="A310" s="68" t="s">
        <v>588</v>
      </c>
      <c r="B310" s="102" t="str">
        <f>" ○보통인부:  "&amp;TEXT(I310,"#,##0"&amp;IF(I310&lt;&gt;INT(I310),".###",""))&amp;" * 1.0 / Q = "&amp;TEXT(C310,"#,##0.0")&amp;""</f>
        <v xml:space="preserve"> ○보통인부:  169,804 * 1.0 / Q = 679.2</v>
      </c>
      <c r="C310" s="104">
        <f>E310+D310+F310</f>
        <v>679.2</v>
      </c>
      <c r="D310" s="104">
        <f>IF(H310=0,0,ROUNDDOWN(J310*H310,1))</f>
        <v>679.2</v>
      </c>
      <c r="E310" s="104">
        <f>IF(H310=0,0,ROUNDDOWN(K310*H310,1))</f>
        <v>0</v>
      </c>
      <c r="F310" s="104">
        <f>IF(H310=0,0,ROUNDDOWN(L310*H310,1))</f>
        <v>0</v>
      </c>
      <c r="G310" s="17" t="s">
        <v>1406</v>
      </c>
      <c r="H310" s="109">
        <v>4.0000000001E-3</v>
      </c>
      <c r="I310" s="110">
        <f>K310+J310+L310</f>
        <v>169804</v>
      </c>
      <c r="J310" s="39">
        <f>노무비목록표!E11</f>
        <v>169804</v>
      </c>
      <c r="M310" s="35" t="s">
        <v>1018</v>
      </c>
      <c r="N310" s="35" t="s">
        <v>1247</v>
      </c>
      <c r="X310" s="111" t="str">
        <f>노무비목록표!B11&amp;" / "&amp;노무비목록표!C11</f>
        <v xml:space="preserve">보통인부 / </v>
      </c>
      <c r="Y310" s="3" t="str">
        <f ca="1">HYPERLINK("#"&amp;노무비목록표!G2&amp;"!A"&amp;ROW(노무비목록표!A11),"L00016 →")</f>
        <v>L00016 →</v>
      </c>
    </row>
    <row r="311" spans="1:25" ht="12.6" customHeight="1" x14ac:dyDescent="0.3">
      <c r="A311" s="78"/>
      <c r="B311" s="78"/>
      <c r="C311" s="78"/>
      <c r="D311" s="78"/>
      <c r="E311" s="78"/>
      <c r="F311" s="78"/>
      <c r="G311" s="17" t="s">
        <v>1229</v>
      </c>
    </row>
    <row r="312" spans="1:25" ht="12.6" customHeight="1" x14ac:dyDescent="0.3">
      <c r="A312" s="68"/>
      <c r="B312" s="77" t="s">
        <v>1246</v>
      </c>
      <c r="C312" s="105">
        <f>E312+D312+F312</f>
        <v>1565.2</v>
      </c>
      <c r="D312" s="105">
        <f>SUMIF(N305:N311,M312,D305:D311)</f>
        <v>1565.2</v>
      </c>
      <c r="E312" s="105">
        <f>SUMIF(N305:N311,M312,E305:E311)</f>
        <v>0</v>
      </c>
      <c r="F312" s="105">
        <f>SUMIF(N305:N311,M312,F305:F311)</f>
        <v>0</v>
      </c>
      <c r="G312" s="17" t="s">
        <v>1245</v>
      </c>
      <c r="M312" s="35" t="s">
        <v>1247</v>
      </c>
      <c r="N312" s="35" t="s">
        <v>1348</v>
      </c>
    </row>
    <row r="313" spans="1:25" ht="12.6" customHeight="1" x14ac:dyDescent="0.3">
      <c r="A313" s="78"/>
      <c r="B313" s="78"/>
      <c r="C313" s="103"/>
      <c r="D313" s="103"/>
      <c r="E313" s="103"/>
      <c r="F313" s="103"/>
      <c r="G313" s="17" t="s">
        <v>1229</v>
      </c>
    </row>
    <row r="314" spans="1:25" ht="12.6" customHeight="1" x14ac:dyDescent="0.3">
      <c r="A314" s="68"/>
      <c r="B314" s="77" t="s">
        <v>1101</v>
      </c>
      <c r="C314" s="105">
        <f>E314+D314+F314</f>
        <v>4863.9000000000005</v>
      </c>
      <c r="D314" s="105">
        <f>SUMIF(N287:N313,M314,D287:D313)</f>
        <v>3391.6000000000004</v>
      </c>
      <c r="E314" s="105">
        <f>SUMIF(N287:N313,M314,E287:E313)</f>
        <v>625.5</v>
      </c>
      <c r="F314" s="105">
        <f>SUMIF(N287:N313,M314,F287:F313)</f>
        <v>846.8</v>
      </c>
      <c r="G314" s="17" t="s">
        <v>1347</v>
      </c>
      <c r="M314" s="35" t="s">
        <v>1348</v>
      </c>
      <c r="N314" s="35" t="s">
        <v>1011</v>
      </c>
    </row>
    <row r="315" spans="1:25" ht="12.6" customHeight="1" x14ac:dyDescent="0.3">
      <c r="A315" s="78"/>
      <c r="B315" s="78"/>
      <c r="C315" s="103"/>
      <c r="D315" s="103"/>
      <c r="E315" s="103"/>
      <c r="F315" s="103"/>
    </row>
    <row r="316" spans="1:25" ht="12.6" customHeight="1" x14ac:dyDescent="0.3">
      <c r="A316" s="78"/>
      <c r="B316" s="78"/>
      <c r="C316" s="78"/>
      <c r="D316" s="78"/>
      <c r="E316" s="78"/>
      <c r="F316" s="78"/>
    </row>
    <row r="317" spans="1:25" ht="12.6" customHeight="1" x14ac:dyDescent="0.3">
      <c r="A317" s="78"/>
      <c r="B317" s="78"/>
      <c r="C317" s="78"/>
      <c r="D317" s="78"/>
      <c r="E317" s="78"/>
      <c r="F317" s="78"/>
    </row>
    <row r="318" spans="1:25" ht="12.6" customHeight="1" x14ac:dyDescent="0.3">
      <c r="A318" s="56"/>
      <c r="B318" s="56"/>
      <c r="C318" s="56"/>
      <c r="D318" s="56"/>
      <c r="E318" s="56"/>
      <c r="F318" s="56"/>
    </row>
    <row r="319" spans="1:25" ht="12.6" customHeight="1" x14ac:dyDescent="0.3">
      <c r="A319" s="143" t="s">
        <v>1248</v>
      </c>
      <c r="B319" s="144"/>
      <c r="C319" s="54">
        <f>E319+D319+F319</f>
        <v>4862</v>
      </c>
      <c r="D319" s="52">
        <f>ROUNDDOWN(SUMIF(N287:N314,M319,D287:D314),0)</f>
        <v>3391</v>
      </c>
      <c r="E319" s="64">
        <f>ROUNDDOWN(SUMIF(N287:N314,M319,E287:E314),0)</f>
        <v>625</v>
      </c>
      <c r="F319" s="54">
        <f>ROUNDDOWN(SUMIF(N287:N314,M319,F287:F314),0)</f>
        <v>846</v>
      </c>
      <c r="M319" s="35" t="s">
        <v>1011</v>
      </c>
    </row>
    <row r="320" spans="1:25" ht="12.6" customHeight="1" x14ac:dyDescent="0.3">
      <c r="A320" s="100" t="s">
        <v>159</v>
      </c>
      <c r="B320" s="101" t="s">
        <v>43</v>
      </c>
      <c r="C320" s="150">
        <f>C354</f>
        <v>69391</v>
      </c>
      <c r="D320" s="150">
        <f>D354</f>
        <v>67956</v>
      </c>
      <c r="E320" s="150">
        <f>E354</f>
        <v>1118</v>
      </c>
      <c r="F320" s="150">
        <f>F354</f>
        <v>317</v>
      </c>
      <c r="G320" s="97" t="str">
        <f>HYPERLINK("#G"&amp;ROW(G350),"_x0005_`BDCOD|D00918_x0007_`POSS|"&amp;ROW(G322)&amp;"_x0007_`POSE|"&amp;ROW(G350)&amp;"_x0007_`")</f>
        <v>_x0005_`BDCOD|D00918_x0007_`POSS|322_x0007_`POSE|350_x0007_`</v>
      </c>
    </row>
    <row r="321" spans="1:25" ht="12.6" customHeight="1" x14ac:dyDescent="0.3">
      <c r="A321" s="83"/>
      <c r="B321" s="101" t="s">
        <v>157</v>
      </c>
      <c r="C321" s="139"/>
      <c r="D321" s="139"/>
      <c r="E321" s="139"/>
      <c r="F321" s="139"/>
      <c r="M321" s="35" t="s">
        <v>159</v>
      </c>
    </row>
    <row r="322" spans="1:25" ht="12.6" customHeight="1" x14ac:dyDescent="0.3">
      <c r="A322" s="78"/>
      <c r="B322" s="78"/>
      <c r="C322" s="103"/>
      <c r="D322" s="103"/>
      <c r="E322" s="103"/>
      <c r="F322" s="103"/>
      <c r="G322" s="17" t="s">
        <v>1229</v>
      </c>
    </row>
    <row r="323" spans="1:25" ht="12.6" customHeight="1" x14ac:dyDescent="0.3">
      <c r="A323" s="68"/>
      <c r="B323" s="77" t="s">
        <v>1408</v>
      </c>
      <c r="C323" s="78"/>
      <c r="D323" s="78"/>
      <c r="E323" s="78"/>
      <c r="F323" s="78"/>
      <c r="G323" s="17" t="s">
        <v>1407</v>
      </c>
    </row>
    <row r="324" spans="1:25" ht="12.6" customHeight="1" x14ac:dyDescent="0.3">
      <c r="A324" s="78"/>
      <c r="B324" s="78"/>
      <c r="C324" s="78"/>
      <c r="D324" s="78"/>
      <c r="E324" s="78"/>
      <c r="F324" s="78"/>
      <c r="G324" s="17" t="s">
        <v>1229</v>
      </c>
    </row>
    <row r="325" spans="1:25" ht="12.6" customHeight="1" x14ac:dyDescent="0.3">
      <c r="A325" s="68"/>
      <c r="B325" s="77" t="s">
        <v>1410</v>
      </c>
      <c r="C325" s="78"/>
      <c r="D325" s="78"/>
      <c r="E325" s="78"/>
      <c r="F325" s="78"/>
      <c r="G325" s="17" t="s">
        <v>1409</v>
      </c>
    </row>
    <row r="326" spans="1:25" ht="12.6" customHeight="1" x14ac:dyDescent="0.3">
      <c r="A326" s="78"/>
      <c r="B326" s="78"/>
      <c r="C326" s="78"/>
      <c r="D326" s="78"/>
      <c r="E326" s="78"/>
      <c r="F326" s="78"/>
      <c r="G326" s="17" t="s">
        <v>1229</v>
      </c>
    </row>
    <row r="327" spans="1:25" ht="12.6" customHeight="1" x14ac:dyDescent="0.3">
      <c r="A327" s="68"/>
      <c r="B327" s="77" t="s">
        <v>1412</v>
      </c>
      <c r="C327" s="78"/>
      <c r="D327" s="78"/>
      <c r="E327" s="78"/>
      <c r="F327" s="78"/>
      <c r="G327" s="17" t="s">
        <v>1411</v>
      </c>
    </row>
    <row r="328" spans="1:25" ht="12.6" customHeight="1" x14ac:dyDescent="0.3">
      <c r="A328" s="78"/>
      <c r="B328" s="78"/>
      <c r="C328" s="78"/>
      <c r="D328" s="78"/>
      <c r="E328" s="78"/>
      <c r="F328" s="78"/>
      <c r="G328" s="17" t="s">
        <v>1229</v>
      </c>
    </row>
    <row r="329" spans="1:25" ht="12.6" customHeight="1" x14ac:dyDescent="0.3">
      <c r="A329" s="68"/>
      <c r="B329" s="77" t="s">
        <v>1414</v>
      </c>
      <c r="C329" s="78"/>
      <c r="D329" s="78"/>
      <c r="E329" s="78"/>
      <c r="F329" s="78"/>
      <c r="G329" s="17" t="s">
        <v>1413</v>
      </c>
    </row>
    <row r="330" spans="1:25" ht="12.6" customHeight="1" x14ac:dyDescent="0.3">
      <c r="A330" s="78"/>
      <c r="B330" s="78"/>
      <c r="C330" s="78"/>
      <c r="D330" s="78"/>
      <c r="E330" s="78"/>
      <c r="F330" s="78"/>
      <c r="G330" s="17" t="s">
        <v>1229</v>
      </c>
    </row>
    <row r="331" spans="1:25" ht="12.6" customHeight="1" x14ac:dyDescent="0.3">
      <c r="A331" s="68"/>
      <c r="B331" s="77" t="s">
        <v>1416</v>
      </c>
      <c r="C331" s="78"/>
      <c r="D331" s="78"/>
      <c r="E331" s="78"/>
      <c r="F331" s="78"/>
      <c r="G331" s="17" t="s">
        <v>1415</v>
      </c>
    </row>
    <row r="332" spans="1:25" ht="12.6" customHeight="1" x14ac:dyDescent="0.3">
      <c r="A332" s="78"/>
      <c r="B332" s="78"/>
      <c r="C332" s="78"/>
      <c r="D332" s="78"/>
      <c r="E332" s="78"/>
      <c r="F332" s="78"/>
      <c r="G332" s="17" t="s">
        <v>1229</v>
      </c>
    </row>
    <row r="333" spans="1:25" ht="12.6" customHeight="1" x14ac:dyDescent="0.3">
      <c r="A333" s="68"/>
      <c r="B333" s="77" t="s">
        <v>1418</v>
      </c>
      <c r="C333" s="78"/>
      <c r="D333" s="78"/>
      <c r="E333" s="78"/>
      <c r="F333" s="78"/>
      <c r="G333" s="17" t="s">
        <v>1417</v>
      </c>
    </row>
    <row r="334" spans="1:25" ht="12.6" customHeight="1" x14ac:dyDescent="0.3">
      <c r="A334" s="78"/>
      <c r="B334" s="78"/>
      <c r="C334" s="78"/>
      <c r="D334" s="78"/>
      <c r="E334" s="78"/>
      <c r="F334" s="78"/>
      <c r="G334" s="17" t="s">
        <v>1229</v>
      </c>
    </row>
    <row r="335" spans="1:25" ht="12.6" customHeight="1" x14ac:dyDescent="0.3">
      <c r="A335" s="68" t="s">
        <v>576</v>
      </c>
      <c r="B335" s="102" t="str">
        <f>" 콘크리트공 : "&amp;TEXT(I335,"#,##0"&amp;IF(I335&lt;&gt;INT(I335),".###",""))&amp;" * a = "&amp;TEXT(C335,"#,##0.0")&amp;""</f>
        <v xml:space="preserve"> 콘크리트공 : 266,361 * a = 5,327.2</v>
      </c>
      <c r="C335" s="104">
        <f>E335+D335+F335</f>
        <v>5327.2</v>
      </c>
      <c r="D335" s="104">
        <f>IF(H335=0,0,ROUNDDOWN(J335*H335,1))</f>
        <v>5327.2</v>
      </c>
      <c r="E335" s="104">
        <f>IF(H335=0,0,ROUNDDOWN(K335*H335,1))</f>
        <v>0</v>
      </c>
      <c r="F335" s="104">
        <f>IF(H335=0,0,ROUNDDOWN(L335*H335,1))</f>
        <v>0</v>
      </c>
      <c r="G335" s="17" t="s">
        <v>1355</v>
      </c>
      <c r="H335" s="109">
        <v>2.00000000001E-2</v>
      </c>
      <c r="I335" s="110">
        <f>K335+J335+L335</f>
        <v>266361</v>
      </c>
      <c r="J335" s="39">
        <f>노무비목록표!E7</f>
        <v>266361</v>
      </c>
      <c r="M335" s="35" t="s">
        <v>1356</v>
      </c>
      <c r="N335" s="35" t="s">
        <v>1247</v>
      </c>
      <c r="X335" s="111" t="str">
        <f>노무비목록표!B7&amp;" / "&amp;노무비목록표!C7</f>
        <v xml:space="preserve">콘크리트공 / </v>
      </c>
      <c r="Y335" s="3" t="str">
        <f ca="1">HYPERLINK("#"&amp;노무비목록표!G2&amp;"!A"&amp;ROW(노무비목록표!A7),"L00007 →")</f>
        <v>L00007 →</v>
      </c>
    </row>
    <row r="336" spans="1:25" ht="12.6" customHeight="1" x14ac:dyDescent="0.3">
      <c r="A336" s="78"/>
      <c r="B336" s="78"/>
      <c r="C336" s="78"/>
      <c r="D336" s="78"/>
      <c r="E336" s="78"/>
      <c r="F336" s="78"/>
      <c r="G336" s="17" t="s">
        <v>1229</v>
      </c>
    </row>
    <row r="337" spans="1:25" ht="12.6" customHeight="1" x14ac:dyDescent="0.3">
      <c r="A337" s="78"/>
      <c r="B337" s="78"/>
      <c r="C337" s="78"/>
      <c r="D337" s="78"/>
      <c r="E337" s="78"/>
      <c r="F337" s="78"/>
      <c r="G337" s="17" t="s">
        <v>1229</v>
      </c>
    </row>
    <row r="338" spans="1:25" ht="12.6" customHeight="1" x14ac:dyDescent="0.3">
      <c r="A338" s="68"/>
      <c r="B338" s="77" t="s">
        <v>1420</v>
      </c>
      <c r="C338" s="78"/>
      <c r="D338" s="78"/>
      <c r="E338" s="78"/>
      <c r="F338" s="78"/>
      <c r="G338" s="17" t="s">
        <v>1419</v>
      </c>
    </row>
    <row r="339" spans="1:25" ht="12.6" customHeight="1" x14ac:dyDescent="0.3">
      <c r="A339" s="78"/>
      <c r="B339" s="78"/>
      <c r="C339" s="78"/>
      <c r="D339" s="78"/>
      <c r="E339" s="78"/>
      <c r="F339" s="78"/>
      <c r="G339" s="17" t="s">
        <v>1229</v>
      </c>
    </row>
    <row r="340" spans="1:25" ht="12.6" customHeight="1" x14ac:dyDescent="0.3">
      <c r="A340" s="68" t="s">
        <v>588</v>
      </c>
      <c r="B340" s="102" t="str">
        <f>" ○.보통인부:   "&amp;TEXT(I340,"#,##0"&amp;IF(I340&lt;&gt;INT(I340),".###",""))&amp;" * b = "&amp;TEXT(C340,"#,##0.0")&amp;""</f>
        <v xml:space="preserve"> ○.보통인부:   169,804 * b = 56,035.3</v>
      </c>
      <c r="C340" s="104">
        <f>E340+D340+F340</f>
        <v>56035.3</v>
      </c>
      <c r="D340" s="104">
        <f>IF(H340=0,0,ROUNDDOWN(J340*H340,1))</f>
        <v>56035.3</v>
      </c>
      <c r="E340" s="104">
        <f>IF(H340=0,0,ROUNDDOWN(K340*H340,1))</f>
        <v>0</v>
      </c>
      <c r="F340" s="104">
        <f>IF(H340=0,0,ROUNDDOWN(L340*H340,1))</f>
        <v>0</v>
      </c>
      <c r="G340" s="17" t="s">
        <v>1359</v>
      </c>
      <c r="H340" s="109">
        <v>0.33000000000009999</v>
      </c>
      <c r="I340" s="110">
        <f>K340+J340+L340</f>
        <v>169804</v>
      </c>
      <c r="J340" s="39">
        <f>노무비목록표!E11</f>
        <v>169804</v>
      </c>
      <c r="M340" s="35" t="s">
        <v>1018</v>
      </c>
      <c r="N340" s="35" t="s">
        <v>1247</v>
      </c>
      <c r="X340" s="111" t="str">
        <f>노무비목록표!B11&amp;" / "&amp;노무비목록표!C11</f>
        <v xml:space="preserve">보통인부 / </v>
      </c>
      <c r="Y340" s="3" t="str">
        <f ca="1">HYPERLINK("#"&amp;노무비목록표!G2&amp;"!A"&amp;ROW(노무비목록표!A11),"L00016 →")</f>
        <v>L00016 →</v>
      </c>
    </row>
    <row r="341" spans="1:25" ht="12.6" customHeight="1" x14ac:dyDescent="0.3">
      <c r="A341" s="78"/>
      <c r="B341" s="78"/>
      <c r="C341" s="78"/>
      <c r="D341" s="78"/>
      <c r="E341" s="78"/>
      <c r="F341" s="78"/>
      <c r="G341" s="17" t="s">
        <v>1229</v>
      </c>
    </row>
    <row r="342" spans="1:25" ht="12.6" customHeight="1" x14ac:dyDescent="0.3">
      <c r="A342" s="68"/>
      <c r="B342" s="77" t="s">
        <v>1246</v>
      </c>
      <c r="C342" s="105">
        <f>E342+D342+F342</f>
        <v>61362.5</v>
      </c>
      <c r="D342" s="105">
        <f>SUMIF(N322:N341,M342,D322:D341)</f>
        <v>61362.5</v>
      </c>
      <c r="E342" s="105">
        <f>SUMIF(N322:N341,M342,E322:E341)</f>
        <v>0</v>
      </c>
      <c r="F342" s="105">
        <f>SUMIF(N322:N341,M342,F322:F341)</f>
        <v>0</v>
      </c>
      <c r="G342" s="17" t="s">
        <v>1245</v>
      </c>
      <c r="M342" s="35" t="s">
        <v>1247</v>
      </c>
      <c r="N342" s="35" t="s">
        <v>1348</v>
      </c>
    </row>
    <row r="343" spans="1:25" ht="12.6" customHeight="1" x14ac:dyDescent="0.3">
      <c r="A343" s="78"/>
      <c r="B343" s="78"/>
      <c r="C343" s="103"/>
      <c r="D343" s="103"/>
      <c r="E343" s="103"/>
      <c r="F343" s="103"/>
      <c r="G343" s="17" t="s">
        <v>1229</v>
      </c>
    </row>
    <row r="344" spans="1:25" ht="12.6" customHeight="1" x14ac:dyDescent="0.3">
      <c r="A344" s="68"/>
      <c r="B344" s="77" t="s">
        <v>1422</v>
      </c>
      <c r="C344" s="78"/>
      <c r="D344" s="78"/>
      <c r="E344" s="78"/>
      <c r="F344" s="78"/>
      <c r="G344" s="17" t="s">
        <v>1421</v>
      </c>
    </row>
    <row r="345" spans="1:25" ht="12.6" customHeight="1" x14ac:dyDescent="0.3">
      <c r="A345" s="78"/>
      <c r="B345" s="78"/>
      <c r="C345" s="78"/>
      <c r="D345" s="78"/>
      <c r="E345" s="78"/>
      <c r="F345" s="78"/>
      <c r="G345" s="17" t="s">
        <v>1229</v>
      </c>
    </row>
    <row r="346" spans="1:25" ht="12.6" customHeight="1" x14ac:dyDescent="0.3">
      <c r="A346" s="68" t="s">
        <v>1363</v>
      </c>
      <c r="B346" s="102" t="str">
        <f>" 콘크리트믹서사용 : "&amp;TEXT(I346,"#,##0"&amp;IF(I346&lt;&gt;INT(I346),".###",""))&amp;" * 1 = "&amp;TEXT(C346,"#,##0.0")&amp;""</f>
        <v xml:space="preserve"> 콘크리트믹서사용 : 8,029 * 1 = 8,029.0</v>
      </c>
      <c r="C346" s="104">
        <f>E346+D346+F346</f>
        <v>8029</v>
      </c>
      <c r="D346" s="104">
        <f>IF(H346=0,0,ROUNDDOWN(J346*H346,1))</f>
        <v>6594</v>
      </c>
      <c r="E346" s="104">
        <f>IF(H346=0,0,ROUNDDOWN(K346*H346,1))</f>
        <v>1118</v>
      </c>
      <c r="F346" s="104">
        <f>IF(H346=0,0,ROUNDDOWN(L346*H346,1))</f>
        <v>317</v>
      </c>
      <c r="G346" s="17" t="s">
        <v>1362</v>
      </c>
      <c r="H346" s="109">
        <v>1</v>
      </c>
      <c r="I346" s="110">
        <f>K346+J346+L346</f>
        <v>8029</v>
      </c>
      <c r="J346" s="39">
        <f>단가산출근거목록표!F4</f>
        <v>6594</v>
      </c>
      <c r="K346" s="39">
        <f>단가산출근거목록표!G4</f>
        <v>1118</v>
      </c>
      <c r="L346" s="39">
        <f>단가산출근거목록표!H4</f>
        <v>317</v>
      </c>
      <c r="M346" s="35" t="s">
        <v>1364</v>
      </c>
      <c r="N346" s="35" t="s">
        <v>1247</v>
      </c>
      <c r="X346" s="111" t="str">
        <f>단가산출근거목록표!B4&amp;" / "&amp;단가산출근거목록표!C4</f>
        <v>콘크리트믹서사용 / 0.45 m3</v>
      </c>
      <c r="Y346" s="3" t="str">
        <f ca="1">HYPERLINK("#"&amp;단가산출근거목록표!J2&amp;"!A"&amp;ROW(단가산출근거목록표!A4),"D00083 →")</f>
        <v>D00083 →</v>
      </c>
    </row>
    <row r="347" spans="1:25" ht="12.6" customHeight="1" x14ac:dyDescent="0.3">
      <c r="A347" s="78"/>
      <c r="B347" s="78"/>
      <c r="C347" s="78"/>
      <c r="D347" s="78"/>
      <c r="E347" s="78"/>
      <c r="F347" s="78"/>
      <c r="G347" s="17" t="s">
        <v>1229</v>
      </c>
    </row>
    <row r="348" spans="1:25" ht="12.6" customHeight="1" x14ac:dyDescent="0.3">
      <c r="A348" s="68"/>
      <c r="B348" s="77" t="s">
        <v>1246</v>
      </c>
      <c r="C348" s="105">
        <f>E348+D348+F348</f>
        <v>8029</v>
      </c>
      <c r="D348" s="105">
        <f>SUMIF(N343:N347,M348,D343:D347)</f>
        <v>6594</v>
      </c>
      <c r="E348" s="105">
        <f>SUMIF(N343:N347,M348,E343:E347)</f>
        <v>1118</v>
      </c>
      <c r="F348" s="105">
        <f>SUMIF(N343:N347,M348,F343:F347)</f>
        <v>317</v>
      </c>
      <c r="G348" s="17" t="s">
        <v>1245</v>
      </c>
      <c r="M348" s="35" t="s">
        <v>1247</v>
      </c>
      <c r="N348" s="35" t="s">
        <v>1348</v>
      </c>
    </row>
    <row r="349" spans="1:25" ht="12.6" customHeight="1" x14ac:dyDescent="0.3">
      <c r="A349" s="78"/>
      <c r="B349" s="78"/>
      <c r="C349" s="103"/>
      <c r="D349" s="103"/>
      <c r="E349" s="103"/>
      <c r="F349" s="103"/>
      <c r="G349" s="17" t="s">
        <v>1229</v>
      </c>
    </row>
    <row r="350" spans="1:25" ht="12.6" customHeight="1" x14ac:dyDescent="0.3">
      <c r="A350" s="68"/>
      <c r="B350" s="77" t="s">
        <v>1101</v>
      </c>
      <c r="C350" s="105">
        <f>E350+D350+F350</f>
        <v>69391.5</v>
      </c>
      <c r="D350" s="105">
        <f>SUMIF(N322:N349,M350,D322:D349)</f>
        <v>67956.5</v>
      </c>
      <c r="E350" s="105">
        <f>SUMIF(N322:N349,M350,E322:E349)</f>
        <v>1118</v>
      </c>
      <c r="F350" s="105">
        <f>SUMIF(N322:N349,M350,F322:F349)</f>
        <v>317</v>
      </c>
      <c r="G350" s="17" t="s">
        <v>1347</v>
      </c>
      <c r="M350" s="35" t="s">
        <v>1348</v>
      </c>
      <c r="N350" s="35" t="s">
        <v>1011</v>
      </c>
    </row>
    <row r="351" spans="1:25" ht="12.6" customHeight="1" x14ac:dyDescent="0.3">
      <c r="A351" s="78"/>
      <c r="B351" s="78"/>
      <c r="C351" s="103"/>
      <c r="D351" s="103"/>
      <c r="E351" s="103"/>
      <c r="F351" s="103"/>
    </row>
    <row r="352" spans="1:25" ht="12.6" customHeight="1" x14ac:dyDescent="0.3">
      <c r="A352" s="78"/>
      <c r="B352" s="78"/>
      <c r="C352" s="78"/>
      <c r="D352" s="78"/>
      <c r="E352" s="78"/>
      <c r="F352" s="78"/>
    </row>
    <row r="353" spans="1:13" ht="12.6" customHeight="1" x14ac:dyDescent="0.3">
      <c r="A353" s="56"/>
      <c r="B353" s="56"/>
      <c r="C353" s="56"/>
      <c r="D353" s="56"/>
      <c r="E353" s="56"/>
      <c r="F353" s="56"/>
    </row>
    <row r="354" spans="1:13" ht="12.6" customHeight="1" x14ac:dyDescent="0.3">
      <c r="A354" s="143" t="s">
        <v>1248</v>
      </c>
      <c r="B354" s="144"/>
      <c r="C354" s="54">
        <f>E354+D354+F354</f>
        <v>69391</v>
      </c>
      <c r="D354" s="52">
        <f>ROUNDDOWN(SUMIF(N322:N350,M354,D322:D350),0)</f>
        <v>67956</v>
      </c>
      <c r="E354" s="64">
        <f>ROUNDDOWN(SUMIF(N322:N350,M354,E322:E350),0)</f>
        <v>1118</v>
      </c>
      <c r="F354" s="54">
        <f>ROUNDDOWN(SUMIF(N322:N350,M354,F322:F350),0)</f>
        <v>317</v>
      </c>
      <c r="M354" s="35" t="s">
        <v>1011</v>
      </c>
    </row>
    <row r="355" spans="1:13" ht="12.6" customHeight="1" x14ac:dyDescent="0.3">
      <c r="A355" s="100" t="s">
        <v>162</v>
      </c>
      <c r="B355" s="101" t="s">
        <v>47</v>
      </c>
      <c r="C355" s="150">
        <f>C389</f>
        <v>9165</v>
      </c>
      <c r="D355" s="150">
        <f>D389</f>
        <v>6478</v>
      </c>
      <c r="E355" s="150">
        <f>E389</f>
        <v>933</v>
      </c>
      <c r="F355" s="150">
        <f>F389</f>
        <v>1754</v>
      </c>
      <c r="G355" s="97" t="str">
        <f>HYPERLINK("#G"&amp;ROW(G380),"_x0005_`BDCOD|D01030_x0007_`POSS|"&amp;ROW(G357)&amp;"_x0007_`POSE|"&amp;ROW(G380)&amp;"_x0007_`")</f>
        <v>_x0005_`BDCOD|D01030_x0007_`POSS|357_x0007_`POSE|380_x0007_`</v>
      </c>
    </row>
    <row r="356" spans="1:13" ht="12.6" customHeight="1" x14ac:dyDescent="0.3">
      <c r="A356" s="83"/>
      <c r="B356" s="101" t="s">
        <v>160</v>
      </c>
      <c r="C356" s="139"/>
      <c r="D356" s="139"/>
      <c r="E356" s="139"/>
      <c r="F356" s="139"/>
      <c r="M356" s="35" t="s">
        <v>162</v>
      </c>
    </row>
    <row r="357" spans="1:13" ht="12.6" customHeight="1" x14ac:dyDescent="0.3">
      <c r="A357" s="68"/>
      <c r="B357" s="77" t="s">
        <v>1424</v>
      </c>
      <c r="C357" s="103"/>
      <c r="D357" s="103"/>
      <c r="E357" s="103"/>
      <c r="F357" s="103"/>
      <c r="G357" s="17" t="s">
        <v>1423</v>
      </c>
    </row>
    <row r="358" spans="1:13" ht="12.6" customHeight="1" x14ac:dyDescent="0.3">
      <c r="A358" s="78"/>
      <c r="B358" s="78"/>
      <c r="C358" s="78"/>
      <c r="D358" s="78"/>
      <c r="E358" s="78"/>
      <c r="F358" s="78"/>
      <c r="G358" s="17" t="s">
        <v>1229</v>
      </c>
    </row>
    <row r="359" spans="1:13" ht="12.6" customHeight="1" x14ac:dyDescent="0.3">
      <c r="A359" s="68"/>
      <c r="B359" s="77" t="s">
        <v>1426</v>
      </c>
      <c r="C359" s="78"/>
      <c r="D359" s="78"/>
      <c r="E359" s="78"/>
      <c r="F359" s="78"/>
      <c r="G359" s="17" t="s">
        <v>1425</v>
      </c>
    </row>
    <row r="360" spans="1:13" ht="12.6" customHeight="1" x14ac:dyDescent="0.3">
      <c r="A360" s="78"/>
      <c r="B360" s="78"/>
      <c r="C360" s="78"/>
      <c r="D360" s="78"/>
      <c r="E360" s="78"/>
      <c r="F360" s="78"/>
      <c r="G360" s="17" t="s">
        <v>1229</v>
      </c>
    </row>
    <row r="361" spans="1:13" ht="12.6" customHeight="1" x14ac:dyDescent="0.3">
      <c r="A361" s="68"/>
      <c r="B361" s="77" t="s">
        <v>1428</v>
      </c>
      <c r="C361" s="78"/>
      <c r="D361" s="78"/>
      <c r="E361" s="78"/>
      <c r="F361" s="78"/>
      <c r="G361" s="17" t="s">
        <v>1427</v>
      </c>
    </row>
    <row r="362" spans="1:13" ht="12.6" customHeight="1" x14ac:dyDescent="0.3">
      <c r="A362" s="78"/>
      <c r="B362" s="78"/>
      <c r="C362" s="78"/>
      <c r="D362" s="78"/>
      <c r="E362" s="78"/>
      <c r="F362" s="78"/>
      <c r="G362" s="17" t="s">
        <v>1229</v>
      </c>
    </row>
    <row r="363" spans="1:13" ht="12.6" customHeight="1" x14ac:dyDescent="0.3">
      <c r="A363" s="68"/>
      <c r="B363" s="77" t="s">
        <v>1430</v>
      </c>
      <c r="C363" s="78"/>
      <c r="D363" s="78"/>
      <c r="E363" s="78"/>
      <c r="F363" s="78"/>
      <c r="G363" s="17" t="s">
        <v>1429</v>
      </c>
    </row>
    <row r="364" spans="1:13" ht="12.6" customHeight="1" x14ac:dyDescent="0.3">
      <c r="A364" s="78"/>
      <c r="B364" s="78"/>
      <c r="C364" s="78"/>
      <c r="D364" s="78"/>
      <c r="E364" s="78"/>
      <c r="F364" s="78"/>
      <c r="G364" s="17" t="s">
        <v>1229</v>
      </c>
    </row>
    <row r="365" spans="1:13" ht="12.6" customHeight="1" x14ac:dyDescent="0.3">
      <c r="A365" s="68"/>
      <c r="B365" s="77" t="s">
        <v>1432</v>
      </c>
      <c r="C365" s="78"/>
      <c r="D365" s="78"/>
      <c r="E365" s="78"/>
      <c r="F365" s="78"/>
      <c r="G365" s="17" t="s">
        <v>1431</v>
      </c>
    </row>
    <row r="366" spans="1:13" ht="12.6" customHeight="1" x14ac:dyDescent="0.3">
      <c r="A366" s="78"/>
      <c r="B366" s="78"/>
      <c r="C366" s="78"/>
      <c r="D366" s="78"/>
      <c r="E366" s="78"/>
      <c r="F366" s="78"/>
      <c r="G366" s="17" t="s">
        <v>1229</v>
      </c>
    </row>
    <row r="367" spans="1:13" ht="12.6" customHeight="1" x14ac:dyDescent="0.3">
      <c r="A367" s="68"/>
      <c r="B367" s="77" t="s">
        <v>1434</v>
      </c>
      <c r="C367" s="78"/>
      <c r="D367" s="78"/>
      <c r="E367" s="78"/>
      <c r="F367" s="78"/>
      <c r="G367" s="17" t="s">
        <v>1433</v>
      </c>
    </row>
    <row r="368" spans="1:13" ht="12.6" customHeight="1" x14ac:dyDescent="0.3">
      <c r="A368" s="78"/>
      <c r="B368" s="78"/>
      <c r="C368" s="78"/>
      <c r="D368" s="78"/>
      <c r="E368" s="78"/>
      <c r="F368" s="78"/>
      <c r="G368" s="17" t="s">
        <v>1229</v>
      </c>
    </row>
    <row r="369" spans="1:25" ht="12.6" customHeight="1" x14ac:dyDescent="0.3">
      <c r="A369" s="68"/>
      <c r="B369" s="77" t="s">
        <v>1436</v>
      </c>
      <c r="C369" s="78"/>
      <c r="D369" s="78"/>
      <c r="E369" s="78"/>
      <c r="F369" s="78"/>
      <c r="G369" s="17" t="s">
        <v>1435</v>
      </c>
    </row>
    <row r="370" spans="1:25" ht="12.6" customHeight="1" x14ac:dyDescent="0.3">
      <c r="A370" s="78"/>
      <c r="B370" s="78"/>
      <c r="C370" s="78"/>
      <c r="D370" s="78"/>
      <c r="E370" s="78"/>
      <c r="F370" s="78"/>
      <c r="G370" s="17" t="s">
        <v>1229</v>
      </c>
    </row>
    <row r="371" spans="1:25" ht="12.6" customHeight="1" x14ac:dyDescent="0.3">
      <c r="A371" s="68" t="s">
        <v>1438</v>
      </c>
      <c r="B371" s="102" t="str">
        <f>" 노무비: "&amp;TEXT(I371,"#,##0"&amp;IF(I371&lt;&gt;INT(I371),".###",""))&amp;" / Q = "&amp;TEXT(C371,"#,##0.0")&amp;""</f>
        <v xml:space="preserve"> 노무비: 57,077 / Q = 6,478.6</v>
      </c>
      <c r="C371" s="104">
        <f>E371+D371+F371</f>
        <v>6478.6</v>
      </c>
      <c r="D371" s="104">
        <f>IF(H371=0,0,ROUNDDOWN(J371*H371,1))</f>
        <v>6478.6</v>
      </c>
      <c r="E371" s="104">
        <f>IF(H371=0,0,ROUNDDOWN(K371*H371,1))</f>
        <v>0</v>
      </c>
      <c r="F371" s="104">
        <f>IF(H371=0,0,ROUNDDOWN(L371*H371,1))</f>
        <v>0</v>
      </c>
      <c r="G371" s="17" t="s">
        <v>1437</v>
      </c>
      <c r="H371" s="109">
        <v>0.1135073779798</v>
      </c>
      <c r="I371" s="110">
        <f>K371+J371+L371</f>
        <v>57077</v>
      </c>
      <c r="J371" s="39">
        <f>중기목록표!F16</f>
        <v>57077</v>
      </c>
      <c r="M371" s="35" t="s">
        <v>1439</v>
      </c>
      <c r="N371" s="35" t="s">
        <v>1247</v>
      </c>
      <c r="X371" s="111" t="str">
        <f>중기목록표!B16&amp;" / "&amp;중기목록표!C16</f>
        <v>굴삭기(무한궤도) / 0.2㎥:할증120%</v>
      </c>
      <c r="Y371" s="3" t="str">
        <f ca="1">HYPERLINK("#"&amp;중기목록표!J2&amp;"!A"&amp;ROW(중기목록표!A16),"X00268 →")</f>
        <v>X00268 →</v>
      </c>
    </row>
    <row r="372" spans="1:25" ht="12.6" customHeight="1" x14ac:dyDescent="0.3">
      <c r="A372" s="78"/>
      <c r="B372" s="78"/>
      <c r="C372" s="78"/>
      <c r="D372" s="78"/>
      <c r="E372" s="78"/>
      <c r="F372" s="78"/>
      <c r="G372" s="17" t="s">
        <v>1229</v>
      </c>
    </row>
    <row r="373" spans="1:25" ht="12.6" customHeight="1" x14ac:dyDescent="0.3">
      <c r="A373" s="68" t="s">
        <v>1441</v>
      </c>
      <c r="B373" s="102" t="str">
        <f>" 재료비: "&amp;TEXT(I373,"#,##0"&amp;IF(I373&lt;&gt;INT(I373),".###",""))&amp;" / Q = "&amp;TEXT(C373,"#,##0.0")&amp;""</f>
        <v xml:space="preserve"> 재료비: 8,221 / Q = 933.1</v>
      </c>
      <c r="C373" s="104">
        <f>E373+D373+F373</f>
        <v>933.1</v>
      </c>
      <c r="D373" s="104">
        <f>IF(H373=0,0,ROUNDDOWN(J373*H373,1))</f>
        <v>0</v>
      </c>
      <c r="E373" s="104">
        <f>IF(H373=0,0,ROUNDDOWN(K373*H373,1))</f>
        <v>933.1</v>
      </c>
      <c r="F373" s="104">
        <f>IF(H373=0,0,ROUNDDOWN(L373*H373,1))</f>
        <v>0</v>
      </c>
      <c r="G373" s="17" t="s">
        <v>1440</v>
      </c>
      <c r="H373" s="109">
        <v>0.1135073779798</v>
      </c>
      <c r="I373" s="110">
        <f>K373+J373+L373</f>
        <v>8221</v>
      </c>
      <c r="K373" s="39">
        <f>중기목록표!G16</f>
        <v>8221</v>
      </c>
      <c r="M373" s="35" t="s">
        <v>1439</v>
      </c>
      <c r="N373" s="35" t="s">
        <v>1247</v>
      </c>
      <c r="X373" s="111" t="str">
        <f>중기목록표!B16&amp;" / "&amp;중기목록표!C16</f>
        <v>굴삭기(무한궤도) / 0.2㎥:할증120%</v>
      </c>
      <c r="Y373" s="3" t="str">
        <f ca="1">HYPERLINK("#"&amp;중기목록표!J2&amp;"!A"&amp;ROW(중기목록표!A16),"X00268 →")</f>
        <v>X00268 →</v>
      </c>
    </row>
    <row r="374" spans="1:25" ht="12.6" customHeight="1" x14ac:dyDescent="0.3">
      <c r="A374" s="78"/>
      <c r="B374" s="78"/>
      <c r="C374" s="78"/>
      <c r="D374" s="78"/>
      <c r="E374" s="78"/>
      <c r="F374" s="78"/>
      <c r="G374" s="17" t="s">
        <v>1229</v>
      </c>
    </row>
    <row r="375" spans="1:25" ht="12.6" customHeight="1" x14ac:dyDescent="0.3">
      <c r="A375" s="68" t="s">
        <v>1443</v>
      </c>
      <c r="B375" s="102" t="str">
        <f>" 경  비: "&amp;TEXT(I375,"#,##0"&amp;IF(I375&lt;&gt;INT(I375),".###",""))&amp;" / Q = "&amp;TEXT(C375,"#,##0.0")&amp;""</f>
        <v xml:space="preserve"> 경  비: 15,456 / Q = 1,754.3</v>
      </c>
      <c r="C375" s="104">
        <f>E375+D375+F375</f>
        <v>1754.3</v>
      </c>
      <c r="D375" s="104">
        <f>IF(H375=0,0,ROUNDDOWN(J375*H375,1))</f>
        <v>0</v>
      </c>
      <c r="E375" s="104">
        <f>IF(H375=0,0,ROUNDDOWN(K375*H375,1))</f>
        <v>0</v>
      </c>
      <c r="F375" s="104">
        <f>IF(H375=0,0,ROUNDDOWN(L375*H375,1))</f>
        <v>1754.3</v>
      </c>
      <c r="G375" s="17" t="s">
        <v>1442</v>
      </c>
      <c r="H375" s="109">
        <v>0.1135073779798</v>
      </c>
      <c r="I375" s="110">
        <f>K375+J375+L375</f>
        <v>15456</v>
      </c>
      <c r="L375" s="39">
        <f>중기목록표!H16</f>
        <v>15456</v>
      </c>
      <c r="M375" s="35" t="s">
        <v>1439</v>
      </c>
      <c r="N375" s="35" t="s">
        <v>1247</v>
      </c>
      <c r="X375" s="111" t="str">
        <f>중기목록표!B16&amp;" / "&amp;중기목록표!C16</f>
        <v>굴삭기(무한궤도) / 0.2㎥:할증120%</v>
      </c>
      <c r="Y375" s="3" t="str">
        <f ca="1">HYPERLINK("#"&amp;중기목록표!J2&amp;"!A"&amp;ROW(중기목록표!A16),"X00268 →")</f>
        <v>X00268 →</v>
      </c>
    </row>
    <row r="376" spans="1:25" ht="12.6" customHeight="1" x14ac:dyDescent="0.3">
      <c r="A376" s="78"/>
      <c r="B376" s="78"/>
      <c r="C376" s="78"/>
      <c r="D376" s="78"/>
      <c r="E376" s="78"/>
      <c r="F376" s="78"/>
      <c r="G376" s="17" t="s">
        <v>1229</v>
      </c>
    </row>
    <row r="377" spans="1:25" ht="12.6" customHeight="1" x14ac:dyDescent="0.3">
      <c r="A377" s="68"/>
      <c r="B377" s="77" t="s">
        <v>1246</v>
      </c>
      <c r="C377" s="105">
        <f>E377+D377+F377</f>
        <v>9166</v>
      </c>
      <c r="D377" s="105">
        <f>SUMIF(N357:N376,M377,D357:D376)</f>
        <v>6478.6</v>
      </c>
      <c r="E377" s="105">
        <f>SUMIF(N357:N376,M377,E357:E376)</f>
        <v>933.1</v>
      </c>
      <c r="F377" s="105">
        <f>SUMIF(N357:N376,M377,F357:F376)</f>
        <v>1754.3</v>
      </c>
      <c r="G377" s="17" t="s">
        <v>1245</v>
      </c>
      <c r="M377" s="35" t="s">
        <v>1247</v>
      </c>
      <c r="N377" s="35" t="s">
        <v>1348</v>
      </c>
    </row>
    <row r="378" spans="1:25" ht="12.6" customHeight="1" x14ac:dyDescent="0.3">
      <c r="A378" s="78"/>
      <c r="B378" s="78"/>
      <c r="C378" s="103"/>
      <c r="D378" s="103"/>
      <c r="E378" s="103"/>
      <c r="F378" s="103"/>
      <c r="G378" s="17" t="s">
        <v>1229</v>
      </c>
    </row>
    <row r="379" spans="1:25" ht="12.6" customHeight="1" x14ac:dyDescent="0.3">
      <c r="A379" s="78"/>
      <c r="B379" s="78"/>
      <c r="C379" s="78"/>
      <c r="D379" s="78"/>
      <c r="E379" s="78"/>
      <c r="F379" s="78"/>
      <c r="G379" s="17" t="s">
        <v>1229</v>
      </c>
    </row>
    <row r="380" spans="1:25" ht="12.6" customHeight="1" x14ac:dyDescent="0.3">
      <c r="A380" s="68"/>
      <c r="B380" s="77" t="s">
        <v>1101</v>
      </c>
      <c r="C380" s="105">
        <f>E380+D380+F380</f>
        <v>9166</v>
      </c>
      <c r="D380" s="105">
        <f>SUMIF(N357:N379,M380,D357:D379)</f>
        <v>6478.6</v>
      </c>
      <c r="E380" s="105">
        <f>SUMIF(N357:N379,M380,E357:E379)</f>
        <v>933.1</v>
      </c>
      <c r="F380" s="105">
        <f>SUMIF(N357:N379,M380,F357:F379)</f>
        <v>1754.3</v>
      </c>
      <c r="G380" s="17" t="s">
        <v>1347</v>
      </c>
      <c r="M380" s="35" t="s">
        <v>1348</v>
      </c>
      <c r="N380" s="35" t="s">
        <v>1011</v>
      </c>
    </row>
    <row r="381" spans="1:25" ht="12.6" customHeight="1" x14ac:dyDescent="0.3">
      <c r="A381" s="78"/>
      <c r="B381" s="78"/>
      <c r="C381" s="103"/>
      <c r="D381" s="103"/>
      <c r="E381" s="103"/>
      <c r="F381" s="103"/>
    </row>
    <row r="382" spans="1:25" ht="12.6" customHeight="1" x14ac:dyDescent="0.3">
      <c r="A382" s="78"/>
      <c r="B382" s="78"/>
      <c r="C382" s="78"/>
      <c r="D382" s="78"/>
      <c r="E382" s="78"/>
      <c r="F382" s="78"/>
    </row>
    <row r="383" spans="1:25" ht="12.6" customHeight="1" x14ac:dyDescent="0.3">
      <c r="A383" s="78"/>
      <c r="B383" s="78"/>
      <c r="C383" s="78"/>
      <c r="D383" s="78"/>
      <c r="E383" s="78"/>
      <c r="F383" s="78"/>
    </row>
    <row r="384" spans="1:25" ht="12.6" customHeight="1" x14ac:dyDescent="0.3">
      <c r="A384" s="78"/>
      <c r="B384" s="78"/>
      <c r="C384" s="78"/>
      <c r="D384" s="78"/>
      <c r="E384" s="78"/>
      <c r="F384" s="78"/>
    </row>
    <row r="385" spans="1:13" ht="12.6" customHeight="1" x14ac:dyDescent="0.3">
      <c r="A385" s="78"/>
      <c r="B385" s="78"/>
      <c r="C385" s="78"/>
      <c r="D385" s="78"/>
      <c r="E385" s="78"/>
      <c r="F385" s="78"/>
    </row>
    <row r="386" spans="1:13" ht="12.6" customHeight="1" x14ac:dyDescent="0.3">
      <c r="A386" s="78"/>
      <c r="B386" s="78"/>
      <c r="C386" s="78"/>
      <c r="D386" s="78"/>
      <c r="E386" s="78"/>
      <c r="F386" s="78"/>
    </row>
    <row r="387" spans="1:13" ht="12.6" customHeight="1" x14ac:dyDescent="0.3">
      <c r="A387" s="78"/>
      <c r="B387" s="78"/>
      <c r="C387" s="78"/>
      <c r="D387" s="78"/>
      <c r="E387" s="78"/>
      <c r="F387" s="78"/>
    </row>
    <row r="388" spans="1:13" ht="12.6" customHeight="1" x14ac:dyDescent="0.3">
      <c r="A388" s="56"/>
      <c r="B388" s="56"/>
      <c r="C388" s="56"/>
      <c r="D388" s="56"/>
      <c r="E388" s="56"/>
      <c r="F388" s="56"/>
    </row>
    <row r="389" spans="1:13" ht="12.6" customHeight="1" x14ac:dyDescent="0.3">
      <c r="A389" s="143" t="s">
        <v>1248</v>
      </c>
      <c r="B389" s="144"/>
      <c r="C389" s="54">
        <f>E389+D389+F389</f>
        <v>9165</v>
      </c>
      <c r="D389" s="52">
        <f>ROUNDDOWN(SUMIF(N357:N380,M389,D357:D380),0)</f>
        <v>6478</v>
      </c>
      <c r="E389" s="64">
        <f>ROUNDDOWN(SUMIF(N357:N380,M389,E357:E380),0)</f>
        <v>933</v>
      </c>
      <c r="F389" s="54">
        <f>ROUNDDOWN(SUMIF(N357:N380,M389,F357:F380),0)</f>
        <v>1754</v>
      </c>
      <c r="M389" s="35" t="s">
        <v>1011</v>
      </c>
    </row>
    <row r="390" spans="1:13" ht="12.6" customHeight="1" x14ac:dyDescent="0.3">
      <c r="A390" s="100" t="s">
        <v>165</v>
      </c>
      <c r="B390" s="101" t="s">
        <v>53</v>
      </c>
      <c r="C390" s="150">
        <f>C424</f>
        <v>664</v>
      </c>
      <c r="D390" s="150">
        <f>D424</f>
        <v>664</v>
      </c>
      <c r="E390" s="150">
        <f>E424</f>
        <v>0</v>
      </c>
      <c r="F390" s="150">
        <f>F424</f>
        <v>0</v>
      </c>
      <c r="G390" s="97" t="str">
        <f>HYPERLINK("#G"&amp;ROW(G407),"_x0005_`BDCOD|D01129_x0007_`POSS|"&amp;ROW(G392)&amp;"_x0007_`POSE|"&amp;ROW(G407)&amp;"_x0007_`")</f>
        <v>_x0005_`BDCOD|D01129_x0007_`POSS|392_x0007_`POSE|407_x0007_`</v>
      </c>
    </row>
    <row r="391" spans="1:13" ht="12.6" customHeight="1" x14ac:dyDescent="0.3">
      <c r="A391" s="83"/>
      <c r="B391" s="101" t="s">
        <v>163</v>
      </c>
      <c r="C391" s="139"/>
      <c r="D391" s="139"/>
      <c r="E391" s="139"/>
      <c r="F391" s="139"/>
      <c r="M391" s="35" t="s">
        <v>165</v>
      </c>
    </row>
    <row r="392" spans="1:13" ht="12.6" customHeight="1" x14ac:dyDescent="0.3">
      <c r="A392" s="68"/>
      <c r="B392" s="77" t="s">
        <v>1445</v>
      </c>
      <c r="C392" s="103"/>
      <c r="D392" s="103"/>
      <c r="E392" s="103"/>
      <c r="F392" s="103"/>
      <c r="G392" s="17" t="s">
        <v>1444</v>
      </c>
    </row>
    <row r="393" spans="1:13" ht="12.6" customHeight="1" x14ac:dyDescent="0.3">
      <c r="A393" s="78"/>
      <c r="B393" s="78"/>
      <c r="C393" s="78"/>
      <c r="D393" s="78"/>
      <c r="E393" s="78"/>
      <c r="F393" s="78"/>
      <c r="G393" s="17" t="s">
        <v>1229</v>
      </c>
    </row>
    <row r="394" spans="1:13" ht="12.6" customHeight="1" x14ac:dyDescent="0.3">
      <c r="A394" s="68"/>
      <c r="B394" s="77" t="s">
        <v>1447</v>
      </c>
      <c r="C394" s="78"/>
      <c r="D394" s="78"/>
      <c r="E394" s="78"/>
      <c r="F394" s="78"/>
      <c r="G394" s="17" t="s">
        <v>1446</v>
      </c>
    </row>
    <row r="395" spans="1:13" ht="12.6" customHeight="1" x14ac:dyDescent="0.3">
      <c r="A395" s="78"/>
      <c r="B395" s="78"/>
      <c r="C395" s="78"/>
      <c r="D395" s="78"/>
      <c r="E395" s="78"/>
      <c r="F395" s="78"/>
      <c r="G395" s="17" t="s">
        <v>1229</v>
      </c>
    </row>
    <row r="396" spans="1:13" ht="12.6" customHeight="1" x14ac:dyDescent="0.3">
      <c r="A396" s="68"/>
      <c r="B396" s="77" t="s">
        <v>1449</v>
      </c>
      <c r="C396" s="78"/>
      <c r="D396" s="78"/>
      <c r="E396" s="78"/>
      <c r="F396" s="78"/>
      <c r="G396" s="17" t="s">
        <v>1448</v>
      </c>
    </row>
    <row r="397" spans="1:13" ht="12.6" customHeight="1" x14ac:dyDescent="0.3">
      <c r="A397" s="78"/>
      <c r="B397" s="78"/>
      <c r="C397" s="78"/>
      <c r="D397" s="78"/>
      <c r="E397" s="78"/>
      <c r="F397" s="78"/>
      <c r="G397" s="17" t="s">
        <v>1229</v>
      </c>
    </row>
    <row r="398" spans="1:13" ht="12.6" customHeight="1" x14ac:dyDescent="0.3">
      <c r="A398" s="68"/>
      <c r="B398" s="77" t="s">
        <v>1451</v>
      </c>
      <c r="C398" s="78"/>
      <c r="D398" s="78"/>
      <c r="E398" s="78"/>
      <c r="F398" s="78"/>
      <c r="G398" s="17" t="s">
        <v>1450</v>
      </c>
    </row>
    <row r="399" spans="1:13" ht="12.6" customHeight="1" x14ac:dyDescent="0.3">
      <c r="A399" s="78"/>
      <c r="B399" s="78"/>
      <c r="C399" s="78"/>
      <c r="D399" s="78"/>
      <c r="E399" s="78"/>
      <c r="F399" s="78"/>
      <c r="G399" s="17" t="s">
        <v>1229</v>
      </c>
    </row>
    <row r="400" spans="1:13" ht="12.6" customHeight="1" x14ac:dyDescent="0.3">
      <c r="A400" s="78"/>
      <c r="B400" s="78"/>
      <c r="C400" s="78"/>
      <c r="D400" s="78"/>
      <c r="E400" s="78"/>
      <c r="F400" s="78"/>
      <c r="G400" s="17" t="s">
        <v>1229</v>
      </c>
    </row>
    <row r="401" spans="1:25" ht="12.6" customHeight="1" x14ac:dyDescent="0.3">
      <c r="A401" s="68"/>
      <c r="B401" s="77" t="s">
        <v>1453</v>
      </c>
      <c r="C401" s="78"/>
      <c r="D401" s="78"/>
      <c r="E401" s="78"/>
      <c r="F401" s="78"/>
      <c r="G401" s="17" t="s">
        <v>1452</v>
      </c>
    </row>
    <row r="402" spans="1:25" ht="12.6" customHeight="1" x14ac:dyDescent="0.3">
      <c r="A402" s="78"/>
      <c r="B402" s="78"/>
      <c r="C402" s="78"/>
      <c r="D402" s="78"/>
      <c r="E402" s="78"/>
      <c r="F402" s="78"/>
      <c r="G402" s="17" t="s">
        <v>1229</v>
      </c>
    </row>
    <row r="403" spans="1:25" ht="12.6" customHeight="1" x14ac:dyDescent="0.3">
      <c r="A403" s="68" t="s">
        <v>588</v>
      </c>
      <c r="B403" s="102" t="str">
        <f>" 2 인  * 16 /(480-30) * "&amp;TEXT(I403,"#,##0"&amp;IF(I403&lt;&gt;INT(I403),".###",""))&amp;" * 55/1000 = "&amp;TEXT(C403,"#,##0.0")&amp;""</f>
        <v xml:space="preserve"> 2 인  * 16 /(480-30) * 169,804 * 55/1000 = 664.1</v>
      </c>
      <c r="C403" s="104">
        <f>E403+D403+F403</f>
        <v>664.1</v>
      </c>
      <c r="D403" s="104">
        <f>IF(H403=0,0,ROUNDDOWN(J403*H403,1))</f>
        <v>664.1</v>
      </c>
      <c r="E403" s="104">
        <f>IF(H403=0,0,ROUNDDOWN(K403*H403,1))</f>
        <v>0</v>
      </c>
      <c r="F403" s="104">
        <f>IF(H403=0,0,ROUNDDOWN(L403*H403,1))</f>
        <v>0</v>
      </c>
      <c r="G403" s="17" t="s">
        <v>1454</v>
      </c>
      <c r="H403" s="109">
        <v>3.9111111112999997E-3</v>
      </c>
      <c r="I403" s="110">
        <f>K403+J403+L403</f>
        <v>169804</v>
      </c>
      <c r="J403" s="39">
        <f>노무비목록표!E11</f>
        <v>169804</v>
      </c>
      <c r="M403" s="35" t="s">
        <v>1018</v>
      </c>
      <c r="N403" s="35" t="s">
        <v>1247</v>
      </c>
      <c r="X403" s="111" t="str">
        <f>노무비목록표!B11&amp;" / "&amp;노무비목록표!C11</f>
        <v xml:space="preserve">보통인부 / </v>
      </c>
      <c r="Y403" s="3" t="str">
        <f ca="1">HYPERLINK("#"&amp;노무비목록표!G2&amp;"!A"&amp;ROW(노무비목록표!A11),"L00016 →")</f>
        <v>L00016 →</v>
      </c>
    </row>
    <row r="404" spans="1:25" ht="12.6" customHeight="1" x14ac:dyDescent="0.3">
      <c r="A404" s="78"/>
      <c r="B404" s="78"/>
      <c r="C404" s="78"/>
      <c r="D404" s="78"/>
      <c r="E404" s="78"/>
      <c r="F404" s="78"/>
      <c r="G404" s="17" t="s">
        <v>1229</v>
      </c>
    </row>
    <row r="405" spans="1:25" ht="12.6" customHeight="1" x14ac:dyDescent="0.3">
      <c r="A405" s="68"/>
      <c r="B405" s="77" t="s">
        <v>1246</v>
      </c>
      <c r="C405" s="105">
        <f>E405+D405+F405</f>
        <v>664.1</v>
      </c>
      <c r="D405" s="105">
        <f>SUMIF(N392:N404,M405,D392:D404)</f>
        <v>664.1</v>
      </c>
      <c r="E405" s="105">
        <f>SUMIF(N392:N404,M405,E392:E404)</f>
        <v>0</v>
      </c>
      <c r="F405" s="105">
        <f>SUMIF(N392:N404,M405,F392:F404)</f>
        <v>0</v>
      </c>
      <c r="G405" s="17" t="s">
        <v>1245</v>
      </c>
      <c r="M405" s="35" t="s">
        <v>1247</v>
      </c>
      <c r="N405" s="35" t="s">
        <v>1348</v>
      </c>
    </row>
    <row r="406" spans="1:25" ht="12.6" customHeight="1" x14ac:dyDescent="0.3">
      <c r="A406" s="78"/>
      <c r="B406" s="78"/>
      <c r="C406" s="103"/>
      <c r="D406" s="103"/>
      <c r="E406" s="103"/>
      <c r="F406" s="103"/>
      <c r="G406" s="17" t="s">
        <v>1229</v>
      </c>
    </row>
    <row r="407" spans="1:25" ht="12.6" customHeight="1" x14ac:dyDescent="0.3">
      <c r="A407" s="68"/>
      <c r="B407" s="77" t="s">
        <v>1101</v>
      </c>
      <c r="C407" s="105">
        <f>E407+D407+F407</f>
        <v>664.1</v>
      </c>
      <c r="D407" s="105">
        <f>SUMIF(N392:N406,M407,D392:D406)</f>
        <v>664.1</v>
      </c>
      <c r="E407" s="105">
        <f>SUMIF(N392:N406,M407,E392:E406)</f>
        <v>0</v>
      </c>
      <c r="F407" s="105">
        <f>SUMIF(N392:N406,M407,F392:F406)</f>
        <v>0</v>
      </c>
      <c r="G407" s="17" t="s">
        <v>1347</v>
      </c>
      <c r="M407" s="35" t="s">
        <v>1348</v>
      </c>
      <c r="N407" s="35" t="s">
        <v>1011</v>
      </c>
    </row>
    <row r="408" spans="1:25" ht="12.6" customHeight="1" x14ac:dyDescent="0.3">
      <c r="A408" s="78"/>
      <c r="B408" s="78"/>
      <c r="C408" s="103"/>
      <c r="D408" s="103"/>
      <c r="E408" s="103"/>
      <c r="F408" s="103"/>
    </row>
    <row r="409" spans="1:25" ht="12.6" customHeight="1" x14ac:dyDescent="0.3">
      <c r="A409" s="78"/>
      <c r="B409" s="78"/>
      <c r="C409" s="78"/>
      <c r="D409" s="78"/>
      <c r="E409" s="78"/>
      <c r="F409" s="78"/>
    </row>
    <row r="410" spans="1:25" ht="12.6" customHeight="1" x14ac:dyDescent="0.3">
      <c r="A410" s="78"/>
      <c r="B410" s="78"/>
      <c r="C410" s="78"/>
      <c r="D410" s="78"/>
      <c r="E410" s="78"/>
      <c r="F410" s="78"/>
    </row>
    <row r="411" spans="1:25" ht="12.6" customHeight="1" x14ac:dyDescent="0.3">
      <c r="A411" s="78"/>
      <c r="B411" s="78"/>
      <c r="C411" s="78"/>
      <c r="D411" s="78"/>
      <c r="E411" s="78"/>
      <c r="F411" s="78"/>
    </row>
    <row r="412" spans="1:25" ht="12.6" customHeight="1" x14ac:dyDescent="0.3">
      <c r="A412" s="78"/>
      <c r="B412" s="78"/>
      <c r="C412" s="78"/>
      <c r="D412" s="78"/>
      <c r="E412" s="78"/>
      <c r="F412" s="78"/>
    </row>
    <row r="413" spans="1:25" ht="12.6" customHeight="1" x14ac:dyDescent="0.3">
      <c r="A413" s="78"/>
      <c r="B413" s="78"/>
      <c r="C413" s="78"/>
      <c r="D413" s="78"/>
      <c r="E413" s="78"/>
      <c r="F413" s="78"/>
    </row>
    <row r="414" spans="1:25" ht="12.6" customHeight="1" x14ac:dyDescent="0.3">
      <c r="A414" s="78"/>
      <c r="B414" s="78"/>
      <c r="C414" s="78"/>
      <c r="D414" s="78"/>
      <c r="E414" s="78"/>
      <c r="F414" s="78"/>
    </row>
    <row r="415" spans="1:25" ht="12.6" customHeight="1" x14ac:dyDescent="0.3">
      <c r="A415" s="78"/>
      <c r="B415" s="78"/>
      <c r="C415" s="78"/>
      <c r="D415" s="78"/>
      <c r="E415" s="78"/>
      <c r="F415" s="78"/>
    </row>
    <row r="416" spans="1:25" ht="12.6" customHeight="1" x14ac:dyDescent="0.3">
      <c r="A416" s="78"/>
      <c r="B416" s="78"/>
      <c r="C416" s="78"/>
      <c r="D416" s="78"/>
      <c r="E416" s="78"/>
      <c r="F416" s="78"/>
    </row>
    <row r="417" spans="1:13" ht="12.6" customHeight="1" x14ac:dyDescent="0.3">
      <c r="A417" s="78"/>
      <c r="B417" s="78"/>
      <c r="C417" s="78"/>
      <c r="D417" s="78"/>
      <c r="E417" s="78"/>
      <c r="F417" s="78"/>
    </row>
    <row r="418" spans="1:13" ht="12.6" customHeight="1" x14ac:dyDescent="0.3">
      <c r="A418" s="78"/>
      <c r="B418" s="78"/>
      <c r="C418" s="78"/>
      <c r="D418" s="78"/>
      <c r="E418" s="78"/>
      <c r="F418" s="78"/>
    </row>
    <row r="419" spans="1:13" ht="12.6" customHeight="1" x14ac:dyDescent="0.3">
      <c r="A419" s="78"/>
      <c r="B419" s="78"/>
      <c r="C419" s="78"/>
      <c r="D419" s="78"/>
      <c r="E419" s="78"/>
      <c r="F419" s="78"/>
    </row>
    <row r="420" spans="1:13" ht="12.6" customHeight="1" x14ac:dyDescent="0.3">
      <c r="A420" s="78"/>
      <c r="B420" s="78"/>
      <c r="C420" s="78"/>
      <c r="D420" s="78"/>
      <c r="E420" s="78"/>
      <c r="F420" s="78"/>
    </row>
    <row r="421" spans="1:13" ht="12.6" customHeight="1" x14ac:dyDescent="0.3">
      <c r="A421" s="78"/>
      <c r="B421" s="78"/>
      <c r="C421" s="78"/>
      <c r="D421" s="78"/>
      <c r="E421" s="78"/>
      <c r="F421" s="78"/>
    </row>
    <row r="422" spans="1:13" ht="12.6" customHeight="1" x14ac:dyDescent="0.3">
      <c r="A422" s="78"/>
      <c r="B422" s="78"/>
      <c r="C422" s="78"/>
      <c r="D422" s="78"/>
      <c r="E422" s="78"/>
      <c r="F422" s="78"/>
    </row>
    <row r="423" spans="1:13" ht="12.6" customHeight="1" x14ac:dyDescent="0.3">
      <c r="A423" s="56"/>
      <c r="B423" s="56"/>
      <c r="C423" s="56"/>
      <c r="D423" s="56"/>
      <c r="E423" s="56"/>
      <c r="F423" s="56"/>
    </row>
    <row r="424" spans="1:13" ht="12.6" customHeight="1" x14ac:dyDescent="0.3">
      <c r="A424" s="143" t="s">
        <v>1248</v>
      </c>
      <c r="B424" s="144"/>
      <c r="C424" s="54">
        <f>E424+D424+F424</f>
        <v>664</v>
      </c>
      <c r="D424" s="52">
        <f>ROUNDDOWN(SUMIF(N392:N407,M424,D392:D407),0)</f>
        <v>664</v>
      </c>
      <c r="E424" s="64">
        <f>ROUNDDOWN(SUMIF(N392:N407,M424,E392:E407),0)</f>
        <v>0</v>
      </c>
      <c r="F424" s="54">
        <f>ROUNDDOWN(SUMIF(N392:N407,M424,F392:F407),0)</f>
        <v>0</v>
      </c>
      <c r="M424" s="35" t="s">
        <v>1011</v>
      </c>
    </row>
    <row r="425" spans="1:13" ht="12.6" customHeight="1" x14ac:dyDescent="0.3">
      <c r="A425" s="100" t="s">
        <v>168</v>
      </c>
      <c r="B425" s="101" t="s">
        <v>58</v>
      </c>
      <c r="C425" s="150">
        <f>C459</f>
        <v>6022</v>
      </c>
      <c r="D425" s="150">
        <f>D459</f>
        <v>6022</v>
      </c>
      <c r="E425" s="150">
        <f>E459</f>
        <v>0</v>
      </c>
      <c r="F425" s="150">
        <f>F459</f>
        <v>0</v>
      </c>
      <c r="G425" s="97" t="str">
        <f>HYPERLINK("#G"&amp;ROW(G442),"_x0005_`BDCOD|D01329_x0007_`POSS|"&amp;ROW(G427)&amp;"_x0007_`POSE|"&amp;ROW(G442)&amp;"_x0007_`")</f>
        <v>_x0005_`BDCOD|D01329_x0007_`POSS|427_x0007_`POSE|442_x0007_`</v>
      </c>
    </row>
    <row r="426" spans="1:13" ht="12.6" customHeight="1" x14ac:dyDescent="0.3">
      <c r="A426" s="83"/>
      <c r="B426" s="101" t="s">
        <v>166</v>
      </c>
      <c r="C426" s="139"/>
      <c r="D426" s="139"/>
      <c r="E426" s="139"/>
      <c r="F426" s="139"/>
      <c r="M426" s="35" t="s">
        <v>168</v>
      </c>
    </row>
    <row r="427" spans="1:13" ht="12.6" customHeight="1" x14ac:dyDescent="0.3">
      <c r="A427" s="78"/>
      <c r="B427" s="78"/>
      <c r="C427" s="103"/>
      <c r="D427" s="103"/>
      <c r="E427" s="103"/>
      <c r="F427" s="103"/>
      <c r="G427" s="17" t="s">
        <v>1229</v>
      </c>
    </row>
    <row r="428" spans="1:13" ht="12.6" customHeight="1" x14ac:dyDescent="0.3">
      <c r="A428" s="68"/>
      <c r="B428" s="77" t="s">
        <v>1456</v>
      </c>
      <c r="C428" s="78"/>
      <c r="D428" s="78"/>
      <c r="E428" s="78"/>
      <c r="F428" s="78"/>
      <c r="G428" s="17" t="s">
        <v>1455</v>
      </c>
    </row>
    <row r="429" spans="1:13" ht="12.6" customHeight="1" x14ac:dyDescent="0.3">
      <c r="A429" s="78"/>
      <c r="B429" s="78"/>
      <c r="C429" s="78"/>
      <c r="D429" s="78"/>
      <c r="E429" s="78"/>
      <c r="F429" s="78"/>
      <c r="G429" s="17" t="s">
        <v>1229</v>
      </c>
    </row>
    <row r="430" spans="1:13" ht="12.6" customHeight="1" x14ac:dyDescent="0.3">
      <c r="A430" s="68"/>
      <c r="B430" s="77" t="s">
        <v>1458</v>
      </c>
      <c r="C430" s="78"/>
      <c r="D430" s="78"/>
      <c r="E430" s="78"/>
      <c r="F430" s="78"/>
      <c r="G430" s="17" t="s">
        <v>1457</v>
      </c>
    </row>
    <row r="431" spans="1:13" ht="12.6" customHeight="1" x14ac:dyDescent="0.3">
      <c r="A431" s="78"/>
      <c r="B431" s="78"/>
      <c r="C431" s="78"/>
      <c r="D431" s="78"/>
      <c r="E431" s="78"/>
      <c r="F431" s="78"/>
      <c r="G431" s="17" t="s">
        <v>1229</v>
      </c>
    </row>
    <row r="432" spans="1:13" ht="12.6" customHeight="1" x14ac:dyDescent="0.3">
      <c r="A432" s="68"/>
      <c r="B432" s="77" t="s">
        <v>1460</v>
      </c>
      <c r="C432" s="78"/>
      <c r="D432" s="78"/>
      <c r="E432" s="78"/>
      <c r="F432" s="78"/>
      <c r="G432" s="17" t="s">
        <v>1459</v>
      </c>
    </row>
    <row r="433" spans="1:25" ht="12.6" customHeight="1" x14ac:dyDescent="0.3">
      <c r="A433" s="78"/>
      <c r="B433" s="78"/>
      <c r="C433" s="78"/>
      <c r="D433" s="78"/>
      <c r="E433" s="78"/>
      <c r="F433" s="78"/>
      <c r="G433" s="17" t="s">
        <v>1229</v>
      </c>
    </row>
    <row r="434" spans="1:25" ht="12.6" customHeight="1" x14ac:dyDescent="0.3">
      <c r="A434" s="68"/>
      <c r="B434" s="77" t="s">
        <v>1462</v>
      </c>
      <c r="C434" s="78"/>
      <c r="D434" s="78"/>
      <c r="E434" s="78"/>
      <c r="F434" s="78"/>
      <c r="G434" s="17" t="s">
        <v>1461</v>
      </c>
    </row>
    <row r="435" spans="1:25" ht="12.6" customHeight="1" x14ac:dyDescent="0.3">
      <c r="A435" s="78"/>
      <c r="B435" s="78"/>
      <c r="C435" s="78"/>
      <c r="D435" s="78"/>
      <c r="E435" s="78"/>
      <c r="F435" s="78"/>
      <c r="G435" s="17" t="s">
        <v>1229</v>
      </c>
    </row>
    <row r="436" spans="1:25" ht="12.6" customHeight="1" x14ac:dyDescent="0.3">
      <c r="A436" s="68" t="s">
        <v>1464</v>
      </c>
      <c r="B436" s="102" t="str">
        <f>"   "&amp;TEXT(I436,"#,##0"&amp;IF(I436&lt;&gt;INT(I436),".###",""))&amp;" * 1.0 인  / Q = "&amp;TEXT(C436,"#,##0.0")&amp;"   원/m2 "</f>
        <v xml:space="preserve">   224,132 * 1.0 인  / Q = 1,494.2   원/m2 </v>
      </c>
      <c r="C436" s="104">
        <f>E436+D436+F436</f>
        <v>1494.2</v>
      </c>
      <c r="D436" s="104">
        <f>IF(H436=0,0,ROUNDDOWN(J436*H436,1))</f>
        <v>1494.2</v>
      </c>
      <c r="E436" s="104">
        <f>IF(H436=0,0,ROUNDDOWN(K436*H436,1))</f>
        <v>0</v>
      </c>
      <c r="F436" s="104">
        <f>IF(H436=0,0,ROUNDDOWN(L436*H436,1))</f>
        <v>0</v>
      </c>
      <c r="G436" s="17" t="s">
        <v>1463</v>
      </c>
      <c r="H436" s="109">
        <v>6.6666666669000004E-3</v>
      </c>
      <c r="I436" s="110">
        <f>K436+J436+L436</f>
        <v>224132</v>
      </c>
      <c r="J436" s="39">
        <f>노무비목록표!E8</f>
        <v>224132</v>
      </c>
      <c r="M436" s="35" t="s">
        <v>1465</v>
      </c>
      <c r="N436" s="35" t="s">
        <v>1247</v>
      </c>
      <c r="X436" s="111" t="str">
        <f>노무비목록표!B8&amp;" / "&amp;노무비목록표!C8</f>
        <v xml:space="preserve">조경공 / </v>
      </c>
      <c r="Y436" s="3" t="str">
        <f ca="1">HYPERLINK("#"&amp;노무비목록표!G2&amp;"!A"&amp;ROW(노무비목록표!A8),"L00012 →")</f>
        <v>L00012 →</v>
      </c>
    </row>
    <row r="437" spans="1:25" ht="12.6" customHeight="1" x14ac:dyDescent="0.3">
      <c r="A437" s="78"/>
      <c r="B437" s="78"/>
      <c r="C437" s="78"/>
      <c r="D437" s="78"/>
      <c r="E437" s="78"/>
      <c r="F437" s="78"/>
      <c r="G437" s="17" t="s">
        <v>1229</v>
      </c>
    </row>
    <row r="438" spans="1:25" ht="12.6" customHeight="1" x14ac:dyDescent="0.3">
      <c r="A438" s="68"/>
      <c r="B438" s="77" t="s">
        <v>1467</v>
      </c>
      <c r="C438" s="78"/>
      <c r="D438" s="78"/>
      <c r="E438" s="78"/>
      <c r="F438" s="78"/>
      <c r="G438" s="17" t="s">
        <v>1466</v>
      </c>
    </row>
    <row r="439" spans="1:25" ht="12.6" customHeight="1" x14ac:dyDescent="0.3">
      <c r="A439" s="78"/>
      <c r="B439" s="78"/>
      <c r="C439" s="78"/>
      <c r="D439" s="78"/>
      <c r="E439" s="78"/>
      <c r="F439" s="78"/>
      <c r="G439" s="17" t="s">
        <v>1229</v>
      </c>
    </row>
    <row r="440" spans="1:25" ht="12.6" customHeight="1" x14ac:dyDescent="0.3">
      <c r="A440" s="68" t="s">
        <v>1469</v>
      </c>
      <c r="B440" s="102" t="str">
        <f>"   "&amp;TEXT(I440,"#,##0"&amp;IF(I440&lt;&gt;INT(I440),".###",""))&amp;" * 4.0 인  / Q = "&amp;TEXT(C440,"#,##0.0")&amp;"  원/m2 "</f>
        <v xml:space="preserve">   169,804 * 4.0 인  / Q = 4,528.1  원/m2 </v>
      </c>
      <c r="C440" s="104">
        <f>E440+D440+F440</f>
        <v>4528.1000000000004</v>
      </c>
      <c r="D440" s="104">
        <f>IF(H440=0,0,ROUNDDOWN(J440*H440,1))</f>
        <v>4528.1000000000004</v>
      </c>
      <c r="E440" s="104">
        <f>IF(H440=0,0,ROUNDDOWN(K440*H440,1))</f>
        <v>0</v>
      </c>
      <c r="F440" s="104">
        <f>IF(H440=0,0,ROUNDDOWN(L440*H440,1))</f>
        <v>0</v>
      </c>
      <c r="G440" s="17" t="s">
        <v>1468</v>
      </c>
      <c r="H440" s="109">
        <v>2.6666666666899999E-2</v>
      </c>
      <c r="I440" s="110">
        <f>K440+J440+L440</f>
        <v>169804</v>
      </c>
      <c r="J440" s="39">
        <f>노무비목록표!E11</f>
        <v>169804</v>
      </c>
      <c r="M440" s="35" t="s">
        <v>1018</v>
      </c>
      <c r="N440" s="35" t="s">
        <v>1247</v>
      </c>
      <c r="X440" s="111" t="str">
        <f>노무비목록표!B11&amp;" / "&amp;노무비목록표!C11</f>
        <v xml:space="preserve">보통인부 / </v>
      </c>
      <c r="Y440" s="3" t="str">
        <f ca="1">HYPERLINK("#"&amp;노무비목록표!G2&amp;"!A"&amp;ROW(노무비목록표!A11),"L00016 →")</f>
        <v>L00016 →</v>
      </c>
    </row>
    <row r="441" spans="1:25" ht="12.6" customHeight="1" x14ac:dyDescent="0.3">
      <c r="A441" s="78"/>
      <c r="B441" s="78"/>
      <c r="C441" s="78"/>
      <c r="D441" s="78"/>
      <c r="E441" s="78"/>
      <c r="F441" s="78"/>
      <c r="G441" s="17" t="s">
        <v>1229</v>
      </c>
    </row>
    <row r="442" spans="1:25" ht="12.6" customHeight="1" x14ac:dyDescent="0.3">
      <c r="A442" s="68"/>
      <c r="B442" s="77" t="s">
        <v>1246</v>
      </c>
      <c r="C442" s="105">
        <f>E442+D442+F442</f>
        <v>6022.3</v>
      </c>
      <c r="D442" s="105">
        <f>SUMIF(N427:N441,M442,D427:D441)</f>
        <v>6022.3</v>
      </c>
      <c r="E442" s="105">
        <f>SUMIF(N427:N441,M442,E427:E441)</f>
        <v>0</v>
      </c>
      <c r="F442" s="105">
        <f>SUMIF(N427:N441,M442,F427:F441)</f>
        <v>0</v>
      </c>
      <c r="G442" s="17" t="s">
        <v>1245</v>
      </c>
      <c r="M442" s="35" t="s">
        <v>1247</v>
      </c>
      <c r="N442" s="35" t="s">
        <v>1011</v>
      </c>
    </row>
    <row r="443" spans="1:25" ht="12.6" customHeight="1" x14ac:dyDescent="0.3">
      <c r="A443" s="78"/>
      <c r="B443" s="78"/>
      <c r="C443" s="103"/>
      <c r="D443" s="103"/>
      <c r="E443" s="103"/>
      <c r="F443" s="103"/>
    </row>
    <row r="444" spans="1:25" ht="12.6" customHeight="1" x14ac:dyDescent="0.3">
      <c r="A444" s="78"/>
      <c r="B444" s="78"/>
      <c r="C444" s="78"/>
      <c r="D444" s="78"/>
      <c r="E444" s="78"/>
      <c r="F444" s="78"/>
    </row>
    <row r="445" spans="1:25" ht="12.6" customHeight="1" x14ac:dyDescent="0.3">
      <c r="A445" s="78"/>
      <c r="B445" s="78"/>
      <c r="C445" s="78"/>
      <c r="D445" s="78"/>
      <c r="E445" s="78"/>
      <c r="F445" s="78"/>
    </row>
    <row r="446" spans="1:25" ht="12.6" customHeight="1" x14ac:dyDescent="0.3">
      <c r="A446" s="78"/>
      <c r="B446" s="78"/>
      <c r="C446" s="78"/>
      <c r="D446" s="78"/>
      <c r="E446" s="78"/>
      <c r="F446" s="78"/>
    </row>
    <row r="447" spans="1:25" ht="12.6" customHeight="1" x14ac:dyDescent="0.3">
      <c r="A447" s="78"/>
      <c r="B447" s="78"/>
      <c r="C447" s="78"/>
      <c r="D447" s="78"/>
      <c r="E447" s="78"/>
      <c r="F447" s="78"/>
    </row>
    <row r="448" spans="1:25" ht="12.6" customHeight="1" x14ac:dyDescent="0.3">
      <c r="A448" s="78"/>
      <c r="B448" s="78"/>
      <c r="C448" s="78"/>
      <c r="D448" s="78"/>
      <c r="E448" s="78"/>
      <c r="F448" s="78"/>
    </row>
    <row r="449" spans="1:13" ht="12.6" customHeight="1" x14ac:dyDescent="0.3">
      <c r="A449" s="78"/>
      <c r="B449" s="78"/>
      <c r="C449" s="78"/>
      <c r="D449" s="78"/>
      <c r="E449" s="78"/>
      <c r="F449" s="78"/>
    </row>
    <row r="450" spans="1:13" ht="12.6" customHeight="1" x14ac:dyDescent="0.3">
      <c r="A450" s="78"/>
      <c r="B450" s="78"/>
      <c r="C450" s="78"/>
      <c r="D450" s="78"/>
      <c r="E450" s="78"/>
      <c r="F450" s="78"/>
    </row>
    <row r="451" spans="1:13" ht="12.6" customHeight="1" x14ac:dyDescent="0.3">
      <c r="A451" s="78"/>
      <c r="B451" s="78"/>
      <c r="C451" s="78"/>
      <c r="D451" s="78"/>
      <c r="E451" s="78"/>
      <c r="F451" s="78"/>
    </row>
    <row r="452" spans="1:13" ht="12.6" customHeight="1" x14ac:dyDescent="0.3">
      <c r="A452" s="78"/>
      <c r="B452" s="78"/>
      <c r="C452" s="78"/>
      <c r="D452" s="78"/>
      <c r="E452" s="78"/>
      <c r="F452" s="78"/>
    </row>
    <row r="453" spans="1:13" ht="12.6" customHeight="1" x14ac:dyDescent="0.3">
      <c r="A453" s="78"/>
      <c r="B453" s="78"/>
      <c r="C453" s="78"/>
      <c r="D453" s="78"/>
      <c r="E453" s="78"/>
      <c r="F453" s="78"/>
    </row>
    <row r="454" spans="1:13" ht="12.6" customHeight="1" x14ac:dyDescent="0.3">
      <c r="A454" s="78"/>
      <c r="B454" s="78"/>
      <c r="C454" s="78"/>
      <c r="D454" s="78"/>
      <c r="E454" s="78"/>
      <c r="F454" s="78"/>
    </row>
    <row r="455" spans="1:13" ht="12.6" customHeight="1" x14ac:dyDescent="0.3">
      <c r="A455" s="78"/>
      <c r="B455" s="78"/>
      <c r="C455" s="78"/>
      <c r="D455" s="78"/>
      <c r="E455" s="78"/>
      <c r="F455" s="78"/>
    </row>
    <row r="456" spans="1:13" ht="12.6" customHeight="1" x14ac:dyDescent="0.3">
      <c r="A456" s="78"/>
      <c r="B456" s="78"/>
      <c r="C456" s="78"/>
      <c r="D456" s="78"/>
      <c r="E456" s="78"/>
      <c r="F456" s="78"/>
    </row>
    <row r="457" spans="1:13" ht="12.6" customHeight="1" x14ac:dyDescent="0.3">
      <c r="A457" s="78"/>
      <c r="B457" s="78"/>
      <c r="C457" s="78"/>
      <c r="D457" s="78"/>
      <c r="E457" s="78"/>
      <c r="F457" s="78"/>
    </row>
    <row r="458" spans="1:13" ht="12.6" customHeight="1" x14ac:dyDescent="0.3">
      <c r="A458" s="56"/>
      <c r="B458" s="56"/>
      <c r="C458" s="56"/>
      <c r="D458" s="56"/>
      <c r="E458" s="56"/>
      <c r="F458" s="56"/>
    </row>
    <row r="459" spans="1:13" ht="12.6" customHeight="1" x14ac:dyDescent="0.3">
      <c r="A459" s="143" t="s">
        <v>1248</v>
      </c>
      <c r="B459" s="144"/>
      <c r="C459" s="54">
        <f>E459+D459+F459</f>
        <v>6022</v>
      </c>
      <c r="D459" s="52">
        <f>ROUNDDOWN(SUMIF(N427:N442,M459,D427:D442),0)</f>
        <v>6022</v>
      </c>
      <c r="E459" s="64">
        <f>ROUNDDOWN(SUMIF(N427:N442,M459,E427:E442),0)</f>
        <v>0</v>
      </c>
      <c r="F459" s="54">
        <f>ROUNDDOWN(SUMIF(N427:N442,M459,F427:F442),0)</f>
        <v>0</v>
      </c>
      <c r="M459" s="35" t="s">
        <v>1011</v>
      </c>
    </row>
    <row r="460" spans="1:13" ht="12.6" customHeight="1" x14ac:dyDescent="0.3">
      <c r="A460" s="100" t="s">
        <v>172</v>
      </c>
      <c r="B460" s="101" t="s">
        <v>62</v>
      </c>
      <c r="C460" s="150">
        <f>C529</f>
        <v>28767</v>
      </c>
      <c r="D460" s="150">
        <f>D529</f>
        <v>22622</v>
      </c>
      <c r="E460" s="150">
        <f>E529</f>
        <v>2480</v>
      </c>
      <c r="F460" s="150">
        <f>F529</f>
        <v>3665</v>
      </c>
      <c r="G460" s="97" t="str">
        <f>HYPERLINK("#G"&amp;ROW(G493),"_x0005_`BDCOD|D01336_x0007_`POSS|"&amp;ROW(G462)&amp;"_x0007_`POSE|"&amp;ROW(G493)&amp;"_x0007_`")</f>
        <v>_x0005_`BDCOD|D01336_x0007_`POSS|462_x0007_`POSE|493_x0007_`</v>
      </c>
    </row>
    <row r="461" spans="1:13" ht="12.6" customHeight="1" x14ac:dyDescent="0.3">
      <c r="A461" s="83"/>
      <c r="B461" s="101" t="s">
        <v>169</v>
      </c>
      <c r="C461" s="139"/>
      <c r="D461" s="139"/>
      <c r="E461" s="139"/>
      <c r="F461" s="139"/>
      <c r="M461" s="35" t="s">
        <v>172</v>
      </c>
    </row>
    <row r="462" spans="1:13" ht="12.6" customHeight="1" x14ac:dyDescent="0.3">
      <c r="A462" s="78"/>
      <c r="B462" s="78"/>
      <c r="C462" s="103"/>
      <c r="D462" s="103"/>
      <c r="E462" s="103"/>
      <c r="F462" s="103"/>
      <c r="G462" s="17" t="s">
        <v>1229</v>
      </c>
    </row>
    <row r="463" spans="1:13" ht="12.6" customHeight="1" x14ac:dyDescent="0.3">
      <c r="A463" s="68"/>
      <c r="B463" s="77" t="s">
        <v>1471</v>
      </c>
      <c r="C463" s="78"/>
      <c r="D463" s="78"/>
      <c r="E463" s="78"/>
      <c r="F463" s="78"/>
      <c r="G463" s="17" t="s">
        <v>1470</v>
      </c>
    </row>
    <row r="464" spans="1:13" ht="12.6" customHeight="1" x14ac:dyDescent="0.3">
      <c r="A464" s="78"/>
      <c r="B464" s="78"/>
      <c r="C464" s="78"/>
      <c r="D464" s="78"/>
      <c r="E464" s="78"/>
      <c r="F464" s="78"/>
      <c r="G464" s="17" t="s">
        <v>1229</v>
      </c>
    </row>
    <row r="465" spans="1:25" ht="12.6" customHeight="1" x14ac:dyDescent="0.3">
      <c r="A465" s="68"/>
      <c r="B465" s="77" t="s">
        <v>1473</v>
      </c>
      <c r="C465" s="78"/>
      <c r="D465" s="78"/>
      <c r="E465" s="78"/>
      <c r="F465" s="78"/>
      <c r="G465" s="17" t="s">
        <v>1472</v>
      </c>
    </row>
    <row r="466" spans="1:25" ht="12.6" customHeight="1" x14ac:dyDescent="0.3">
      <c r="A466" s="78"/>
      <c r="B466" s="78"/>
      <c r="C466" s="78"/>
      <c r="D466" s="78"/>
      <c r="E466" s="78"/>
      <c r="F466" s="78"/>
      <c r="G466" s="17" t="s">
        <v>1229</v>
      </c>
    </row>
    <row r="467" spans="1:25" ht="12.6" customHeight="1" x14ac:dyDescent="0.3">
      <c r="A467" s="68"/>
      <c r="B467" s="77" t="s">
        <v>1460</v>
      </c>
      <c r="C467" s="78"/>
      <c r="D467" s="78"/>
      <c r="E467" s="78"/>
      <c r="F467" s="78"/>
      <c r="G467" s="17" t="s">
        <v>1459</v>
      </c>
    </row>
    <row r="468" spans="1:25" ht="12.6" customHeight="1" x14ac:dyDescent="0.3">
      <c r="A468" s="78"/>
      <c r="B468" s="78"/>
      <c r="C468" s="78"/>
      <c r="D468" s="78"/>
      <c r="E468" s="78"/>
      <c r="F468" s="78"/>
      <c r="G468" s="17" t="s">
        <v>1229</v>
      </c>
    </row>
    <row r="469" spans="1:25" ht="12.6" customHeight="1" x14ac:dyDescent="0.3">
      <c r="A469" s="68" t="s">
        <v>1475</v>
      </c>
      <c r="B469" s="102" t="str">
        <f>" ○콘크리트공: "&amp;TEXT(I469,"#,##0"&amp;IF(I469&lt;&gt;INT(I469),".###",""))&amp;" * 3.0 인 / Q = "&amp;TEXT(C469,"#,##0.0")&amp;"  원/m3 "</f>
        <v xml:space="preserve"> ○콘크리트공: 266,361 * 3.0 인 / Q = 12,683.8  원/m3 </v>
      </c>
      <c r="C469" s="104">
        <f>E469+D469+F469</f>
        <v>12683.8</v>
      </c>
      <c r="D469" s="104">
        <f>IF(H469=0,0,ROUNDDOWN(J469*H469,1))</f>
        <v>12683.8</v>
      </c>
      <c r="E469" s="104">
        <f>IF(H469=0,0,ROUNDDOWN(K469*H469,1))</f>
        <v>0</v>
      </c>
      <c r="F469" s="104">
        <f>IF(H469=0,0,ROUNDDOWN(L469*H469,1))</f>
        <v>0</v>
      </c>
      <c r="G469" s="17" t="s">
        <v>1474</v>
      </c>
      <c r="H469" s="109">
        <v>4.7619047619200001E-2</v>
      </c>
      <c r="I469" s="110">
        <f>K469+J469+L469</f>
        <v>266361</v>
      </c>
      <c r="J469" s="39">
        <f>노무비목록표!E7</f>
        <v>266361</v>
      </c>
      <c r="M469" s="35" t="s">
        <v>1356</v>
      </c>
      <c r="N469" s="35" t="s">
        <v>1247</v>
      </c>
      <c r="O469" s="35" t="s">
        <v>996</v>
      </c>
      <c r="X469" s="111" t="str">
        <f>노무비목록표!B7&amp;" / "&amp;노무비목록표!C7</f>
        <v xml:space="preserve">콘크리트공 / </v>
      </c>
      <c r="Y469" s="3" t="str">
        <f ca="1">HYPERLINK("#"&amp;노무비목록표!G2&amp;"!A"&amp;ROW(노무비목록표!A7),"L00007 →")</f>
        <v>L00007 →</v>
      </c>
    </row>
    <row r="470" spans="1:25" ht="12.6" customHeight="1" x14ac:dyDescent="0.3">
      <c r="A470" s="78"/>
      <c r="B470" s="78"/>
      <c r="C470" s="78"/>
      <c r="D470" s="78"/>
      <c r="E470" s="78"/>
      <c r="F470" s="78"/>
      <c r="G470" s="17" t="s">
        <v>1229</v>
      </c>
    </row>
    <row r="471" spans="1:25" ht="12.6" customHeight="1" x14ac:dyDescent="0.3">
      <c r="A471" s="68" t="s">
        <v>1469</v>
      </c>
      <c r="B471" s="102" t="str">
        <f>" ○보통인부 : "&amp;TEXT(I471,"#,##0"&amp;IF(I471&lt;&gt;INT(I471),".###",""))&amp;" * 1.0 인  / Q = "&amp;TEXT(C471,"#,##0.0")&amp;"  원/m3 "</f>
        <v xml:space="preserve"> ○보통인부 : 169,804 * 1.0 인  / Q = 2,695.3  원/m3 </v>
      </c>
      <c r="C471" s="104">
        <f>E471+D471+F471</f>
        <v>2695.3</v>
      </c>
      <c r="D471" s="104">
        <f>IF(H471=0,0,ROUNDDOWN(J471*H471,1))</f>
        <v>2695.3</v>
      </c>
      <c r="E471" s="104">
        <f>IF(H471=0,0,ROUNDDOWN(K471*H471,1))</f>
        <v>0</v>
      </c>
      <c r="F471" s="104">
        <f>IF(H471=0,0,ROUNDDOWN(L471*H471,1))</f>
        <v>0</v>
      </c>
      <c r="G471" s="17" t="s">
        <v>1476</v>
      </c>
      <c r="H471" s="109">
        <v>1.5873015873199999E-2</v>
      </c>
      <c r="I471" s="110">
        <f>K471+J471+L471</f>
        <v>169804</v>
      </c>
      <c r="J471" s="39">
        <f>노무비목록표!E11</f>
        <v>169804</v>
      </c>
      <c r="M471" s="35" t="s">
        <v>1018</v>
      </c>
      <c r="N471" s="35" t="s">
        <v>1247</v>
      </c>
      <c r="O471" s="35" t="s">
        <v>996</v>
      </c>
      <c r="X471" s="111" t="str">
        <f>노무비목록표!B11&amp;" / "&amp;노무비목록표!C11</f>
        <v xml:space="preserve">보통인부 / </v>
      </c>
      <c r="Y471" s="3" t="str">
        <f ca="1">HYPERLINK("#"&amp;노무비목록표!G2&amp;"!A"&amp;ROW(노무비목록표!A11),"L00016 →")</f>
        <v>L00016 →</v>
      </c>
    </row>
    <row r="472" spans="1:25" ht="12.6" customHeight="1" x14ac:dyDescent="0.3">
      <c r="A472" s="78"/>
      <c r="B472" s="78"/>
      <c r="C472" s="78"/>
      <c r="D472" s="78"/>
      <c r="E472" s="78"/>
      <c r="F472" s="78"/>
      <c r="G472" s="17" t="s">
        <v>1229</v>
      </c>
    </row>
    <row r="473" spans="1:25" ht="12.6" customHeight="1" x14ac:dyDescent="0.3">
      <c r="A473" s="68"/>
      <c r="B473" s="77" t="s">
        <v>1246</v>
      </c>
      <c r="C473" s="105">
        <f>E473+D473+F473</f>
        <v>15379.099999999999</v>
      </c>
      <c r="D473" s="105">
        <f>SUMIF(N462:N472,M473,D462:D472)</f>
        <v>15379.099999999999</v>
      </c>
      <c r="E473" s="105">
        <f>SUMIF(N462:N472,M473,E462:E472)</f>
        <v>0</v>
      </c>
      <c r="F473" s="105">
        <f>SUMIF(N462:N472,M473,F462:F472)</f>
        <v>0</v>
      </c>
      <c r="G473" s="17" t="s">
        <v>1245</v>
      </c>
      <c r="M473" s="35" t="s">
        <v>1247</v>
      </c>
      <c r="N473" s="35" t="s">
        <v>1348</v>
      </c>
    </row>
    <row r="474" spans="1:25" ht="12.6" customHeight="1" x14ac:dyDescent="0.3">
      <c r="A474" s="78"/>
      <c r="B474" s="78"/>
      <c r="C474" s="103"/>
      <c r="D474" s="103"/>
      <c r="E474" s="103"/>
      <c r="F474" s="103"/>
      <c r="G474" s="17" t="s">
        <v>1229</v>
      </c>
    </row>
    <row r="475" spans="1:25" ht="12.6" customHeight="1" x14ac:dyDescent="0.3">
      <c r="A475" s="68"/>
      <c r="B475" s="77" t="s">
        <v>1478</v>
      </c>
      <c r="C475" s="78"/>
      <c r="D475" s="78"/>
      <c r="E475" s="78"/>
      <c r="F475" s="78"/>
      <c r="G475" s="17" t="s">
        <v>1477</v>
      </c>
    </row>
    <row r="476" spans="1:25" ht="12.6" customHeight="1" x14ac:dyDescent="0.3">
      <c r="A476" s="78"/>
      <c r="B476" s="78"/>
      <c r="C476" s="78"/>
      <c r="D476" s="78"/>
      <c r="E476" s="78"/>
      <c r="F476" s="78"/>
      <c r="G476" s="17" t="s">
        <v>1229</v>
      </c>
    </row>
    <row r="477" spans="1:25" ht="12.6" customHeight="1" x14ac:dyDescent="0.3">
      <c r="A477" s="68"/>
      <c r="B477" s="102" t="str">
        <f>"  공구손료 :  "&amp;TEXT(I477,"#,##0.0")&amp;" * 2 % = "&amp;TEXT(C477,"#,##0.0")&amp;""</f>
        <v xml:space="preserve">  공구손료 :  15,379.1 * 2 % = 307.5</v>
      </c>
      <c r="C477" s="104">
        <f>E477+D477+F477</f>
        <v>307.5</v>
      </c>
      <c r="D477" s="104">
        <f>IF(H477=0,0,ROUNDDOWN(J477*H477/100,1))</f>
        <v>0</v>
      </c>
      <c r="E477" s="104">
        <f>IF(H477=0,0,ROUNDDOWN(K477*H477/100,1))</f>
        <v>0</v>
      </c>
      <c r="F477" s="104">
        <f>IF(H477=0,0,ROUNDDOWN(L477*H477/100,1))</f>
        <v>307.5</v>
      </c>
      <c r="G477" s="17" t="s">
        <v>1479</v>
      </c>
      <c r="H477" s="109">
        <v>2</v>
      </c>
      <c r="I477" s="110">
        <f>K477+J477+L477</f>
        <v>15379.099999999999</v>
      </c>
      <c r="J477" s="36">
        <v>0</v>
      </c>
      <c r="K477" s="36">
        <v>0</v>
      </c>
      <c r="L477" s="39">
        <f>C469+C471</f>
        <v>15379.099999999999</v>
      </c>
      <c r="M477" s="35" t="s">
        <v>1480</v>
      </c>
      <c r="N477" s="35" t="s">
        <v>1247</v>
      </c>
    </row>
    <row r="478" spans="1:25" ht="12.6" customHeight="1" x14ac:dyDescent="0.3">
      <c r="A478" s="78"/>
      <c r="B478" s="78"/>
      <c r="C478" s="78"/>
      <c r="D478" s="78"/>
      <c r="E478" s="78"/>
      <c r="F478" s="78"/>
      <c r="G478" s="17" t="s">
        <v>1229</v>
      </c>
    </row>
    <row r="479" spans="1:25" ht="12.6" customHeight="1" x14ac:dyDescent="0.3">
      <c r="A479" s="68"/>
      <c r="B479" s="77" t="s">
        <v>1246</v>
      </c>
      <c r="C479" s="105">
        <f>E479+D479+F479</f>
        <v>307.5</v>
      </c>
      <c r="D479" s="105">
        <f>SUMIF(N474:N478,M479,D474:D478)</f>
        <v>0</v>
      </c>
      <c r="E479" s="105">
        <f>SUMIF(N474:N478,M479,E474:E478)</f>
        <v>0</v>
      </c>
      <c r="F479" s="105">
        <f>SUMIF(N474:N478,M479,F474:F478)</f>
        <v>307.5</v>
      </c>
      <c r="G479" s="17" t="s">
        <v>1245</v>
      </c>
      <c r="M479" s="35" t="s">
        <v>1247</v>
      </c>
      <c r="N479" s="35" t="s">
        <v>1348</v>
      </c>
    </row>
    <row r="480" spans="1:25" ht="12.6" customHeight="1" x14ac:dyDescent="0.3">
      <c r="A480" s="78"/>
      <c r="B480" s="78"/>
      <c r="C480" s="103"/>
      <c r="D480" s="103"/>
      <c r="E480" s="103"/>
      <c r="F480" s="103"/>
      <c r="G480" s="17" t="s">
        <v>1229</v>
      </c>
    </row>
    <row r="481" spans="1:25" ht="12.6" customHeight="1" x14ac:dyDescent="0.3">
      <c r="A481" s="68"/>
      <c r="B481" s="77" t="s">
        <v>1482</v>
      </c>
      <c r="C481" s="78"/>
      <c r="D481" s="78"/>
      <c r="E481" s="78"/>
      <c r="F481" s="78"/>
      <c r="G481" s="17" t="s">
        <v>1481</v>
      </c>
    </row>
    <row r="482" spans="1:25" ht="12.6" customHeight="1" x14ac:dyDescent="0.3">
      <c r="A482" s="78"/>
      <c r="B482" s="78"/>
      <c r="C482" s="78"/>
      <c r="D482" s="78"/>
      <c r="E482" s="78"/>
      <c r="F482" s="78"/>
      <c r="G482" s="17" t="s">
        <v>1229</v>
      </c>
    </row>
    <row r="483" spans="1:25" ht="12.6" customHeight="1" x14ac:dyDescent="0.3">
      <c r="A483" s="68"/>
      <c r="B483" s="77" t="s">
        <v>1483</v>
      </c>
      <c r="C483" s="78"/>
      <c r="D483" s="78"/>
      <c r="E483" s="78"/>
      <c r="F483" s="78"/>
      <c r="G483" s="17" t="s">
        <v>1392</v>
      </c>
    </row>
    <row r="484" spans="1:25" ht="12.6" customHeight="1" x14ac:dyDescent="0.3">
      <c r="A484" s="78"/>
      <c r="B484" s="78"/>
      <c r="C484" s="78"/>
      <c r="D484" s="78"/>
      <c r="E484" s="78"/>
      <c r="F484" s="78"/>
      <c r="G484" s="17" t="s">
        <v>1229</v>
      </c>
    </row>
    <row r="485" spans="1:25" ht="12.6" customHeight="1" x14ac:dyDescent="0.3">
      <c r="A485" s="68" t="s">
        <v>1397</v>
      </c>
      <c r="B485" s="102" t="str">
        <f>" 노 무 비 :  "&amp;TEXT(I485,"#,##0"&amp;IF(I485&lt;&gt;INT(I485),".###",""))&amp;" / q1 = "&amp;TEXT(C485,"#,##0.0")&amp;""</f>
        <v xml:space="preserve"> 노 무 비 :  57,077 / q1 = 7,243.2</v>
      </c>
      <c r="C485" s="104">
        <f>E485+D485+F485</f>
        <v>7243.2</v>
      </c>
      <c r="D485" s="104">
        <f>IF(H485=0,0,ROUNDDOWN(J485*H485,1))</f>
        <v>7243.2</v>
      </c>
      <c r="E485" s="104">
        <f>IF(H485=0,0,ROUNDDOWN(K485*H485,1))</f>
        <v>0</v>
      </c>
      <c r="F485" s="104">
        <f>IF(H485=0,0,ROUNDDOWN(L485*H485,1))</f>
        <v>0</v>
      </c>
      <c r="G485" s="17" t="s">
        <v>1396</v>
      </c>
      <c r="H485" s="109">
        <v>0.12690355329969999</v>
      </c>
      <c r="I485" s="110">
        <f>K485+J485+L485</f>
        <v>57077</v>
      </c>
      <c r="J485" s="39">
        <f>중기목록표!F20</f>
        <v>57077</v>
      </c>
      <c r="M485" s="35" t="s">
        <v>1084</v>
      </c>
      <c r="N485" s="35" t="s">
        <v>1247</v>
      </c>
      <c r="X485" s="111" t="str">
        <f>중기목록표!B20&amp;" / "&amp;중기목록표!C20</f>
        <v>굴삭기(타이어) / 0.6㎥</v>
      </c>
      <c r="Y485" s="3" t="str">
        <f ca="1">HYPERLINK("#"&amp;중기목록표!J2&amp;"!A"&amp;ROW(중기목록표!A20),"X00283 →")</f>
        <v>X00283 →</v>
      </c>
    </row>
    <row r="486" spans="1:25" ht="12.6" customHeight="1" x14ac:dyDescent="0.3">
      <c r="A486" s="78"/>
      <c r="B486" s="78"/>
      <c r="C486" s="78"/>
      <c r="D486" s="78"/>
      <c r="E486" s="78"/>
      <c r="F486" s="78"/>
      <c r="G486" s="17" t="s">
        <v>1229</v>
      </c>
    </row>
    <row r="487" spans="1:25" ht="12.6" customHeight="1" x14ac:dyDescent="0.3">
      <c r="A487" s="68" t="s">
        <v>1399</v>
      </c>
      <c r="B487" s="102" t="str">
        <f>" 재 료 비 :  "&amp;TEXT(I487,"#,##0"&amp;IF(I487&lt;&gt;INT(I487),".###",""))&amp;" / q1 = "&amp;TEXT(C487,"#,##0.0")&amp;""</f>
        <v xml:space="preserve"> 재 료 비 :  19,547 / q1 = 2,480.5</v>
      </c>
      <c r="C487" s="104">
        <f>E487+D487+F487</f>
        <v>2480.5</v>
      </c>
      <c r="D487" s="104">
        <f>IF(H487=0,0,ROUNDDOWN(J487*H487,1))</f>
        <v>0</v>
      </c>
      <c r="E487" s="104">
        <f>IF(H487=0,0,ROUNDDOWN(K487*H487,1))</f>
        <v>2480.5</v>
      </c>
      <c r="F487" s="104">
        <f>IF(H487=0,0,ROUNDDOWN(L487*H487,1))</f>
        <v>0</v>
      </c>
      <c r="G487" s="17" t="s">
        <v>1398</v>
      </c>
      <c r="H487" s="109">
        <v>0.12690355329969999</v>
      </c>
      <c r="I487" s="110">
        <f>K487+J487+L487</f>
        <v>19547</v>
      </c>
      <c r="K487" s="39">
        <f>중기목록표!G20</f>
        <v>19547</v>
      </c>
      <c r="M487" s="35" t="s">
        <v>1084</v>
      </c>
      <c r="N487" s="35" t="s">
        <v>1247</v>
      </c>
      <c r="X487" s="111" t="str">
        <f>중기목록표!B20&amp;" / "&amp;중기목록표!C20</f>
        <v>굴삭기(타이어) / 0.6㎥</v>
      </c>
      <c r="Y487" s="3" t="str">
        <f ca="1">HYPERLINK("#"&amp;중기목록표!J2&amp;"!A"&amp;ROW(중기목록표!A20),"X00283 →")</f>
        <v>X00283 →</v>
      </c>
    </row>
    <row r="488" spans="1:25" ht="12.6" customHeight="1" x14ac:dyDescent="0.3">
      <c r="A488" s="78"/>
      <c r="B488" s="78"/>
      <c r="C488" s="78"/>
      <c r="D488" s="78"/>
      <c r="E488" s="78"/>
      <c r="F488" s="78"/>
      <c r="G488" s="17" t="s">
        <v>1229</v>
      </c>
    </row>
    <row r="489" spans="1:25" ht="12.6" customHeight="1" x14ac:dyDescent="0.3">
      <c r="A489" s="68" t="s">
        <v>1401</v>
      </c>
      <c r="B489" s="102" t="str">
        <f>" 경    비 :  "&amp;TEXT(I489,"#,##0"&amp;IF(I489&lt;&gt;INT(I489),".###",""))&amp;" / q1 = "&amp;TEXT(C489,"#,##0.0")&amp;""</f>
        <v xml:space="preserve"> 경    비 :  26,463 / q1 = 3,358.2</v>
      </c>
      <c r="C489" s="104">
        <f>E489+D489+F489</f>
        <v>3358.2</v>
      </c>
      <c r="D489" s="104">
        <f>IF(H489=0,0,ROUNDDOWN(J489*H489,1))</f>
        <v>0</v>
      </c>
      <c r="E489" s="104">
        <f>IF(H489=0,0,ROUNDDOWN(K489*H489,1))</f>
        <v>0</v>
      </c>
      <c r="F489" s="104">
        <f>IF(H489=0,0,ROUNDDOWN(L489*H489,1))</f>
        <v>3358.2</v>
      </c>
      <c r="G489" s="17" t="s">
        <v>1400</v>
      </c>
      <c r="H489" s="109">
        <v>0.12690355329969999</v>
      </c>
      <c r="I489" s="110">
        <f>K489+J489+L489</f>
        <v>26463</v>
      </c>
      <c r="L489" s="39">
        <f>중기목록표!H20</f>
        <v>26463</v>
      </c>
      <c r="M489" s="35" t="s">
        <v>1084</v>
      </c>
      <c r="N489" s="35" t="s">
        <v>1247</v>
      </c>
      <c r="X489" s="111" t="str">
        <f>중기목록표!B20&amp;" / "&amp;중기목록표!C20</f>
        <v>굴삭기(타이어) / 0.6㎥</v>
      </c>
      <c r="Y489" s="3" t="str">
        <f ca="1">HYPERLINK("#"&amp;중기목록표!J2&amp;"!A"&amp;ROW(중기목록표!A20),"X00283 →")</f>
        <v>X00283 →</v>
      </c>
    </row>
    <row r="490" spans="1:25" ht="12.6" customHeight="1" x14ac:dyDescent="0.3">
      <c r="A490" s="78"/>
      <c r="B490" s="78"/>
      <c r="C490" s="78"/>
      <c r="D490" s="78"/>
      <c r="E490" s="78"/>
      <c r="F490" s="78"/>
      <c r="G490" s="17" t="s">
        <v>1229</v>
      </c>
    </row>
    <row r="491" spans="1:25" ht="12.6" customHeight="1" x14ac:dyDescent="0.3">
      <c r="A491" s="68"/>
      <c r="B491" s="77" t="s">
        <v>1246</v>
      </c>
      <c r="C491" s="105">
        <f>E491+D491+F491</f>
        <v>13081.900000000001</v>
      </c>
      <c r="D491" s="105">
        <f>SUMIF(N480:N490,M491,D480:D490)</f>
        <v>7243.2</v>
      </c>
      <c r="E491" s="105">
        <f>SUMIF(N480:N490,M491,E480:E490)</f>
        <v>2480.5</v>
      </c>
      <c r="F491" s="105">
        <f>SUMIF(N480:N490,M491,F480:F490)</f>
        <v>3358.2</v>
      </c>
      <c r="G491" s="17" t="s">
        <v>1245</v>
      </c>
      <c r="M491" s="35" t="s">
        <v>1247</v>
      </c>
      <c r="N491" s="35" t="s">
        <v>1348</v>
      </c>
    </row>
    <row r="492" spans="1:25" ht="12.6" customHeight="1" x14ac:dyDescent="0.3">
      <c r="A492" s="78"/>
      <c r="B492" s="78"/>
      <c r="C492" s="103"/>
      <c r="D492" s="103"/>
      <c r="E492" s="103"/>
      <c r="F492" s="103"/>
      <c r="G492" s="17" t="s">
        <v>1229</v>
      </c>
    </row>
    <row r="493" spans="1:25" ht="12.6" customHeight="1" x14ac:dyDescent="0.3">
      <c r="A493" s="68"/>
      <c r="B493" s="77" t="s">
        <v>1101</v>
      </c>
      <c r="C493" s="105">
        <f>E493+D493+F493</f>
        <v>28768.5</v>
      </c>
      <c r="D493" s="105">
        <f>SUMIF(N462:N492,M493,D462:D492)</f>
        <v>22622.3</v>
      </c>
      <c r="E493" s="105">
        <f>SUMIF(N462:N492,M493,E462:E492)</f>
        <v>2480.5</v>
      </c>
      <c r="F493" s="105">
        <f>SUMIF(N462:N492,M493,F462:F492)</f>
        <v>3665.7</v>
      </c>
      <c r="G493" s="17" t="s">
        <v>1347</v>
      </c>
      <c r="M493" s="35" t="s">
        <v>1348</v>
      </c>
      <c r="N493" s="35" t="s">
        <v>1011</v>
      </c>
    </row>
    <row r="494" spans="1:25" ht="12.6" customHeight="1" x14ac:dyDescent="0.3">
      <c r="A494" s="78"/>
      <c r="B494" s="78"/>
      <c r="C494" s="103"/>
      <c r="D494" s="103"/>
      <c r="E494" s="103"/>
      <c r="F494" s="103"/>
    </row>
    <row r="495" spans="1:25" ht="12.6" customHeight="1" x14ac:dyDescent="0.3">
      <c r="A495" s="78"/>
      <c r="B495" s="78"/>
      <c r="C495" s="78"/>
      <c r="D495" s="78"/>
      <c r="E495" s="78"/>
      <c r="F495" s="78"/>
    </row>
    <row r="496" spans="1:25" ht="12.6" customHeight="1" x14ac:dyDescent="0.3">
      <c r="A496" s="78"/>
      <c r="B496" s="78"/>
      <c r="C496" s="78"/>
      <c r="D496" s="78"/>
      <c r="E496" s="78"/>
      <c r="F496" s="78"/>
    </row>
    <row r="497" spans="1:6" ht="12.6" customHeight="1" x14ac:dyDescent="0.3">
      <c r="A497" s="78"/>
      <c r="B497" s="78"/>
      <c r="C497" s="78"/>
      <c r="D497" s="78"/>
      <c r="E497" s="78"/>
      <c r="F497" s="78"/>
    </row>
    <row r="498" spans="1:6" ht="12.6" customHeight="1" x14ac:dyDescent="0.3">
      <c r="A498" s="78"/>
      <c r="B498" s="78"/>
      <c r="C498" s="78"/>
      <c r="D498" s="78"/>
      <c r="E498" s="78"/>
      <c r="F498" s="78"/>
    </row>
    <row r="499" spans="1:6" ht="12.6" customHeight="1" x14ac:dyDescent="0.3">
      <c r="A499" s="78"/>
      <c r="B499" s="78"/>
      <c r="C499" s="78"/>
      <c r="D499" s="78"/>
      <c r="E499" s="78"/>
      <c r="F499" s="78"/>
    </row>
    <row r="500" spans="1:6" ht="12.6" customHeight="1" x14ac:dyDescent="0.3">
      <c r="A500" s="78"/>
      <c r="B500" s="78"/>
      <c r="C500" s="78"/>
      <c r="D500" s="78"/>
      <c r="E500" s="78"/>
      <c r="F500" s="78"/>
    </row>
    <row r="501" spans="1:6" ht="12.6" customHeight="1" x14ac:dyDescent="0.3">
      <c r="A501" s="78"/>
      <c r="B501" s="78"/>
      <c r="C501" s="78"/>
      <c r="D501" s="78"/>
      <c r="E501" s="78"/>
      <c r="F501" s="78"/>
    </row>
    <row r="502" spans="1:6" ht="12.6" customHeight="1" x14ac:dyDescent="0.3">
      <c r="A502" s="78"/>
      <c r="B502" s="78"/>
      <c r="C502" s="78"/>
      <c r="D502" s="78"/>
      <c r="E502" s="78"/>
      <c r="F502" s="78"/>
    </row>
    <row r="503" spans="1:6" ht="12.6" customHeight="1" x14ac:dyDescent="0.3">
      <c r="A503" s="78"/>
      <c r="B503" s="78"/>
      <c r="C503" s="78"/>
      <c r="D503" s="78"/>
      <c r="E503" s="78"/>
      <c r="F503" s="78"/>
    </row>
    <row r="504" spans="1:6" ht="12.6" customHeight="1" x14ac:dyDescent="0.3">
      <c r="A504" s="78"/>
      <c r="B504" s="78"/>
      <c r="C504" s="78"/>
      <c r="D504" s="78"/>
      <c r="E504" s="78"/>
      <c r="F504" s="78"/>
    </row>
    <row r="505" spans="1:6" ht="12.6" customHeight="1" x14ac:dyDescent="0.3">
      <c r="A505" s="78"/>
      <c r="B505" s="78"/>
      <c r="C505" s="78"/>
      <c r="D505" s="78"/>
      <c r="E505" s="78"/>
      <c r="F505" s="78"/>
    </row>
    <row r="506" spans="1:6" ht="12.6" customHeight="1" x14ac:dyDescent="0.3">
      <c r="A506" s="78"/>
      <c r="B506" s="78"/>
      <c r="C506" s="78"/>
      <c r="D506" s="78"/>
      <c r="E506" s="78"/>
      <c r="F506" s="78"/>
    </row>
    <row r="507" spans="1:6" ht="12.6" customHeight="1" x14ac:dyDescent="0.3">
      <c r="A507" s="78"/>
      <c r="B507" s="78"/>
      <c r="C507" s="78"/>
      <c r="D507" s="78"/>
      <c r="E507" s="78"/>
      <c r="F507" s="78"/>
    </row>
    <row r="508" spans="1:6" ht="12.6" customHeight="1" x14ac:dyDescent="0.3">
      <c r="A508" s="78"/>
      <c r="B508" s="78"/>
      <c r="C508" s="78"/>
      <c r="D508" s="78"/>
      <c r="E508" s="78"/>
      <c r="F508" s="78"/>
    </row>
    <row r="509" spans="1:6" ht="12.6" customHeight="1" x14ac:dyDescent="0.3">
      <c r="A509" s="78"/>
      <c r="B509" s="78"/>
      <c r="C509" s="78"/>
      <c r="D509" s="78"/>
      <c r="E509" s="78"/>
      <c r="F509" s="78"/>
    </row>
    <row r="510" spans="1:6" ht="12.6" customHeight="1" x14ac:dyDescent="0.3">
      <c r="A510" s="78"/>
      <c r="B510" s="78"/>
      <c r="C510" s="78"/>
      <c r="D510" s="78"/>
      <c r="E510" s="78"/>
      <c r="F510" s="78"/>
    </row>
    <row r="511" spans="1:6" ht="12.6" customHeight="1" x14ac:dyDescent="0.3">
      <c r="A511" s="78"/>
      <c r="B511" s="78"/>
      <c r="C511" s="78"/>
      <c r="D511" s="78"/>
      <c r="E511" s="78"/>
      <c r="F511" s="78"/>
    </row>
    <row r="512" spans="1:6" ht="12.6" customHeight="1" x14ac:dyDescent="0.3">
      <c r="A512" s="78"/>
      <c r="B512" s="78"/>
      <c r="C512" s="78"/>
      <c r="D512" s="78"/>
      <c r="E512" s="78"/>
      <c r="F512" s="78"/>
    </row>
    <row r="513" spans="1:6" ht="12.6" customHeight="1" x14ac:dyDescent="0.3">
      <c r="A513" s="78"/>
      <c r="B513" s="78"/>
      <c r="C513" s="78"/>
      <c r="D513" s="78"/>
      <c r="E513" s="78"/>
      <c r="F513" s="78"/>
    </row>
    <row r="514" spans="1:6" ht="12.6" customHeight="1" x14ac:dyDescent="0.3">
      <c r="A514" s="78"/>
      <c r="B514" s="78"/>
      <c r="C514" s="78"/>
      <c r="D514" s="78"/>
      <c r="E514" s="78"/>
      <c r="F514" s="78"/>
    </row>
    <row r="515" spans="1:6" ht="12.6" customHeight="1" x14ac:dyDescent="0.3">
      <c r="A515" s="78"/>
      <c r="B515" s="78"/>
      <c r="C515" s="78"/>
      <c r="D515" s="78"/>
      <c r="E515" s="78"/>
      <c r="F515" s="78"/>
    </row>
    <row r="516" spans="1:6" ht="12.6" customHeight="1" x14ac:dyDescent="0.3">
      <c r="A516" s="78"/>
      <c r="B516" s="78"/>
      <c r="C516" s="78"/>
      <c r="D516" s="78"/>
      <c r="E516" s="78"/>
      <c r="F516" s="78"/>
    </row>
    <row r="517" spans="1:6" ht="12.6" customHeight="1" x14ac:dyDescent="0.3">
      <c r="A517" s="78"/>
      <c r="B517" s="78"/>
      <c r="C517" s="78"/>
      <c r="D517" s="78"/>
      <c r="E517" s="78"/>
      <c r="F517" s="78"/>
    </row>
    <row r="518" spans="1:6" ht="12.6" customHeight="1" x14ac:dyDescent="0.3">
      <c r="A518" s="78"/>
      <c r="B518" s="78"/>
      <c r="C518" s="78"/>
      <c r="D518" s="78"/>
      <c r="E518" s="78"/>
      <c r="F518" s="78"/>
    </row>
    <row r="519" spans="1:6" ht="12.6" customHeight="1" x14ac:dyDescent="0.3">
      <c r="A519" s="78"/>
      <c r="B519" s="78"/>
      <c r="C519" s="78"/>
      <c r="D519" s="78"/>
      <c r="E519" s="78"/>
      <c r="F519" s="78"/>
    </row>
    <row r="520" spans="1:6" ht="12.6" customHeight="1" x14ac:dyDescent="0.3">
      <c r="A520" s="78"/>
      <c r="B520" s="78"/>
      <c r="C520" s="78"/>
      <c r="D520" s="78"/>
      <c r="E520" s="78"/>
      <c r="F520" s="78"/>
    </row>
    <row r="521" spans="1:6" ht="12.6" customHeight="1" x14ac:dyDescent="0.3">
      <c r="A521" s="78"/>
      <c r="B521" s="78"/>
      <c r="C521" s="78"/>
      <c r="D521" s="78"/>
      <c r="E521" s="78"/>
      <c r="F521" s="78"/>
    </row>
    <row r="522" spans="1:6" ht="12.6" customHeight="1" x14ac:dyDescent="0.3">
      <c r="A522" s="78"/>
      <c r="B522" s="78"/>
      <c r="C522" s="78"/>
      <c r="D522" s="78"/>
      <c r="E522" s="78"/>
      <c r="F522" s="78"/>
    </row>
    <row r="523" spans="1:6" ht="12.6" customHeight="1" x14ac:dyDescent="0.3">
      <c r="A523" s="78"/>
      <c r="B523" s="78"/>
      <c r="C523" s="78"/>
      <c r="D523" s="78"/>
      <c r="E523" s="78"/>
      <c r="F523" s="78"/>
    </row>
    <row r="524" spans="1:6" ht="12.6" customHeight="1" x14ac:dyDescent="0.3">
      <c r="A524" s="78"/>
      <c r="B524" s="78"/>
      <c r="C524" s="78"/>
      <c r="D524" s="78"/>
      <c r="E524" s="78"/>
      <c r="F524" s="78"/>
    </row>
    <row r="525" spans="1:6" ht="12.6" customHeight="1" x14ac:dyDescent="0.3">
      <c r="A525" s="78"/>
      <c r="B525" s="78"/>
      <c r="C525" s="78"/>
      <c r="D525" s="78"/>
      <c r="E525" s="78"/>
      <c r="F525" s="78"/>
    </row>
    <row r="526" spans="1:6" ht="12.6" customHeight="1" x14ac:dyDescent="0.3">
      <c r="A526" s="78"/>
      <c r="B526" s="78"/>
      <c r="C526" s="78"/>
      <c r="D526" s="78"/>
      <c r="E526" s="78"/>
      <c r="F526" s="78"/>
    </row>
    <row r="527" spans="1:6" ht="12.6" customHeight="1" x14ac:dyDescent="0.3">
      <c r="A527" s="78"/>
      <c r="B527" s="78"/>
      <c r="C527" s="78"/>
      <c r="D527" s="78"/>
      <c r="E527" s="78"/>
      <c r="F527" s="78"/>
    </row>
    <row r="528" spans="1:6" ht="12.6" customHeight="1" x14ac:dyDescent="0.3">
      <c r="A528" s="56"/>
      <c r="B528" s="56"/>
      <c r="C528" s="56"/>
      <c r="D528" s="56"/>
      <c r="E528" s="56"/>
      <c r="F528" s="56"/>
    </row>
    <row r="529" spans="1:25" ht="12.6" customHeight="1" x14ac:dyDescent="0.3">
      <c r="A529" s="143" t="s">
        <v>1248</v>
      </c>
      <c r="B529" s="144"/>
      <c r="C529" s="54">
        <f>E529+D529+F529</f>
        <v>28767</v>
      </c>
      <c r="D529" s="52">
        <f>ROUNDDOWN(SUMIF(N462:N493,M529,D462:D493),0)</f>
        <v>22622</v>
      </c>
      <c r="E529" s="64">
        <f>ROUNDDOWN(SUMIF(N462:N493,M529,E462:E493),0)</f>
        <v>2480</v>
      </c>
      <c r="F529" s="54">
        <f>ROUNDDOWN(SUMIF(N462:N493,M529,F462:F493),0)</f>
        <v>3665</v>
      </c>
      <c r="M529" s="35" t="s">
        <v>1011</v>
      </c>
    </row>
    <row r="530" spans="1:25" ht="12.6" customHeight="1" x14ac:dyDescent="0.3">
      <c r="A530" s="100" t="s">
        <v>175</v>
      </c>
      <c r="B530" s="101" t="s">
        <v>66</v>
      </c>
      <c r="C530" s="150">
        <f>C564</f>
        <v>32473</v>
      </c>
      <c r="D530" s="150">
        <f>D564</f>
        <v>31528</v>
      </c>
      <c r="E530" s="150">
        <f>E564</f>
        <v>0</v>
      </c>
      <c r="F530" s="150">
        <f>F564</f>
        <v>945</v>
      </c>
      <c r="G530" s="97" t="str">
        <f>HYPERLINK("#G"&amp;ROW(G555),"_x0005_`BDCOD|D01351_x0007_`POSS|"&amp;ROW(G532)&amp;"_x0007_`POSE|"&amp;ROW(G555)&amp;"_x0007_`")</f>
        <v>_x0005_`BDCOD|D01351_x0007_`POSS|532_x0007_`POSE|555_x0007_`</v>
      </c>
    </row>
    <row r="531" spans="1:25" ht="12.6" customHeight="1" x14ac:dyDescent="0.3">
      <c r="A531" s="83"/>
      <c r="B531" s="101" t="s">
        <v>173</v>
      </c>
      <c r="C531" s="139"/>
      <c r="D531" s="139"/>
      <c r="E531" s="139"/>
      <c r="F531" s="139"/>
      <c r="M531" s="35" t="s">
        <v>175</v>
      </c>
    </row>
    <row r="532" spans="1:25" ht="12.6" customHeight="1" x14ac:dyDescent="0.3">
      <c r="A532" s="78"/>
      <c r="B532" s="78"/>
      <c r="C532" s="103"/>
      <c r="D532" s="103"/>
      <c r="E532" s="103"/>
      <c r="F532" s="103"/>
      <c r="G532" s="17" t="s">
        <v>1229</v>
      </c>
    </row>
    <row r="533" spans="1:25" ht="12.6" customHeight="1" x14ac:dyDescent="0.3">
      <c r="A533" s="68"/>
      <c r="B533" s="77" t="s">
        <v>1485</v>
      </c>
      <c r="C533" s="78"/>
      <c r="D533" s="78"/>
      <c r="E533" s="78"/>
      <c r="F533" s="78"/>
      <c r="G533" s="17" t="s">
        <v>1484</v>
      </c>
    </row>
    <row r="534" spans="1:25" ht="12.6" customHeight="1" x14ac:dyDescent="0.3">
      <c r="A534" s="78"/>
      <c r="B534" s="78"/>
      <c r="C534" s="78"/>
      <c r="D534" s="78"/>
      <c r="E534" s="78"/>
      <c r="F534" s="78"/>
      <c r="G534" s="17" t="s">
        <v>1229</v>
      </c>
    </row>
    <row r="535" spans="1:25" ht="12.6" customHeight="1" x14ac:dyDescent="0.3">
      <c r="A535" s="68"/>
      <c r="B535" s="77" t="s">
        <v>1487</v>
      </c>
      <c r="C535" s="78"/>
      <c r="D535" s="78"/>
      <c r="E535" s="78"/>
      <c r="F535" s="78"/>
      <c r="G535" s="17" t="s">
        <v>1486</v>
      </c>
    </row>
    <row r="536" spans="1:25" ht="12.6" customHeight="1" x14ac:dyDescent="0.3">
      <c r="A536" s="78"/>
      <c r="B536" s="78"/>
      <c r="C536" s="78"/>
      <c r="D536" s="78"/>
      <c r="E536" s="78"/>
      <c r="F536" s="78"/>
      <c r="G536" s="17" t="s">
        <v>1229</v>
      </c>
    </row>
    <row r="537" spans="1:25" ht="12.6" customHeight="1" x14ac:dyDescent="0.3">
      <c r="A537" s="68"/>
      <c r="B537" s="77" t="s">
        <v>1489</v>
      </c>
      <c r="C537" s="78"/>
      <c r="D537" s="78"/>
      <c r="E537" s="78"/>
      <c r="F537" s="78"/>
      <c r="G537" s="17" t="s">
        <v>1488</v>
      </c>
    </row>
    <row r="538" spans="1:25" ht="12.6" customHeight="1" x14ac:dyDescent="0.3">
      <c r="A538" s="78"/>
      <c r="B538" s="78"/>
      <c r="C538" s="78"/>
      <c r="D538" s="78"/>
      <c r="E538" s="78"/>
      <c r="F538" s="78"/>
      <c r="G538" s="17" t="s">
        <v>1229</v>
      </c>
    </row>
    <row r="539" spans="1:25" ht="12.6" customHeight="1" x14ac:dyDescent="0.3">
      <c r="A539" s="68"/>
      <c r="B539" s="77" t="s">
        <v>1491</v>
      </c>
      <c r="C539" s="78"/>
      <c r="D539" s="78"/>
      <c r="E539" s="78"/>
      <c r="F539" s="78"/>
      <c r="G539" s="17" t="s">
        <v>1490</v>
      </c>
    </row>
    <row r="540" spans="1:25" ht="12.6" customHeight="1" x14ac:dyDescent="0.3">
      <c r="A540" s="78"/>
      <c r="B540" s="78"/>
      <c r="C540" s="78"/>
      <c r="D540" s="78"/>
      <c r="E540" s="78"/>
      <c r="F540" s="78"/>
      <c r="G540" s="17" t="s">
        <v>1229</v>
      </c>
    </row>
    <row r="541" spans="1:25" ht="12.6" customHeight="1" x14ac:dyDescent="0.3">
      <c r="A541" s="68" t="s">
        <v>1493</v>
      </c>
      <c r="B541" s="102" t="str">
        <f>"  "&amp;TEXT(I541,"#,##0"&amp;IF(I541&lt;&gt;INT(I541),".###",""))&amp;" * 4.0 인  / Q = "&amp;TEXT(C541,"#,##0.0")&amp;"  원/m2 "</f>
        <v xml:space="preserve">  272,831 * 4.0 인  / Q = 27,283.1  원/m2 </v>
      </c>
      <c r="C541" s="104">
        <f>E541+D541+F541</f>
        <v>27283.1</v>
      </c>
      <c r="D541" s="104">
        <f>IF(H541=0,0,ROUNDDOWN(J541*H541,1))</f>
        <v>27283.1</v>
      </c>
      <c r="E541" s="104">
        <f>IF(H541=0,0,ROUNDDOWN(K541*H541,1))</f>
        <v>0</v>
      </c>
      <c r="F541" s="104">
        <f>IF(H541=0,0,ROUNDDOWN(L541*H541,1))</f>
        <v>0</v>
      </c>
      <c r="G541" s="17" t="s">
        <v>1492</v>
      </c>
      <c r="H541" s="109">
        <v>0.1000000000001</v>
      </c>
      <c r="I541" s="110">
        <f>K541+J541+L541</f>
        <v>272831</v>
      </c>
      <c r="J541" s="39">
        <f>노무비목록표!E4</f>
        <v>272831</v>
      </c>
      <c r="M541" s="35" t="s">
        <v>1035</v>
      </c>
      <c r="N541" s="35" t="s">
        <v>1247</v>
      </c>
      <c r="O541" s="35" t="s">
        <v>996</v>
      </c>
      <c r="X541" s="111" t="str">
        <f>노무비목록표!B4&amp;" / "&amp;노무비목록표!C4</f>
        <v xml:space="preserve">형틀목공 / </v>
      </c>
      <c r="Y541" s="3" t="str">
        <f ca="1">HYPERLINK("#"&amp;노무비목록표!G2&amp;"!A"&amp;ROW(노무비목록표!A4),"L00002 →")</f>
        <v>L00002 →</v>
      </c>
    </row>
    <row r="542" spans="1:25" ht="12.6" customHeight="1" x14ac:dyDescent="0.3">
      <c r="A542" s="78"/>
      <c r="B542" s="78"/>
      <c r="C542" s="78"/>
      <c r="D542" s="78"/>
      <c r="E542" s="78"/>
      <c r="F542" s="78"/>
      <c r="G542" s="17" t="s">
        <v>1229</v>
      </c>
    </row>
    <row r="543" spans="1:25" ht="12.6" customHeight="1" x14ac:dyDescent="0.3">
      <c r="A543" s="68"/>
      <c r="B543" s="77" t="s">
        <v>1467</v>
      </c>
      <c r="C543" s="78"/>
      <c r="D543" s="78"/>
      <c r="E543" s="78"/>
      <c r="F543" s="78"/>
      <c r="G543" s="17" t="s">
        <v>1466</v>
      </c>
    </row>
    <row r="544" spans="1:25" ht="12.6" customHeight="1" x14ac:dyDescent="0.3">
      <c r="A544" s="78"/>
      <c r="B544" s="78"/>
      <c r="C544" s="78"/>
      <c r="D544" s="78"/>
      <c r="E544" s="78"/>
      <c r="F544" s="78"/>
      <c r="G544" s="17" t="s">
        <v>1229</v>
      </c>
    </row>
    <row r="545" spans="1:25" ht="12.6" customHeight="1" x14ac:dyDescent="0.3">
      <c r="A545" s="68" t="s">
        <v>1469</v>
      </c>
      <c r="B545" s="102" t="str">
        <f>"   "&amp;TEXT(I545,"#,##0"&amp;IF(I545&lt;&gt;INT(I545),".###",""))&amp;" * 1.0 인  / Q = "&amp;TEXT(C545,"#,##0.0")&amp;"  원/m2 "</f>
        <v xml:space="preserve">   169,804 * 1.0 인  / Q = 4,245.1  원/m2 </v>
      </c>
      <c r="C545" s="104">
        <f>E545+D545+F545</f>
        <v>4245.1000000000004</v>
      </c>
      <c r="D545" s="104">
        <f>IF(H545=0,0,ROUNDDOWN(J545*H545,1))</f>
        <v>4245.1000000000004</v>
      </c>
      <c r="E545" s="104">
        <f>IF(H545=0,0,ROUNDDOWN(K545*H545,1))</f>
        <v>0</v>
      </c>
      <c r="F545" s="104">
        <f>IF(H545=0,0,ROUNDDOWN(L545*H545,1))</f>
        <v>0</v>
      </c>
      <c r="G545" s="17" t="s">
        <v>1494</v>
      </c>
      <c r="H545" s="109">
        <v>2.5000000000100001E-2</v>
      </c>
      <c r="I545" s="110">
        <f>K545+J545+L545</f>
        <v>169804</v>
      </c>
      <c r="J545" s="39">
        <f>노무비목록표!E11</f>
        <v>169804</v>
      </c>
      <c r="M545" s="35" t="s">
        <v>1018</v>
      </c>
      <c r="N545" s="35" t="s">
        <v>1247</v>
      </c>
      <c r="O545" s="35" t="s">
        <v>996</v>
      </c>
      <c r="X545" s="111" t="str">
        <f>노무비목록표!B11&amp;" / "&amp;노무비목록표!C11</f>
        <v xml:space="preserve">보통인부 / </v>
      </c>
      <c r="Y545" s="3" t="str">
        <f ca="1">HYPERLINK("#"&amp;노무비목록표!G2&amp;"!A"&amp;ROW(노무비목록표!A11),"L00016 →")</f>
        <v>L00016 →</v>
      </c>
    </row>
    <row r="546" spans="1:25" ht="12.6" customHeight="1" x14ac:dyDescent="0.3">
      <c r="A546" s="78"/>
      <c r="B546" s="78"/>
      <c r="C546" s="78"/>
      <c r="D546" s="78"/>
      <c r="E546" s="78"/>
      <c r="F546" s="78"/>
      <c r="G546" s="17" t="s">
        <v>1229</v>
      </c>
    </row>
    <row r="547" spans="1:25" ht="12.6" customHeight="1" x14ac:dyDescent="0.3">
      <c r="A547" s="68"/>
      <c r="B547" s="77" t="s">
        <v>1246</v>
      </c>
      <c r="C547" s="105">
        <f>E547+D547+F547</f>
        <v>31528.199999999997</v>
      </c>
      <c r="D547" s="105">
        <f>SUMIF(N532:N546,M547,D532:D546)</f>
        <v>31528.199999999997</v>
      </c>
      <c r="E547" s="105">
        <f>SUMIF(N532:N546,M547,E532:E546)</f>
        <v>0</v>
      </c>
      <c r="F547" s="105">
        <f>SUMIF(N532:N546,M547,F532:F546)</f>
        <v>0</v>
      </c>
      <c r="G547" s="17" t="s">
        <v>1245</v>
      </c>
      <c r="M547" s="35" t="s">
        <v>1247</v>
      </c>
      <c r="N547" s="35" t="s">
        <v>1348</v>
      </c>
    </row>
    <row r="548" spans="1:25" ht="12.6" customHeight="1" x14ac:dyDescent="0.3">
      <c r="A548" s="78"/>
      <c r="B548" s="78"/>
      <c r="C548" s="103"/>
      <c r="D548" s="103"/>
      <c r="E548" s="103"/>
      <c r="F548" s="103"/>
      <c r="G548" s="17" t="s">
        <v>1229</v>
      </c>
    </row>
    <row r="549" spans="1:25" ht="12.6" customHeight="1" x14ac:dyDescent="0.3">
      <c r="A549" s="68"/>
      <c r="B549" s="77" t="s">
        <v>1478</v>
      </c>
      <c r="C549" s="78"/>
      <c r="D549" s="78"/>
      <c r="E549" s="78"/>
      <c r="F549" s="78"/>
      <c r="G549" s="17" t="s">
        <v>1477</v>
      </c>
    </row>
    <row r="550" spans="1:25" ht="12.6" customHeight="1" x14ac:dyDescent="0.3">
      <c r="A550" s="78"/>
      <c r="B550" s="78"/>
      <c r="C550" s="78"/>
      <c r="D550" s="78"/>
      <c r="E550" s="78"/>
      <c r="F550" s="78"/>
      <c r="G550" s="17" t="s">
        <v>1229</v>
      </c>
    </row>
    <row r="551" spans="1:25" ht="12.6" customHeight="1" x14ac:dyDescent="0.3">
      <c r="A551" s="68"/>
      <c r="B551" s="102" t="str">
        <f>"  공구손료 :  "&amp;TEXT(I551,"#,##0.0")&amp;" * 3 % = "&amp;TEXT(C551,"#,##0.0")&amp;""</f>
        <v xml:space="preserve">  공구손료 :  31,528.2 * 3 % = 945.8</v>
      </c>
      <c r="C551" s="104">
        <f>E551+D551+F551</f>
        <v>945.8</v>
      </c>
      <c r="D551" s="104">
        <f>IF(H551=0,0,ROUNDDOWN(J551*H551/100,1))</f>
        <v>0</v>
      </c>
      <c r="E551" s="104">
        <f>IF(H551=0,0,ROUNDDOWN(K551*H551/100,1))</f>
        <v>0</v>
      </c>
      <c r="F551" s="104">
        <f>IF(H551=0,0,ROUNDDOWN(L551*H551/100,1))</f>
        <v>945.8</v>
      </c>
      <c r="G551" s="17" t="s">
        <v>1495</v>
      </c>
      <c r="H551" s="109">
        <v>3</v>
      </c>
      <c r="I551" s="110">
        <f>K551+J551+L551</f>
        <v>31528.199999999997</v>
      </c>
      <c r="J551" s="36">
        <v>0</v>
      </c>
      <c r="K551" s="36">
        <v>0</v>
      </c>
      <c r="L551" s="39">
        <f>C541+C545</f>
        <v>31528.199999999997</v>
      </c>
      <c r="M551" s="35" t="s">
        <v>1480</v>
      </c>
      <c r="N551" s="35" t="s">
        <v>1247</v>
      </c>
    </row>
    <row r="552" spans="1:25" ht="12.6" customHeight="1" x14ac:dyDescent="0.3">
      <c r="A552" s="78"/>
      <c r="B552" s="78"/>
      <c r="C552" s="78"/>
      <c r="D552" s="78"/>
      <c r="E552" s="78"/>
      <c r="F552" s="78"/>
      <c r="G552" s="17" t="s">
        <v>1496</v>
      </c>
    </row>
    <row r="553" spans="1:25" ht="12.6" customHeight="1" x14ac:dyDescent="0.3">
      <c r="A553" s="68"/>
      <c r="B553" s="77" t="s">
        <v>1246</v>
      </c>
      <c r="C553" s="105">
        <f>E553+D553+F553</f>
        <v>945.8</v>
      </c>
      <c r="D553" s="105">
        <f>SUMIF(N548:N552,M553,D548:D552)</f>
        <v>0</v>
      </c>
      <c r="E553" s="105">
        <f>SUMIF(N548:N552,M553,E548:E552)</f>
        <v>0</v>
      </c>
      <c r="F553" s="105">
        <f>SUMIF(N548:N552,M553,F548:F552)</f>
        <v>945.8</v>
      </c>
      <c r="G553" s="17" t="s">
        <v>1497</v>
      </c>
      <c r="M553" s="35" t="s">
        <v>1247</v>
      </c>
      <c r="N553" s="35" t="s">
        <v>1348</v>
      </c>
    </row>
    <row r="554" spans="1:25" ht="12.6" customHeight="1" x14ac:dyDescent="0.3">
      <c r="A554" s="78"/>
      <c r="B554" s="78"/>
      <c r="C554" s="103"/>
      <c r="D554" s="103"/>
      <c r="E554" s="103"/>
      <c r="F554" s="103"/>
      <c r="G554" s="17" t="s">
        <v>1496</v>
      </c>
    </row>
    <row r="555" spans="1:25" ht="12.6" customHeight="1" x14ac:dyDescent="0.3">
      <c r="A555" s="68"/>
      <c r="B555" s="77" t="s">
        <v>1101</v>
      </c>
      <c r="C555" s="105">
        <f>E555+D555+F555</f>
        <v>32473.999999999996</v>
      </c>
      <c r="D555" s="105">
        <f>SUMIF(N532:N554,M555,D532:D554)</f>
        <v>31528.199999999997</v>
      </c>
      <c r="E555" s="105">
        <f>SUMIF(N532:N554,M555,E532:E554)</f>
        <v>0</v>
      </c>
      <c r="F555" s="105">
        <f>SUMIF(N532:N554,M555,F532:F554)</f>
        <v>945.8</v>
      </c>
      <c r="G555" s="17" t="s">
        <v>1498</v>
      </c>
      <c r="M555" s="35" t="s">
        <v>1348</v>
      </c>
      <c r="N555" s="35" t="s">
        <v>1011</v>
      </c>
    </row>
    <row r="556" spans="1:25" ht="12.6" customHeight="1" x14ac:dyDescent="0.3">
      <c r="A556" s="78"/>
      <c r="B556" s="78"/>
      <c r="C556" s="103"/>
      <c r="D556" s="103"/>
      <c r="E556" s="103"/>
      <c r="F556" s="103"/>
    </row>
    <row r="557" spans="1:25" ht="12.6" customHeight="1" x14ac:dyDescent="0.3">
      <c r="A557" s="78"/>
      <c r="B557" s="78"/>
      <c r="C557" s="78"/>
      <c r="D557" s="78"/>
      <c r="E557" s="78"/>
      <c r="F557" s="78"/>
    </row>
    <row r="558" spans="1:25" ht="12.6" customHeight="1" x14ac:dyDescent="0.3">
      <c r="A558" s="78"/>
      <c r="B558" s="78"/>
      <c r="C558" s="78"/>
      <c r="D558" s="78"/>
      <c r="E558" s="78"/>
      <c r="F558" s="78"/>
    </row>
    <row r="559" spans="1:25" ht="12.6" customHeight="1" x14ac:dyDescent="0.3">
      <c r="A559" s="78"/>
      <c r="B559" s="78"/>
      <c r="C559" s="78"/>
      <c r="D559" s="78"/>
      <c r="E559" s="78"/>
      <c r="F559" s="78"/>
    </row>
    <row r="560" spans="1:25" ht="12.6" customHeight="1" x14ac:dyDescent="0.3">
      <c r="A560" s="78"/>
      <c r="B560" s="78"/>
      <c r="C560" s="78"/>
      <c r="D560" s="78"/>
      <c r="E560" s="78"/>
      <c r="F560" s="78"/>
    </row>
    <row r="561" spans="1:25" ht="12.6" customHeight="1" x14ac:dyDescent="0.3">
      <c r="A561" s="78"/>
      <c r="B561" s="78"/>
      <c r="C561" s="78"/>
      <c r="D561" s="78"/>
      <c r="E561" s="78"/>
      <c r="F561" s="78"/>
    </row>
    <row r="562" spans="1:25" ht="12.6" customHeight="1" x14ac:dyDescent="0.3">
      <c r="A562" s="78"/>
      <c r="B562" s="78"/>
      <c r="C562" s="78"/>
      <c r="D562" s="78"/>
      <c r="E562" s="78"/>
      <c r="F562" s="78"/>
    </row>
    <row r="563" spans="1:25" ht="12.6" customHeight="1" x14ac:dyDescent="0.3">
      <c r="A563" s="56"/>
      <c r="B563" s="56"/>
      <c r="C563" s="56"/>
      <c r="D563" s="56"/>
      <c r="E563" s="56"/>
      <c r="F563" s="56"/>
    </row>
    <row r="564" spans="1:25" ht="12.6" customHeight="1" x14ac:dyDescent="0.3">
      <c r="A564" s="143" t="s">
        <v>1248</v>
      </c>
      <c r="B564" s="144"/>
      <c r="C564" s="54">
        <f>E564+D564+F564</f>
        <v>32473</v>
      </c>
      <c r="D564" s="52">
        <f>ROUNDDOWN(SUMIF(N532:N555,M564,D532:D555),0)</f>
        <v>31528</v>
      </c>
      <c r="E564" s="64">
        <f>ROUNDDOWN(SUMIF(N532:N555,M564,E532:E555),0)</f>
        <v>0</v>
      </c>
      <c r="F564" s="54">
        <f>ROUNDDOWN(SUMIF(N532:N555,M564,F532:F555),0)</f>
        <v>945</v>
      </c>
      <c r="M564" s="35" t="s">
        <v>1011</v>
      </c>
    </row>
    <row r="565" spans="1:25" ht="12.6" customHeight="1" x14ac:dyDescent="0.3">
      <c r="A565" s="100" t="s">
        <v>177</v>
      </c>
      <c r="B565" s="101" t="s">
        <v>71</v>
      </c>
      <c r="C565" s="150">
        <f>C599</f>
        <v>37112</v>
      </c>
      <c r="D565" s="150">
        <f>D599</f>
        <v>36032</v>
      </c>
      <c r="E565" s="150">
        <f>E599</f>
        <v>0</v>
      </c>
      <c r="F565" s="150">
        <f>F599</f>
        <v>1080</v>
      </c>
      <c r="G565" s="97" t="str">
        <f>HYPERLINK("#G"&amp;ROW(G590),"_x0005_`BDCOD|D01352_x0007_`POSS|"&amp;ROW(G567)&amp;"_x0007_`POSE|"&amp;ROW(G590)&amp;"_x0007_`")</f>
        <v>_x0005_`BDCOD|D01352_x0007_`POSS|567_x0007_`POSE|590_x0007_`</v>
      </c>
    </row>
    <row r="566" spans="1:25" ht="12.6" customHeight="1" x14ac:dyDescent="0.3">
      <c r="A566" s="83"/>
      <c r="B566" s="101" t="s">
        <v>176</v>
      </c>
      <c r="C566" s="139"/>
      <c r="D566" s="139"/>
      <c r="E566" s="139"/>
      <c r="F566" s="139"/>
      <c r="M566" s="35" t="s">
        <v>177</v>
      </c>
    </row>
    <row r="567" spans="1:25" ht="12.6" customHeight="1" x14ac:dyDescent="0.3">
      <c r="A567" s="78"/>
      <c r="B567" s="78"/>
      <c r="C567" s="103"/>
      <c r="D567" s="103"/>
      <c r="E567" s="103"/>
      <c r="F567" s="103"/>
      <c r="G567" s="17" t="s">
        <v>1229</v>
      </c>
    </row>
    <row r="568" spans="1:25" ht="12.6" customHeight="1" x14ac:dyDescent="0.3">
      <c r="A568" s="68"/>
      <c r="B568" s="77" t="s">
        <v>1485</v>
      </c>
      <c r="C568" s="78"/>
      <c r="D568" s="78"/>
      <c r="E568" s="78"/>
      <c r="F568" s="78"/>
      <c r="G568" s="17" t="s">
        <v>1484</v>
      </c>
    </row>
    <row r="569" spans="1:25" ht="12.6" customHeight="1" x14ac:dyDescent="0.3">
      <c r="A569" s="78"/>
      <c r="B569" s="78"/>
      <c r="C569" s="78"/>
      <c r="D569" s="78"/>
      <c r="E569" s="78"/>
      <c r="F569" s="78"/>
      <c r="G569" s="17" t="s">
        <v>1229</v>
      </c>
    </row>
    <row r="570" spans="1:25" ht="12.6" customHeight="1" x14ac:dyDescent="0.3">
      <c r="A570" s="68"/>
      <c r="B570" s="77" t="s">
        <v>1500</v>
      </c>
      <c r="C570" s="78"/>
      <c r="D570" s="78"/>
      <c r="E570" s="78"/>
      <c r="F570" s="78"/>
      <c r="G570" s="17" t="s">
        <v>1499</v>
      </c>
    </row>
    <row r="571" spans="1:25" ht="12.6" customHeight="1" x14ac:dyDescent="0.3">
      <c r="A571" s="78"/>
      <c r="B571" s="78"/>
      <c r="C571" s="78"/>
      <c r="D571" s="78"/>
      <c r="E571" s="78"/>
      <c r="F571" s="78"/>
      <c r="G571" s="17" t="s">
        <v>1229</v>
      </c>
    </row>
    <row r="572" spans="1:25" ht="12.6" customHeight="1" x14ac:dyDescent="0.3">
      <c r="A572" s="68"/>
      <c r="B572" s="77" t="s">
        <v>1489</v>
      </c>
      <c r="C572" s="78"/>
      <c r="D572" s="78"/>
      <c r="E572" s="78"/>
      <c r="F572" s="78"/>
      <c r="G572" s="17" t="s">
        <v>1488</v>
      </c>
    </row>
    <row r="573" spans="1:25" ht="12.6" customHeight="1" x14ac:dyDescent="0.3">
      <c r="A573" s="78"/>
      <c r="B573" s="78"/>
      <c r="C573" s="78"/>
      <c r="D573" s="78"/>
      <c r="E573" s="78"/>
      <c r="F573" s="78"/>
      <c r="G573" s="17" t="s">
        <v>1229</v>
      </c>
    </row>
    <row r="574" spans="1:25" ht="12.6" customHeight="1" x14ac:dyDescent="0.3">
      <c r="A574" s="68"/>
      <c r="B574" s="77" t="s">
        <v>1491</v>
      </c>
      <c r="C574" s="78"/>
      <c r="D574" s="78"/>
      <c r="E574" s="78"/>
      <c r="F574" s="78"/>
      <c r="G574" s="17" t="s">
        <v>1490</v>
      </c>
    </row>
    <row r="575" spans="1:25" ht="12.6" customHeight="1" x14ac:dyDescent="0.3">
      <c r="A575" s="78"/>
      <c r="B575" s="78"/>
      <c r="C575" s="78"/>
      <c r="D575" s="78"/>
      <c r="E575" s="78"/>
      <c r="F575" s="78"/>
      <c r="G575" s="17" t="s">
        <v>1229</v>
      </c>
    </row>
    <row r="576" spans="1:25" ht="12.6" customHeight="1" x14ac:dyDescent="0.3">
      <c r="A576" s="68" t="s">
        <v>1493</v>
      </c>
      <c r="B576" s="102" t="str">
        <f>"  "&amp;TEXT(I576,"#,##0"&amp;IF(I576&lt;&gt;INT(I576),".###",""))&amp;" * 4.0 인  / Q = "&amp;TEXT(C576,"#,##0.0")&amp;"  원/m2 "</f>
        <v xml:space="preserve">  272,831 * 4.0 인  / Q = 31,180.6  원/m2 </v>
      </c>
      <c r="C576" s="104">
        <f>E576+D576+F576</f>
        <v>31180.6</v>
      </c>
      <c r="D576" s="104">
        <f>IF(H576=0,0,ROUNDDOWN(J576*H576,1))</f>
        <v>31180.6</v>
      </c>
      <c r="E576" s="104">
        <f>IF(H576=0,0,ROUNDDOWN(K576*H576,1))</f>
        <v>0</v>
      </c>
      <c r="F576" s="104">
        <f>IF(H576=0,0,ROUNDDOWN(L576*H576,1))</f>
        <v>0</v>
      </c>
      <c r="G576" s="17" t="s">
        <v>1492</v>
      </c>
      <c r="H576" s="109">
        <v>0.11428571428589999</v>
      </c>
      <c r="I576" s="110">
        <f>K576+J576+L576</f>
        <v>272831</v>
      </c>
      <c r="J576" s="39">
        <f>노무비목록표!E4</f>
        <v>272831</v>
      </c>
      <c r="M576" s="35" t="s">
        <v>1035</v>
      </c>
      <c r="N576" s="35" t="s">
        <v>1247</v>
      </c>
      <c r="O576" s="35" t="s">
        <v>996</v>
      </c>
      <c r="X576" s="111" t="str">
        <f>노무비목록표!B4&amp;" / "&amp;노무비목록표!C4</f>
        <v xml:space="preserve">형틀목공 / </v>
      </c>
      <c r="Y576" s="3" t="str">
        <f ca="1">HYPERLINK("#"&amp;노무비목록표!G2&amp;"!A"&amp;ROW(노무비목록표!A4),"L00002 →")</f>
        <v>L00002 →</v>
      </c>
    </row>
    <row r="577" spans="1:25" ht="12.6" customHeight="1" x14ac:dyDescent="0.3">
      <c r="A577" s="78"/>
      <c r="B577" s="78"/>
      <c r="C577" s="78"/>
      <c r="D577" s="78"/>
      <c r="E577" s="78"/>
      <c r="F577" s="78"/>
      <c r="G577" s="17" t="s">
        <v>1229</v>
      </c>
    </row>
    <row r="578" spans="1:25" ht="12.6" customHeight="1" x14ac:dyDescent="0.3">
      <c r="A578" s="68"/>
      <c r="B578" s="77" t="s">
        <v>1467</v>
      </c>
      <c r="C578" s="78"/>
      <c r="D578" s="78"/>
      <c r="E578" s="78"/>
      <c r="F578" s="78"/>
      <c r="G578" s="17" t="s">
        <v>1466</v>
      </c>
    </row>
    <row r="579" spans="1:25" ht="12.6" customHeight="1" x14ac:dyDescent="0.3">
      <c r="A579" s="78"/>
      <c r="B579" s="78"/>
      <c r="C579" s="78"/>
      <c r="D579" s="78"/>
      <c r="E579" s="78"/>
      <c r="F579" s="78"/>
      <c r="G579" s="17" t="s">
        <v>1229</v>
      </c>
    </row>
    <row r="580" spans="1:25" ht="12.6" customHeight="1" x14ac:dyDescent="0.3">
      <c r="A580" s="68" t="s">
        <v>1469</v>
      </c>
      <c r="B580" s="102" t="str">
        <f>"   "&amp;TEXT(I580,"#,##0"&amp;IF(I580&lt;&gt;INT(I580),".###",""))&amp;" * 1.0 인  / Q = "&amp;TEXT(C580,"#,##0.0")&amp;"  원/m2 "</f>
        <v xml:space="preserve">   169,804 * 1.0 인  / Q = 4,851.5  원/m2 </v>
      </c>
      <c r="C580" s="104">
        <f>E580+D580+F580</f>
        <v>4851.5</v>
      </c>
      <c r="D580" s="104">
        <f>IF(H580=0,0,ROUNDDOWN(J580*H580,1))</f>
        <v>4851.5</v>
      </c>
      <c r="E580" s="104">
        <f>IF(H580=0,0,ROUNDDOWN(K580*H580,1))</f>
        <v>0</v>
      </c>
      <c r="F580" s="104">
        <f>IF(H580=0,0,ROUNDDOWN(L580*H580,1))</f>
        <v>0</v>
      </c>
      <c r="G580" s="17" t="s">
        <v>1494</v>
      </c>
      <c r="H580" s="109">
        <v>2.8571428571599999E-2</v>
      </c>
      <c r="I580" s="110">
        <f>K580+J580+L580</f>
        <v>169804</v>
      </c>
      <c r="J580" s="39">
        <f>노무비목록표!E11</f>
        <v>169804</v>
      </c>
      <c r="M580" s="35" t="s">
        <v>1018</v>
      </c>
      <c r="N580" s="35" t="s">
        <v>1247</v>
      </c>
      <c r="O580" s="35" t="s">
        <v>996</v>
      </c>
      <c r="X580" s="111" t="str">
        <f>노무비목록표!B11&amp;" / "&amp;노무비목록표!C11</f>
        <v xml:space="preserve">보통인부 / </v>
      </c>
      <c r="Y580" s="3" t="str">
        <f ca="1">HYPERLINK("#"&amp;노무비목록표!G2&amp;"!A"&amp;ROW(노무비목록표!A11),"L00016 →")</f>
        <v>L00016 →</v>
      </c>
    </row>
    <row r="581" spans="1:25" ht="12.6" customHeight="1" x14ac:dyDescent="0.3">
      <c r="A581" s="78"/>
      <c r="B581" s="78"/>
      <c r="C581" s="78"/>
      <c r="D581" s="78"/>
      <c r="E581" s="78"/>
      <c r="F581" s="78"/>
      <c r="G581" s="17" t="s">
        <v>1229</v>
      </c>
    </row>
    <row r="582" spans="1:25" ht="12.6" customHeight="1" x14ac:dyDescent="0.3">
      <c r="A582" s="68"/>
      <c r="B582" s="77" t="s">
        <v>1246</v>
      </c>
      <c r="C582" s="105">
        <f>E582+D582+F582</f>
        <v>36032.1</v>
      </c>
      <c r="D582" s="105">
        <f>SUMIF(N567:N581,M582,D567:D581)</f>
        <v>36032.1</v>
      </c>
      <c r="E582" s="105">
        <f>SUMIF(N567:N581,M582,E567:E581)</f>
        <v>0</v>
      </c>
      <c r="F582" s="105">
        <f>SUMIF(N567:N581,M582,F567:F581)</f>
        <v>0</v>
      </c>
      <c r="G582" s="17" t="s">
        <v>1245</v>
      </c>
      <c r="M582" s="35" t="s">
        <v>1247</v>
      </c>
      <c r="N582" s="35" t="s">
        <v>1348</v>
      </c>
    </row>
    <row r="583" spans="1:25" ht="12.6" customHeight="1" x14ac:dyDescent="0.3">
      <c r="A583" s="78"/>
      <c r="B583" s="78"/>
      <c r="C583" s="103"/>
      <c r="D583" s="103"/>
      <c r="E583" s="103"/>
      <c r="F583" s="103"/>
      <c r="G583" s="17" t="s">
        <v>1229</v>
      </c>
    </row>
    <row r="584" spans="1:25" ht="12.6" customHeight="1" x14ac:dyDescent="0.3">
      <c r="A584" s="68"/>
      <c r="B584" s="77" t="s">
        <v>1478</v>
      </c>
      <c r="C584" s="78"/>
      <c r="D584" s="78"/>
      <c r="E584" s="78"/>
      <c r="F584" s="78"/>
      <c r="G584" s="17" t="s">
        <v>1477</v>
      </c>
    </row>
    <row r="585" spans="1:25" ht="12.6" customHeight="1" x14ac:dyDescent="0.3">
      <c r="A585" s="78"/>
      <c r="B585" s="78"/>
      <c r="C585" s="78"/>
      <c r="D585" s="78"/>
      <c r="E585" s="78"/>
      <c r="F585" s="78"/>
      <c r="G585" s="17" t="s">
        <v>1229</v>
      </c>
    </row>
    <row r="586" spans="1:25" ht="12.6" customHeight="1" x14ac:dyDescent="0.3">
      <c r="A586" s="68"/>
      <c r="B586" s="102" t="str">
        <f>"  공구손료 :  "&amp;TEXT(I586,"#,##0.0")&amp;" * 3 % = "&amp;TEXT(C586,"#,##0.0")&amp;""</f>
        <v xml:space="preserve">  공구손료 :  36,032.1 * 3 % = 1,080.9</v>
      </c>
      <c r="C586" s="104">
        <f>E586+D586+F586</f>
        <v>1080.9000000000001</v>
      </c>
      <c r="D586" s="104">
        <f>IF(H586=0,0,ROUNDDOWN(J586*H586/100,1))</f>
        <v>0</v>
      </c>
      <c r="E586" s="104">
        <f>IF(H586=0,0,ROUNDDOWN(K586*H586/100,1))</f>
        <v>0</v>
      </c>
      <c r="F586" s="104">
        <f>IF(H586=0,0,ROUNDDOWN(L586*H586/100,1))</f>
        <v>1080.9000000000001</v>
      </c>
      <c r="G586" s="17" t="s">
        <v>1495</v>
      </c>
      <c r="H586" s="109">
        <v>3</v>
      </c>
      <c r="I586" s="110">
        <f>K586+J586+L586</f>
        <v>36032.1</v>
      </c>
      <c r="J586" s="36">
        <v>0</v>
      </c>
      <c r="K586" s="36">
        <v>0</v>
      </c>
      <c r="L586" s="39">
        <f>C576+C580</f>
        <v>36032.1</v>
      </c>
      <c r="M586" s="35" t="s">
        <v>1480</v>
      </c>
      <c r="N586" s="35" t="s">
        <v>1247</v>
      </c>
    </row>
    <row r="587" spans="1:25" ht="12.6" customHeight="1" x14ac:dyDescent="0.3">
      <c r="A587" s="78"/>
      <c r="B587" s="78"/>
      <c r="C587" s="78"/>
      <c r="D587" s="78"/>
      <c r="E587" s="78"/>
      <c r="F587" s="78"/>
      <c r="G587" s="17" t="s">
        <v>1496</v>
      </c>
    </row>
    <row r="588" spans="1:25" ht="12.6" customHeight="1" x14ac:dyDescent="0.3">
      <c r="A588" s="68"/>
      <c r="B588" s="77" t="s">
        <v>1246</v>
      </c>
      <c r="C588" s="105">
        <f>E588+D588+F588</f>
        <v>1080.9000000000001</v>
      </c>
      <c r="D588" s="105">
        <f>SUMIF(N583:N587,M588,D583:D587)</f>
        <v>0</v>
      </c>
      <c r="E588" s="105">
        <f>SUMIF(N583:N587,M588,E583:E587)</f>
        <v>0</v>
      </c>
      <c r="F588" s="105">
        <f>SUMIF(N583:N587,M588,F583:F587)</f>
        <v>1080.9000000000001</v>
      </c>
      <c r="G588" s="17" t="s">
        <v>1497</v>
      </c>
      <c r="M588" s="35" t="s">
        <v>1247</v>
      </c>
      <c r="N588" s="35" t="s">
        <v>1348</v>
      </c>
    </row>
    <row r="589" spans="1:25" ht="12.6" customHeight="1" x14ac:dyDescent="0.3">
      <c r="A589" s="78"/>
      <c r="B589" s="78"/>
      <c r="C589" s="103"/>
      <c r="D589" s="103"/>
      <c r="E589" s="103"/>
      <c r="F589" s="103"/>
      <c r="G589" s="17" t="s">
        <v>1496</v>
      </c>
    </row>
    <row r="590" spans="1:25" ht="12.6" customHeight="1" x14ac:dyDescent="0.3">
      <c r="A590" s="68"/>
      <c r="B590" s="77" t="s">
        <v>1101</v>
      </c>
      <c r="C590" s="105">
        <f>E590+D590+F590</f>
        <v>37113</v>
      </c>
      <c r="D590" s="105">
        <f>SUMIF(N567:N589,M590,D567:D589)</f>
        <v>36032.1</v>
      </c>
      <c r="E590" s="105">
        <f>SUMIF(N567:N589,M590,E567:E589)</f>
        <v>0</v>
      </c>
      <c r="F590" s="105">
        <f>SUMIF(N567:N589,M590,F567:F589)</f>
        <v>1080.9000000000001</v>
      </c>
      <c r="G590" s="17" t="s">
        <v>1498</v>
      </c>
      <c r="M590" s="35" t="s">
        <v>1348</v>
      </c>
      <c r="N590" s="35" t="s">
        <v>1011</v>
      </c>
    </row>
    <row r="591" spans="1:25" ht="12.6" customHeight="1" x14ac:dyDescent="0.3">
      <c r="A591" s="78"/>
      <c r="B591" s="78"/>
      <c r="C591" s="103"/>
      <c r="D591" s="103"/>
      <c r="E591" s="103"/>
      <c r="F591" s="103"/>
    </row>
    <row r="592" spans="1:25" ht="12.6" customHeight="1" x14ac:dyDescent="0.3">
      <c r="A592" s="78"/>
      <c r="B592" s="78"/>
      <c r="C592" s="78"/>
      <c r="D592" s="78"/>
      <c r="E592" s="78"/>
      <c r="F592" s="78"/>
    </row>
    <row r="593" spans="1:13" ht="12.6" customHeight="1" x14ac:dyDescent="0.3">
      <c r="A593" s="78"/>
      <c r="B593" s="78"/>
      <c r="C593" s="78"/>
      <c r="D593" s="78"/>
      <c r="E593" s="78"/>
      <c r="F593" s="78"/>
    </row>
    <row r="594" spans="1:13" ht="12.6" customHeight="1" x14ac:dyDescent="0.3">
      <c r="A594" s="78"/>
      <c r="B594" s="78"/>
      <c r="C594" s="78"/>
      <c r="D594" s="78"/>
      <c r="E594" s="78"/>
      <c r="F594" s="78"/>
    </row>
    <row r="595" spans="1:13" ht="12.6" customHeight="1" x14ac:dyDescent="0.3">
      <c r="A595" s="78"/>
      <c r="B595" s="78"/>
      <c r="C595" s="78"/>
      <c r="D595" s="78"/>
      <c r="E595" s="78"/>
      <c r="F595" s="78"/>
    </row>
    <row r="596" spans="1:13" ht="12.6" customHeight="1" x14ac:dyDescent="0.3">
      <c r="A596" s="78"/>
      <c r="B596" s="78"/>
      <c r="C596" s="78"/>
      <c r="D596" s="78"/>
      <c r="E596" s="78"/>
      <c r="F596" s="78"/>
    </row>
    <row r="597" spans="1:13" ht="12.6" customHeight="1" x14ac:dyDescent="0.3">
      <c r="A597" s="78"/>
      <c r="B597" s="78"/>
      <c r="C597" s="78"/>
      <c r="D597" s="78"/>
      <c r="E597" s="78"/>
      <c r="F597" s="78"/>
    </row>
    <row r="598" spans="1:13" ht="12.6" customHeight="1" x14ac:dyDescent="0.3">
      <c r="A598" s="56"/>
      <c r="B598" s="56"/>
      <c r="C598" s="56"/>
      <c r="D598" s="56"/>
      <c r="E598" s="56"/>
      <c r="F598" s="56"/>
    </row>
    <row r="599" spans="1:13" ht="12.6" customHeight="1" x14ac:dyDescent="0.3">
      <c r="A599" s="143" t="s">
        <v>1248</v>
      </c>
      <c r="B599" s="144"/>
      <c r="C599" s="54">
        <f>E599+D599+F599</f>
        <v>37112</v>
      </c>
      <c r="D599" s="52">
        <f>ROUNDDOWN(SUMIF(N567:N590,M599,D567:D590),0)</f>
        <v>36032</v>
      </c>
      <c r="E599" s="64">
        <f>ROUNDDOWN(SUMIF(N567:N590,M599,E567:E590),0)</f>
        <v>0</v>
      </c>
      <c r="F599" s="54">
        <f>ROUNDDOWN(SUMIF(N567:N590,M599,F567:F590),0)</f>
        <v>1080</v>
      </c>
      <c r="M599" s="35" t="s">
        <v>1011</v>
      </c>
    </row>
    <row r="600" spans="1:13" ht="12.6" customHeight="1" x14ac:dyDescent="0.3">
      <c r="A600" s="100" t="s">
        <v>181</v>
      </c>
      <c r="B600" s="101" t="s">
        <v>76</v>
      </c>
      <c r="C600" s="150">
        <f>C634</f>
        <v>29077</v>
      </c>
      <c r="D600" s="150">
        <f>D634</f>
        <v>28231</v>
      </c>
      <c r="E600" s="150">
        <f>E634</f>
        <v>0</v>
      </c>
      <c r="F600" s="150">
        <f>F634</f>
        <v>846</v>
      </c>
      <c r="G600" s="97" t="str">
        <f>HYPERLINK("#G"&amp;ROW(G625),"_x0005_`BDCOD|D01354_x0007_`POSS|"&amp;ROW(G602)&amp;"_x0007_`POSE|"&amp;ROW(G625)&amp;"_x0007_`")</f>
        <v>_x0005_`BDCOD|D01354_x0007_`POSS|602_x0007_`POSE|625_x0007_`</v>
      </c>
    </row>
    <row r="601" spans="1:13" ht="12.6" customHeight="1" x14ac:dyDescent="0.3">
      <c r="A601" s="83"/>
      <c r="B601" s="101" t="s">
        <v>178</v>
      </c>
      <c r="C601" s="139"/>
      <c r="D601" s="139"/>
      <c r="E601" s="139"/>
      <c r="F601" s="139"/>
      <c r="M601" s="35" t="s">
        <v>181</v>
      </c>
    </row>
    <row r="602" spans="1:13" ht="12.6" customHeight="1" x14ac:dyDescent="0.3">
      <c r="A602" s="78"/>
      <c r="B602" s="78"/>
      <c r="C602" s="103"/>
      <c r="D602" s="103"/>
      <c r="E602" s="103"/>
      <c r="F602" s="103"/>
      <c r="G602" s="17" t="s">
        <v>1229</v>
      </c>
    </row>
    <row r="603" spans="1:13" ht="12.6" customHeight="1" x14ac:dyDescent="0.3">
      <c r="A603" s="68"/>
      <c r="B603" s="77" t="s">
        <v>1502</v>
      </c>
      <c r="C603" s="78"/>
      <c r="D603" s="78"/>
      <c r="E603" s="78"/>
      <c r="F603" s="78"/>
      <c r="G603" s="17" t="s">
        <v>1501</v>
      </c>
    </row>
    <row r="604" spans="1:13" ht="12.6" customHeight="1" x14ac:dyDescent="0.3">
      <c r="A604" s="78"/>
      <c r="B604" s="78"/>
      <c r="C604" s="78"/>
      <c r="D604" s="78"/>
      <c r="E604" s="78"/>
      <c r="F604" s="78"/>
      <c r="G604" s="17" t="s">
        <v>1229</v>
      </c>
    </row>
    <row r="605" spans="1:13" ht="12.6" customHeight="1" x14ac:dyDescent="0.3">
      <c r="A605" s="68"/>
      <c r="B605" s="77" t="s">
        <v>1504</v>
      </c>
      <c r="C605" s="78"/>
      <c r="D605" s="78"/>
      <c r="E605" s="78"/>
      <c r="F605" s="78"/>
      <c r="G605" s="17" t="s">
        <v>1503</v>
      </c>
    </row>
    <row r="606" spans="1:13" ht="12.6" customHeight="1" x14ac:dyDescent="0.3">
      <c r="A606" s="78"/>
      <c r="B606" s="78"/>
      <c r="C606" s="78"/>
      <c r="D606" s="78"/>
      <c r="E606" s="78"/>
      <c r="F606" s="78"/>
      <c r="G606" s="17" t="s">
        <v>1229</v>
      </c>
    </row>
    <row r="607" spans="1:13" ht="12.6" customHeight="1" x14ac:dyDescent="0.3">
      <c r="A607" s="68"/>
      <c r="B607" s="77" t="s">
        <v>1489</v>
      </c>
      <c r="C607" s="78"/>
      <c r="D607" s="78"/>
      <c r="E607" s="78"/>
      <c r="F607" s="78"/>
      <c r="G607" s="17" t="s">
        <v>1488</v>
      </c>
    </row>
    <row r="608" spans="1:13" ht="12.6" customHeight="1" x14ac:dyDescent="0.3">
      <c r="A608" s="78"/>
      <c r="B608" s="78"/>
      <c r="C608" s="78"/>
      <c r="D608" s="78"/>
      <c r="E608" s="78"/>
      <c r="F608" s="78"/>
      <c r="G608" s="17" t="s">
        <v>1229</v>
      </c>
    </row>
    <row r="609" spans="1:25" ht="12.6" customHeight="1" x14ac:dyDescent="0.3">
      <c r="A609" s="68"/>
      <c r="B609" s="77" t="s">
        <v>1506</v>
      </c>
      <c r="C609" s="78"/>
      <c r="D609" s="78"/>
      <c r="E609" s="78"/>
      <c r="F609" s="78"/>
      <c r="G609" s="17" t="s">
        <v>1505</v>
      </c>
    </row>
    <row r="610" spans="1:25" ht="12.6" customHeight="1" x14ac:dyDescent="0.3">
      <c r="A610" s="78"/>
      <c r="B610" s="78"/>
      <c r="C610" s="78"/>
      <c r="D610" s="78"/>
      <c r="E610" s="78"/>
      <c r="F610" s="78"/>
      <c r="G610" s="17" t="s">
        <v>1229</v>
      </c>
    </row>
    <row r="611" spans="1:25" ht="12.6" customHeight="1" x14ac:dyDescent="0.3">
      <c r="A611" s="68" t="s">
        <v>1508</v>
      </c>
      <c r="B611" s="102" t="str">
        <f>"  "&amp;TEXT(I611,"#,##0"&amp;IF(I611&lt;&gt;INT(I611),".###",""))&amp;" * 4.0 인  / Q = "&amp;TEXT(C611,"#,##0.0")&amp;"  원/m3 "</f>
        <v xml:space="preserve">  267,989 * 4.0 인  / Q = 21,439.1  원/m3 </v>
      </c>
      <c r="C611" s="104">
        <f>E611+D611+F611</f>
        <v>21439.1</v>
      </c>
      <c r="D611" s="104">
        <f>IF(H611=0,0,ROUNDDOWN(J611*H611,1))</f>
        <v>21439.1</v>
      </c>
      <c r="E611" s="104">
        <f>IF(H611=0,0,ROUNDDOWN(K611*H611,1))</f>
        <v>0</v>
      </c>
      <c r="F611" s="104">
        <f>IF(H611=0,0,ROUNDDOWN(L611*H611,1))</f>
        <v>0</v>
      </c>
      <c r="G611" s="17" t="s">
        <v>1507</v>
      </c>
      <c r="H611" s="109">
        <v>8.0000000000100005E-2</v>
      </c>
      <c r="I611" s="110">
        <f>K611+J611+L611</f>
        <v>267989</v>
      </c>
      <c r="J611" s="39">
        <f>노무비목록표!E13</f>
        <v>267989</v>
      </c>
      <c r="M611" s="35" t="s">
        <v>1509</v>
      </c>
      <c r="N611" s="35" t="s">
        <v>1247</v>
      </c>
      <c r="O611" s="35" t="s">
        <v>996</v>
      </c>
      <c r="X611" s="111" t="str">
        <f>노무비목록표!B13&amp;" / "&amp;노무비목록표!C13</f>
        <v xml:space="preserve">포장공 / </v>
      </c>
      <c r="Y611" s="3" t="str">
        <f ca="1">HYPERLINK("#"&amp;노무비목록표!G2&amp;"!A"&amp;ROW(노무비목록표!A13),"L00025 →")</f>
        <v>L00025 →</v>
      </c>
    </row>
    <row r="612" spans="1:25" ht="12.6" customHeight="1" x14ac:dyDescent="0.3">
      <c r="A612" s="78"/>
      <c r="B612" s="78"/>
      <c r="C612" s="78"/>
      <c r="D612" s="78"/>
      <c r="E612" s="78"/>
      <c r="F612" s="78"/>
      <c r="G612" s="17" t="s">
        <v>1229</v>
      </c>
    </row>
    <row r="613" spans="1:25" ht="12.6" customHeight="1" x14ac:dyDescent="0.3">
      <c r="A613" s="68"/>
      <c r="B613" s="77" t="s">
        <v>1467</v>
      </c>
      <c r="C613" s="78"/>
      <c r="D613" s="78"/>
      <c r="E613" s="78"/>
      <c r="F613" s="78"/>
      <c r="G613" s="17" t="s">
        <v>1466</v>
      </c>
    </row>
    <row r="614" spans="1:25" ht="12.6" customHeight="1" x14ac:dyDescent="0.3">
      <c r="A614" s="78"/>
      <c r="B614" s="78"/>
      <c r="C614" s="78"/>
      <c r="D614" s="78"/>
      <c r="E614" s="78"/>
      <c r="F614" s="78"/>
      <c r="G614" s="17" t="s">
        <v>1229</v>
      </c>
    </row>
    <row r="615" spans="1:25" ht="12.6" customHeight="1" x14ac:dyDescent="0.3">
      <c r="A615" s="68" t="s">
        <v>1469</v>
      </c>
      <c r="B615" s="102" t="str">
        <f>"   "&amp;TEXT(I615,"#,##0"&amp;IF(I615&lt;&gt;INT(I615),".###",""))&amp;" * 2.0 인  / Q = "&amp;TEXT(C615,"#,##0.0")&amp;"  원/m3 "</f>
        <v xml:space="preserve">   169,804 * 2.0 인  / Q = 6,792.1  원/m3 </v>
      </c>
      <c r="C615" s="104">
        <f>E615+D615+F615</f>
        <v>6792.1</v>
      </c>
      <c r="D615" s="104">
        <f>IF(H615=0,0,ROUNDDOWN(J615*H615,1))</f>
        <v>6792.1</v>
      </c>
      <c r="E615" s="104">
        <f>IF(H615=0,0,ROUNDDOWN(K615*H615,1))</f>
        <v>0</v>
      </c>
      <c r="F615" s="104">
        <f>IF(H615=0,0,ROUNDDOWN(L615*H615,1))</f>
        <v>0</v>
      </c>
      <c r="G615" s="17" t="s">
        <v>1510</v>
      </c>
      <c r="H615" s="109">
        <v>4.0000000000099997E-2</v>
      </c>
      <c r="I615" s="110">
        <f>K615+J615+L615</f>
        <v>169804</v>
      </c>
      <c r="J615" s="39">
        <f>노무비목록표!E11</f>
        <v>169804</v>
      </c>
      <c r="M615" s="35" t="s">
        <v>1018</v>
      </c>
      <c r="N615" s="35" t="s">
        <v>1247</v>
      </c>
      <c r="O615" s="35" t="s">
        <v>996</v>
      </c>
      <c r="X615" s="111" t="str">
        <f>노무비목록표!B11&amp;" / "&amp;노무비목록표!C11</f>
        <v xml:space="preserve">보통인부 / </v>
      </c>
      <c r="Y615" s="3" t="str">
        <f ca="1">HYPERLINK("#"&amp;노무비목록표!G2&amp;"!A"&amp;ROW(노무비목록표!A11),"L00016 →")</f>
        <v>L00016 →</v>
      </c>
    </row>
    <row r="616" spans="1:25" ht="12.6" customHeight="1" x14ac:dyDescent="0.3">
      <c r="A616" s="78"/>
      <c r="B616" s="78"/>
      <c r="C616" s="78"/>
      <c r="D616" s="78"/>
      <c r="E616" s="78"/>
      <c r="F616" s="78"/>
      <c r="G616" s="17" t="s">
        <v>1229</v>
      </c>
    </row>
    <row r="617" spans="1:25" ht="12.6" customHeight="1" x14ac:dyDescent="0.3">
      <c r="A617" s="68"/>
      <c r="B617" s="77" t="s">
        <v>1246</v>
      </c>
      <c r="C617" s="105">
        <f>E617+D617+F617</f>
        <v>28231.199999999997</v>
      </c>
      <c r="D617" s="105">
        <f>SUMIF(N602:N616,M617,D602:D616)</f>
        <v>28231.199999999997</v>
      </c>
      <c r="E617" s="105">
        <f>SUMIF(N602:N616,M617,E602:E616)</f>
        <v>0</v>
      </c>
      <c r="F617" s="105">
        <f>SUMIF(N602:N616,M617,F602:F616)</f>
        <v>0</v>
      </c>
      <c r="G617" s="17" t="s">
        <v>1245</v>
      </c>
      <c r="M617" s="35" t="s">
        <v>1247</v>
      </c>
      <c r="N617" s="35" t="s">
        <v>1348</v>
      </c>
    </row>
    <row r="618" spans="1:25" ht="12.6" customHeight="1" x14ac:dyDescent="0.3">
      <c r="A618" s="78"/>
      <c r="B618" s="78"/>
      <c r="C618" s="103"/>
      <c r="D618" s="103"/>
      <c r="E618" s="103"/>
      <c r="F618" s="103"/>
      <c r="G618" s="17" t="s">
        <v>1229</v>
      </c>
    </row>
    <row r="619" spans="1:25" ht="12.6" customHeight="1" x14ac:dyDescent="0.3">
      <c r="A619" s="68"/>
      <c r="B619" s="77" t="s">
        <v>1478</v>
      </c>
      <c r="C619" s="78"/>
      <c r="D619" s="78"/>
      <c r="E619" s="78"/>
      <c r="F619" s="78"/>
      <c r="G619" s="17" t="s">
        <v>1477</v>
      </c>
    </row>
    <row r="620" spans="1:25" ht="12.6" customHeight="1" x14ac:dyDescent="0.3">
      <c r="A620" s="78"/>
      <c r="B620" s="78"/>
      <c r="C620" s="78"/>
      <c r="D620" s="78"/>
      <c r="E620" s="78"/>
      <c r="F620" s="78"/>
      <c r="G620" s="17" t="s">
        <v>1229</v>
      </c>
    </row>
    <row r="621" spans="1:25" ht="12.6" customHeight="1" x14ac:dyDescent="0.3">
      <c r="A621" s="68"/>
      <c r="B621" s="102" t="str">
        <f>"  공구손료 :  "&amp;TEXT(I621,"#,##0.0")&amp;" * 3 % = "&amp;TEXT(C621,"#,##0.0")&amp;""</f>
        <v xml:space="preserve">  공구손료 :  28,231.2 * 3 % = 846.9</v>
      </c>
      <c r="C621" s="104">
        <f>E621+D621+F621</f>
        <v>846.9</v>
      </c>
      <c r="D621" s="104">
        <f>IF(H621=0,0,ROUNDDOWN(J621*H621/100,1))</f>
        <v>0</v>
      </c>
      <c r="E621" s="104">
        <f>IF(H621=0,0,ROUNDDOWN(K621*H621/100,1))</f>
        <v>0</v>
      </c>
      <c r="F621" s="104">
        <f>IF(H621=0,0,ROUNDDOWN(L621*H621/100,1))</f>
        <v>846.9</v>
      </c>
      <c r="G621" s="17" t="s">
        <v>1495</v>
      </c>
      <c r="H621" s="109">
        <v>3</v>
      </c>
      <c r="I621" s="110">
        <f>K621+J621+L621</f>
        <v>28231.199999999997</v>
      </c>
      <c r="J621" s="36">
        <v>0</v>
      </c>
      <c r="K621" s="36">
        <v>0</v>
      </c>
      <c r="L621" s="39">
        <f>C611+C615</f>
        <v>28231.199999999997</v>
      </c>
      <c r="M621" s="35" t="s">
        <v>1480</v>
      </c>
      <c r="N621" s="35" t="s">
        <v>1247</v>
      </c>
    </row>
    <row r="622" spans="1:25" ht="12.6" customHeight="1" x14ac:dyDescent="0.3">
      <c r="A622" s="78"/>
      <c r="B622" s="78"/>
      <c r="C622" s="78"/>
      <c r="D622" s="78"/>
      <c r="E622" s="78"/>
      <c r="F622" s="78"/>
      <c r="G622" s="17" t="s">
        <v>1496</v>
      </c>
    </row>
    <row r="623" spans="1:25" ht="12.6" customHeight="1" x14ac:dyDescent="0.3">
      <c r="A623" s="68"/>
      <c r="B623" s="77" t="s">
        <v>1246</v>
      </c>
      <c r="C623" s="105">
        <f>E623+D623+F623</f>
        <v>846.9</v>
      </c>
      <c r="D623" s="105">
        <f>SUMIF(N618:N622,M623,D618:D622)</f>
        <v>0</v>
      </c>
      <c r="E623" s="105">
        <f>SUMIF(N618:N622,M623,E618:E622)</f>
        <v>0</v>
      </c>
      <c r="F623" s="105">
        <f>SUMIF(N618:N622,M623,F618:F622)</f>
        <v>846.9</v>
      </c>
      <c r="G623" s="17" t="s">
        <v>1497</v>
      </c>
      <c r="M623" s="35" t="s">
        <v>1247</v>
      </c>
      <c r="N623" s="35" t="s">
        <v>1348</v>
      </c>
    </row>
    <row r="624" spans="1:25" ht="12.6" customHeight="1" x14ac:dyDescent="0.3">
      <c r="A624" s="78"/>
      <c r="B624" s="78"/>
      <c r="C624" s="103"/>
      <c r="D624" s="103"/>
      <c r="E624" s="103"/>
      <c r="F624" s="103"/>
      <c r="G624" s="17" t="s">
        <v>1496</v>
      </c>
    </row>
    <row r="625" spans="1:14" ht="12.6" customHeight="1" x14ac:dyDescent="0.3">
      <c r="A625" s="68"/>
      <c r="B625" s="77" t="s">
        <v>1101</v>
      </c>
      <c r="C625" s="105">
        <f>E625+D625+F625</f>
        <v>29078.1</v>
      </c>
      <c r="D625" s="105">
        <f>SUMIF(N602:N624,M625,D602:D624)</f>
        <v>28231.199999999997</v>
      </c>
      <c r="E625" s="105">
        <f>SUMIF(N602:N624,M625,E602:E624)</f>
        <v>0</v>
      </c>
      <c r="F625" s="105">
        <f>SUMIF(N602:N624,M625,F602:F624)</f>
        <v>846.9</v>
      </c>
      <c r="G625" s="17" t="s">
        <v>1498</v>
      </c>
      <c r="M625" s="35" t="s">
        <v>1348</v>
      </c>
      <c r="N625" s="35" t="s">
        <v>1011</v>
      </c>
    </row>
    <row r="626" spans="1:14" ht="12.6" customHeight="1" x14ac:dyDescent="0.3">
      <c r="A626" s="78"/>
      <c r="B626" s="78"/>
      <c r="C626" s="103"/>
      <c r="D626" s="103"/>
      <c r="E626" s="103"/>
      <c r="F626" s="103"/>
    </row>
    <row r="627" spans="1:14" ht="12.6" customHeight="1" x14ac:dyDescent="0.3">
      <c r="A627" s="78"/>
      <c r="B627" s="78"/>
      <c r="C627" s="78"/>
      <c r="D627" s="78"/>
      <c r="E627" s="78"/>
      <c r="F627" s="78"/>
    </row>
    <row r="628" spans="1:14" ht="12.6" customHeight="1" x14ac:dyDescent="0.3">
      <c r="A628" s="78"/>
      <c r="B628" s="78"/>
      <c r="C628" s="78"/>
      <c r="D628" s="78"/>
      <c r="E628" s="78"/>
      <c r="F628" s="78"/>
    </row>
    <row r="629" spans="1:14" ht="12.6" customHeight="1" x14ac:dyDescent="0.3">
      <c r="A629" s="78"/>
      <c r="B629" s="78"/>
      <c r="C629" s="78"/>
      <c r="D629" s="78"/>
      <c r="E629" s="78"/>
      <c r="F629" s="78"/>
    </row>
    <row r="630" spans="1:14" ht="12.6" customHeight="1" x14ac:dyDescent="0.3">
      <c r="A630" s="78"/>
      <c r="B630" s="78"/>
      <c r="C630" s="78"/>
      <c r="D630" s="78"/>
      <c r="E630" s="78"/>
      <c r="F630" s="78"/>
    </row>
    <row r="631" spans="1:14" ht="12.6" customHeight="1" x14ac:dyDescent="0.3">
      <c r="A631" s="78"/>
      <c r="B631" s="78"/>
      <c r="C631" s="78"/>
      <c r="D631" s="78"/>
      <c r="E631" s="78"/>
      <c r="F631" s="78"/>
    </row>
    <row r="632" spans="1:14" ht="12.6" customHeight="1" x14ac:dyDescent="0.3">
      <c r="A632" s="78"/>
      <c r="B632" s="78"/>
      <c r="C632" s="78"/>
      <c r="D632" s="78"/>
      <c r="E632" s="78"/>
      <c r="F632" s="78"/>
    </row>
    <row r="633" spans="1:14" ht="12.6" customHeight="1" x14ac:dyDescent="0.3">
      <c r="A633" s="56"/>
      <c r="B633" s="56"/>
      <c r="C633" s="56"/>
      <c r="D633" s="56"/>
      <c r="E633" s="56"/>
      <c r="F633" s="56"/>
    </row>
    <row r="634" spans="1:14" ht="12.6" customHeight="1" x14ac:dyDescent="0.3">
      <c r="A634" s="143" t="s">
        <v>1248</v>
      </c>
      <c r="B634" s="144"/>
      <c r="C634" s="54">
        <f>E634+D634+F634</f>
        <v>29077</v>
      </c>
      <c r="D634" s="52">
        <f>ROUNDDOWN(SUMIF(N602:N625,M634,D602:D625),0)</f>
        <v>28231</v>
      </c>
      <c r="E634" s="64">
        <f>ROUNDDOWN(SUMIF(N602:N625,M634,E602:E625),0)</f>
        <v>0</v>
      </c>
      <c r="F634" s="54">
        <f>ROUNDDOWN(SUMIF(N602:N625,M634,F602:F625),0)</f>
        <v>846</v>
      </c>
      <c r="M634" s="35" t="s">
        <v>1011</v>
      </c>
    </row>
    <row r="635" spans="1:14" ht="12.6" customHeight="1" x14ac:dyDescent="0.3">
      <c r="A635" s="100" t="s">
        <v>185</v>
      </c>
      <c r="B635" s="101" t="s">
        <v>79</v>
      </c>
      <c r="C635" s="150">
        <f>C739</f>
        <v>18687</v>
      </c>
      <c r="D635" s="150">
        <f>D739</f>
        <v>11717</v>
      </c>
      <c r="E635" s="150">
        <f>E739</f>
        <v>2669</v>
      </c>
      <c r="F635" s="150">
        <f>F739</f>
        <v>4301</v>
      </c>
      <c r="G635" s="97" t="str">
        <f>HYPERLINK("#G"&amp;ROW(G724),"_x0005_`BDCOD|D01448_x0007_`POSS|"&amp;ROW(G637)&amp;"_x0007_`POSE|"&amp;ROW(G724)&amp;"_x0007_`")</f>
        <v>_x0005_`BDCOD|D01448_x0007_`POSS|637_x0007_`POSE|724_x0007_`</v>
      </c>
    </row>
    <row r="636" spans="1:14" ht="12.6" customHeight="1" x14ac:dyDescent="0.3">
      <c r="A636" s="83"/>
      <c r="B636" s="101" t="s">
        <v>182</v>
      </c>
      <c r="C636" s="139"/>
      <c r="D636" s="139"/>
      <c r="E636" s="139"/>
      <c r="F636" s="139"/>
      <c r="M636" s="35" t="s">
        <v>185</v>
      </c>
    </row>
    <row r="637" spans="1:14" ht="12.6" customHeight="1" x14ac:dyDescent="0.3">
      <c r="A637" s="68"/>
      <c r="B637" s="77" t="s">
        <v>1512</v>
      </c>
      <c r="C637" s="103"/>
      <c r="D637" s="103"/>
      <c r="E637" s="103"/>
      <c r="F637" s="103"/>
      <c r="G637" s="17" t="s">
        <v>1511</v>
      </c>
    </row>
    <row r="638" spans="1:14" ht="12.6" customHeight="1" x14ac:dyDescent="0.3">
      <c r="A638" s="78"/>
      <c r="B638" s="78"/>
      <c r="C638" s="78"/>
      <c r="D638" s="78"/>
      <c r="E638" s="78"/>
      <c r="F638" s="78"/>
      <c r="G638" s="17" t="s">
        <v>1229</v>
      </c>
    </row>
    <row r="639" spans="1:14" ht="12.6" customHeight="1" x14ac:dyDescent="0.3">
      <c r="A639" s="68"/>
      <c r="B639" s="77" t="s">
        <v>1514</v>
      </c>
      <c r="C639" s="78"/>
      <c r="D639" s="78"/>
      <c r="E639" s="78"/>
      <c r="F639" s="78"/>
      <c r="G639" s="17" t="s">
        <v>1513</v>
      </c>
    </row>
    <row r="640" spans="1:14" ht="12.6" customHeight="1" x14ac:dyDescent="0.3">
      <c r="A640" s="78"/>
      <c r="B640" s="78"/>
      <c r="C640" s="78"/>
      <c r="D640" s="78"/>
      <c r="E640" s="78"/>
      <c r="F640" s="78"/>
      <c r="G640" s="17" t="s">
        <v>1229</v>
      </c>
    </row>
    <row r="641" spans="1:7" ht="12.6" customHeight="1" x14ac:dyDescent="0.3">
      <c r="A641" s="68"/>
      <c r="B641" s="77" t="s">
        <v>1516</v>
      </c>
      <c r="C641" s="78"/>
      <c r="D641" s="78"/>
      <c r="E641" s="78"/>
      <c r="F641" s="78"/>
      <c r="G641" s="17" t="s">
        <v>1515</v>
      </c>
    </row>
    <row r="642" spans="1:7" ht="12.6" customHeight="1" x14ac:dyDescent="0.3">
      <c r="A642" s="78"/>
      <c r="B642" s="78"/>
      <c r="C642" s="78"/>
      <c r="D642" s="78"/>
      <c r="E642" s="78"/>
      <c r="F642" s="78"/>
      <c r="G642" s="17" t="s">
        <v>1229</v>
      </c>
    </row>
    <row r="643" spans="1:7" ht="12.6" customHeight="1" x14ac:dyDescent="0.3">
      <c r="A643" s="68"/>
      <c r="B643" s="77" t="s">
        <v>1518</v>
      </c>
      <c r="C643" s="78"/>
      <c r="D643" s="78"/>
      <c r="E643" s="78"/>
      <c r="F643" s="78"/>
      <c r="G643" s="17" t="s">
        <v>1517</v>
      </c>
    </row>
    <row r="644" spans="1:7" ht="12.6" customHeight="1" x14ac:dyDescent="0.3">
      <c r="A644" s="78"/>
      <c r="B644" s="78"/>
      <c r="C644" s="78"/>
      <c r="D644" s="78"/>
      <c r="E644" s="78"/>
      <c r="F644" s="78"/>
      <c r="G644" s="17" t="s">
        <v>1229</v>
      </c>
    </row>
    <row r="645" spans="1:7" ht="12.6" customHeight="1" x14ac:dyDescent="0.3">
      <c r="A645" s="68"/>
      <c r="B645" s="77" t="s">
        <v>1520</v>
      </c>
      <c r="C645" s="78"/>
      <c r="D645" s="78"/>
      <c r="E645" s="78"/>
      <c r="F645" s="78"/>
      <c r="G645" s="17" t="s">
        <v>1519</v>
      </c>
    </row>
    <row r="646" spans="1:7" ht="12.6" customHeight="1" x14ac:dyDescent="0.3">
      <c r="A646" s="78"/>
      <c r="B646" s="78"/>
      <c r="C646" s="78"/>
      <c r="D646" s="78"/>
      <c r="E646" s="78"/>
      <c r="F646" s="78"/>
      <c r="G646" s="17" t="s">
        <v>1229</v>
      </c>
    </row>
    <row r="647" spans="1:7" ht="12.6" customHeight="1" x14ac:dyDescent="0.3">
      <c r="A647" s="68"/>
      <c r="B647" s="77" t="s">
        <v>1522</v>
      </c>
      <c r="C647" s="78"/>
      <c r="D647" s="78"/>
      <c r="E647" s="78"/>
      <c r="F647" s="78"/>
      <c r="G647" s="17" t="s">
        <v>1521</v>
      </c>
    </row>
    <row r="648" spans="1:7" ht="12.6" customHeight="1" x14ac:dyDescent="0.3">
      <c r="A648" s="78"/>
      <c r="B648" s="78"/>
      <c r="C648" s="78"/>
      <c r="D648" s="78"/>
      <c r="E648" s="78"/>
      <c r="F648" s="78"/>
      <c r="G648" s="17" t="s">
        <v>1229</v>
      </c>
    </row>
    <row r="649" spans="1:7" ht="12.6" customHeight="1" x14ac:dyDescent="0.3">
      <c r="A649" s="68"/>
      <c r="B649" s="77" t="s">
        <v>1524</v>
      </c>
      <c r="C649" s="78"/>
      <c r="D649" s="78"/>
      <c r="E649" s="78"/>
      <c r="F649" s="78"/>
      <c r="G649" s="17" t="s">
        <v>1523</v>
      </c>
    </row>
    <row r="650" spans="1:7" ht="12.6" customHeight="1" x14ac:dyDescent="0.3">
      <c r="A650" s="78"/>
      <c r="B650" s="78"/>
      <c r="C650" s="78"/>
      <c r="D650" s="78"/>
      <c r="E650" s="78"/>
      <c r="F650" s="78"/>
      <c r="G650" s="17" t="s">
        <v>1229</v>
      </c>
    </row>
    <row r="651" spans="1:7" ht="12.6" customHeight="1" x14ac:dyDescent="0.3">
      <c r="A651" s="68"/>
      <c r="B651" s="77" t="s">
        <v>1526</v>
      </c>
      <c r="C651" s="78"/>
      <c r="D651" s="78"/>
      <c r="E651" s="78"/>
      <c r="F651" s="78"/>
      <c r="G651" s="17" t="s">
        <v>1525</v>
      </c>
    </row>
    <row r="652" spans="1:7" ht="12.6" customHeight="1" x14ac:dyDescent="0.3">
      <c r="A652" s="78"/>
      <c r="B652" s="78"/>
      <c r="C652" s="78"/>
      <c r="D652" s="78"/>
      <c r="E652" s="78"/>
      <c r="F652" s="78"/>
      <c r="G652" s="17" t="s">
        <v>1229</v>
      </c>
    </row>
    <row r="653" spans="1:7" ht="12.6" customHeight="1" x14ac:dyDescent="0.3">
      <c r="A653" s="68"/>
      <c r="B653" s="77" t="s">
        <v>1528</v>
      </c>
      <c r="C653" s="78"/>
      <c r="D653" s="78"/>
      <c r="E653" s="78"/>
      <c r="F653" s="78"/>
      <c r="G653" s="17" t="s">
        <v>1527</v>
      </c>
    </row>
    <row r="654" spans="1:7" ht="12.6" customHeight="1" x14ac:dyDescent="0.3">
      <c r="A654" s="78"/>
      <c r="B654" s="78"/>
      <c r="C654" s="78"/>
      <c r="D654" s="78"/>
      <c r="E654" s="78"/>
      <c r="F654" s="78"/>
      <c r="G654" s="17" t="s">
        <v>1229</v>
      </c>
    </row>
    <row r="655" spans="1:7" ht="12.6" customHeight="1" x14ac:dyDescent="0.3">
      <c r="A655" s="68"/>
      <c r="B655" s="77" t="s">
        <v>1530</v>
      </c>
      <c r="C655" s="78"/>
      <c r="D655" s="78"/>
      <c r="E655" s="78"/>
      <c r="F655" s="78"/>
      <c r="G655" s="17" t="s">
        <v>1529</v>
      </c>
    </row>
    <row r="656" spans="1:7" ht="12.6" customHeight="1" x14ac:dyDescent="0.3">
      <c r="A656" s="78"/>
      <c r="B656" s="78"/>
      <c r="C656" s="78"/>
      <c r="D656" s="78"/>
      <c r="E656" s="78"/>
      <c r="F656" s="78"/>
      <c r="G656" s="17" t="s">
        <v>1229</v>
      </c>
    </row>
    <row r="657" spans="1:25" ht="12.6" customHeight="1" x14ac:dyDescent="0.3">
      <c r="A657" s="68" t="s">
        <v>1310</v>
      </c>
      <c r="B657" s="102" t="str">
        <f>" 노 무 비  : "&amp;TEXT(I657,"#,##0"&amp;IF(I657&lt;&gt;INT(I657),".###",""))&amp;" / Q  = "&amp;TEXT(C657,"#,##0.0")&amp;""</f>
        <v xml:space="preserve"> 노 무 비  : 57,077 / Q  = 4,417.7</v>
      </c>
      <c r="C657" s="104">
        <f>E657+D657+F657</f>
        <v>4417.7</v>
      </c>
      <c r="D657" s="104">
        <f>IF(H657=0,0,ROUNDDOWN(J657*H657,1))</f>
        <v>4417.7</v>
      </c>
      <c r="E657" s="104">
        <f>IF(H657=0,0,ROUNDDOWN(K657*H657,1))</f>
        <v>0</v>
      </c>
      <c r="F657" s="104">
        <f>IF(H657=0,0,ROUNDDOWN(L657*H657,1))</f>
        <v>0</v>
      </c>
      <c r="G657" s="17" t="s">
        <v>1531</v>
      </c>
      <c r="H657" s="109">
        <v>7.7399380805199994E-2</v>
      </c>
      <c r="I657" s="110">
        <f>K657+J657+L657</f>
        <v>57077</v>
      </c>
      <c r="J657" s="39">
        <f>중기목록표!F17</f>
        <v>57077</v>
      </c>
      <c r="M657" s="35" t="s">
        <v>1311</v>
      </c>
      <c r="N657" s="35" t="s">
        <v>1247</v>
      </c>
      <c r="X657" s="111" t="str">
        <f>중기목록표!B17&amp;" / "&amp;중기목록표!C17</f>
        <v>굴삭기(무한궤도) / 0.7㎥:할증120%</v>
      </c>
      <c r="Y657" s="3" t="str">
        <f ca="1">HYPERLINK("#"&amp;중기목록표!J2&amp;"!A"&amp;ROW(중기목록표!A17),"X00270 →")</f>
        <v>X00270 →</v>
      </c>
    </row>
    <row r="658" spans="1:25" ht="12.6" customHeight="1" x14ac:dyDescent="0.3">
      <c r="A658" s="78"/>
      <c r="B658" s="78"/>
      <c r="C658" s="78"/>
      <c r="D658" s="78"/>
      <c r="E658" s="78"/>
      <c r="F658" s="78"/>
      <c r="G658" s="17" t="s">
        <v>1229</v>
      </c>
    </row>
    <row r="659" spans="1:25" ht="12.6" customHeight="1" x14ac:dyDescent="0.3">
      <c r="A659" s="68" t="s">
        <v>1313</v>
      </c>
      <c r="B659" s="102" t="str">
        <f>" 재 료 비  : "&amp;TEXT(I659,"#,##0"&amp;IF(I659&lt;&gt;INT(I659),".###",""))&amp;" / Q  = "&amp;TEXT(C659,"#,##0.0")&amp;""</f>
        <v xml:space="preserve"> 재 료 비  : 19,232 / Q  = 1,488.5</v>
      </c>
      <c r="C659" s="104">
        <f>E659+D659+F659</f>
        <v>1488.5</v>
      </c>
      <c r="D659" s="104">
        <f>IF(H659=0,0,ROUNDDOWN(J659*H659,1))</f>
        <v>0</v>
      </c>
      <c r="E659" s="104">
        <f>IF(H659=0,0,ROUNDDOWN(K659*H659,1))</f>
        <v>1488.5</v>
      </c>
      <c r="F659" s="104">
        <f>IF(H659=0,0,ROUNDDOWN(L659*H659,1))</f>
        <v>0</v>
      </c>
      <c r="G659" s="17" t="s">
        <v>1532</v>
      </c>
      <c r="H659" s="109">
        <v>7.7399380805199994E-2</v>
      </c>
      <c r="I659" s="110">
        <f>K659+J659+L659</f>
        <v>19232</v>
      </c>
      <c r="K659" s="39">
        <f>중기목록표!G17</f>
        <v>19232</v>
      </c>
      <c r="M659" s="35" t="s">
        <v>1311</v>
      </c>
      <c r="N659" s="35" t="s">
        <v>1247</v>
      </c>
      <c r="X659" s="111" t="str">
        <f>중기목록표!B17&amp;" / "&amp;중기목록표!C17</f>
        <v>굴삭기(무한궤도) / 0.7㎥:할증120%</v>
      </c>
      <c r="Y659" s="3" t="str">
        <f ca="1">HYPERLINK("#"&amp;중기목록표!J2&amp;"!A"&amp;ROW(중기목록표!A17),"X00270 →")</f>
        <v>X00270 →</v>
      </c>
    </row>
    <row r="660" spans="1:25" ht="12.6" customHeight="1" x14ac:dyDescent="0.3">
      <c r="A660" s="78"/>
      <c r="B660" s="78"/>
      <c r="C660" s="78"/>
      <c r="D660" s="78"/>
      <c r="E660" s="78"/>
      <c r="F660" s="78"/>
      <c r="G660" s="17" t="s">
        <v>1229</v>
      </c>
    </row>
    <row r="661" spans="1:25" ht="12.6" customHeight="1" x14ac:dyDescent="0.3">
      <c r="A661" s="68" t="s">
        <v>1315</v>
      </c>
      <c r="B661" s="102" t="str">
        <f>" 경    비  : "&amp;TEXT(I661,"#,##0"&amp;IF(I661&lt;&gt;INT(I661),".###",""))&amp;" / Q  = "&amp;TEXT(C661,"#,##0.0")&amp;""</f>
        <v xml:space="preserve"> 경    비  : 27,685 / Q  = 2,142.8</v>
      </c>
      <c r="C661" s="104">
        <f>E661+D661+F661</f>
        <v>2142.8000000000002</v>
      </c>
      <c r="D661" s="104">
        <f>IF(H661=0,0,ROUNDDOWN(J661*H661,1))</f>
        <v>0</v>
      </c>
      <c r="E661" s="104">
        <f>IF(H661=0,0,ROUNDDOWN(K661*H661,1))</f>
        <v>0</v>
      </c>
      <c r="F661" s="104">
        <f>IF(H661=0,0,ROUNDDOWN(L661*H661,1))</f>
        <v>2142.8000000000002</v>
      </c>
      <c r="G661" s="17" t="s">
        <v>1533</v>
      </c>
      <c r="H661" s="109">
        <v>7.7399380805199994E-2</v>
      </c>
      <c r="I661" s="110">
        <f>K661+J661+L661</f>
        <v>27685</v>
      </c>
      <c r="L661" s="39">
        <f>중기목록표!H17</f>
        <v>27685</v>
      </c>
      <c r="M661" s="35" t="s">
        <v>1311</v>
      </c>
      <c r="N661" s="35" t="s">
        <v>1247</v>
      </c>
      <c r="X661" s="111" t="str">
        <f>중기목록표!B17&amp;" / "&amp;중기목록표!C17</f>
        <v>굴삭기(무한궤도) / 0.7㎥:할증120%</v>
      </c>
      <c r="Y661" s="3" t="str">
        <f ca="1">HYPERLINK("#"&amp;중기목록표!J2&amp;"!A"&amp;ROW(중기목록표!A17),"X00270 →")</f>
        <v>X00270 →</v>
      </c>
    </row>
    <row r="662" spans="1:25" ht="12.6" customHeight="1" x14ac:dyDescent="0.3">
      <c r="A662" s="78"/>
      <c r="B662" s="78"/>
      <c r="C662" s="78"/>
      <c r="D662" s="78"/>
      <c r="E662" s="78"/>
      <c r="F662" s="78"/>
      <c r="G662" s="17" t="s">
        <v>1229</v>
      </c>
    </row>
    <row r="663" spans="1:25" ht="12.6" customHeight="1" x14ac:dyDescent="0.3">
      <c r="A663" s="68"/>
      <c r="B663" s="77" t="s">
        <v>1246</v>
      </c>
      <c r="C663" s="105">
        <f>E663+D663+F663</f>
        <v>8049</v>
      </c>
      <c r="D663" s="105">
        <f>SUMIF(N637:N662,M663,D637:D662)</f>
        <v>4417.7</v>
      </c>
      <c r="E663" s="105">
        <f>SUMIF(N637:N662,M663,E637:E662)</f>
        <v>1488.5</v>
      </c>
      <c r="F663" s="105">
        <f>SUMIF(N637:N662,M663,F637:F662)</f>
        <v>2142.8000000000002</v>
      </c>
      <c r="G663" s="17" t="s">
        <v>1245</v>
      </c>
      <c r="M663" s="35" t="s">
        <v>1247</v>
      </c>
      <c r="N663" s="35" t="s">
        <v>1348</v>
      </c>
    </row>
    <row r="664" spans="1:25" ht="12.6" customHeight="1" x14ac:dyDescent="0.3">
      <c r="A664" s="78"/>
      <c r="B664" s="78"/>
      <c r="C664" s="103"/>
      <c r="D664" s="103"/>
      <c r="E664" s="103"/>
      <c r="F664" s="103"/>
      <c r="G664" s="17" t="s">
        <v>1229</v>
      </c>
    </row>
    <row r="665" spans="1:25" ht="12.6" customHeight="1" x14ac:dyDescent="0.3">
      <c r="A665" s="68"/>
      <c r="B665" s="77" t="s">
        <v>1535</v>
      </c>
      <c r="C665" s="78"/>
      <c r="D665" s="78"/>
      <c r="E665" s="78"/>
      <c r="F665" s="78"/>
      <c r="G665" s="17" t="s">
        <v>1534</v>
      </c>
    </row>
    <row r="666" spans="1:25" ht="12.6" customHeight="1" x14ac:dyDescent="0.3">
      <c r="A666" s="78"/>
      <c r="B666" s="78"/>
      <c r="C666" s="78"/>
      <c r="D666" s="78"/>
      <c r="E666" s="78"/>
      <c r="F666" s="78"/>
      <c r="G666" s="17" t="s">
        <v>1229</v>
      </c>
    </row>
    <row r="667" spans="1:25" ht="12.6" customHeight="1" x14ac:dyDescent="0.3">
      <c r="A667" s="68"/>
      <c r="B667" s="77" t="s">
        <v>1520</v>
      </c>
      <c r="C667" s="78"/>
      <c r="D667" s="78"/>
      <c r="E667" s="78"/>
      <c r="F667" s="78"/>
      <c r="G667" s="17" t="s">
        <v>1519</v>
      </c>
    </row>
    <row r="668" spans="1:25" ht="12.6" customHeight="1" x14ac:dyDescent="0.3">
      <c r="A668" s="78"/>
      <c r="B668" s="78"/>
      <c r="C668" s="78"/>
      <c r="D668" s="78"/>
      <c r="E668" s="78"/>
      <c r="F668" s="78"/>
      <c r="G668" s="17" t="s">
        <v>1229</v>
      </c>
    </row>
    <row r="669" spans="1:25" ht="12.6" customHeight="1" x14ac:dyDescent="0.3">
      <c r="A669" s="68"/>
      <c r="B669" s="77" t="s">
        <v>1522</v>
      </c>
      <c r="C669" s="78"/>
      <c r="D669" s="78"/>
      <c r="E669" s="78"/>
      <c r="F669" s="78"/>
      <c r="G669" s="17" t="s">
        <v>1521</v>
      </c>
    </row>
    <row r="670" spans="1:25" ht="12.6" customHeight="1" x14ac:dyDescent="0.3">
      <c r="A670" s="78"/>
      <c r="B670" s="78"/>
      <c r="C670" s="78"/>
      <c r="D670" s="78"/>
      <c r="E670" s="78"/>
      <c r="F670" s="78"/>
      <c r="G670" s="17" t="s">
        <v>1229</v>
      </c>
    </row>
    <row r="671" spans="1:25" ht="12.6" customHeight="1" x14ac:dyDescent="0.3">
      <c r="A671" s="68"/>
      <c r="B671" s="77" t="s">
        <v>1537</v>
      </c>
      <c r="C671" s="78"/>
      <c r="D671" s="78"/>
      <c r="E671" s="78"/>
      <c r="F671" s="78"/>
      <c r="G671" s="17" t="s">
        <v>1536</v>
      </c>
    </row>
    <row r="672" spans="1:25" ht="12.6" customHeight="1" x14ac:dyDescent="0.3">
      <c r="A672" s="78"/>
      <c r="B672" s="78"/>
      <c r="C672" s="78"/>
      <c r="D672" s="78"/>
      <c r="E672" s="78"/>
      <c r="F672" s="78"/>
      <c r="G672" s="17" t="s">
        <v>1229</v>
      </c>
    </row>
    <row r="673" spans="1:25" ht="12.6" customHeight="1" x14ac:dyDescent="0.3">
      <c r="A673" s="68"/>
      <c r="B673" s="77" t="s">
        <v>1539</v>
      </c>
      <c r="C673" s="78"/>
      <c r="D673" s="78"/>
      <c r="E673" s="78"/>
      <c r="F673" s="78"/>
      <c r="G673" s="17" t="s">
        <v>1538</v>
      </c>
    </row>
    <row r="674" spans="1:25" ht="12.6" customHeight="1" x14ac:dyDescent="0.3">
      <c r="A674" s="78"/>
      <c r="B674" s="78"/>
      <c r="C674" s="78"/>
      <c r="D674" s="78"/>
      <c r="E674" s="78"/>
      <c r="F674" s="78"/>
      <c r="G674" s="17" t="s">
        <v>1229</v>
      </c>
    </row>
    <row r="675" spans="1:25" ht="12.6" customHeight="1" x14ac:dyDescent="0.3">
      <c r="A675" s="68"/>
      <c r="B675" s="77" t="s">
        <v>1541</v>
      </c>
      <c r="C675" s="78"/>
      <c r="D675" s="78"/>
      <c r="E675" s="78"/>
      <c r="F675" s="78"/>
      <c r="G675" s="17" t="s">
        <v>1540</v>
      </c>
    </row>
    <row r="676" spans="1:25" ht="12.6" customHeight="1" x14ac:dyDescent="0.3">
      <c r="A676" s="78"/>
      <c r="B676" s="78"/>
      <c r="C676" s="78"/>
      <c r="D676" s="78"/>
      <c r="E676" s="78"/>
      <c r="F676" s="78"/>
      <c r="G676" s="17" t="s">
        <v>1229</v>
      </c>
    </row>
    <row r="677" spans="1:25" ht="12.6" customHeight="1" x14ac:dyDescent="0.3">
      <c r="A677" s="68"/>
      <c r="B677" s="77" t="s">
        <v>1543</v>
      </c>
      <c r="C677" s="78"/>
      <c r="D677" s="78"/>
      <c r="E677" s="78"/>
      <c r="F677" s="78"/>
      <c r="G677" s="17" t="s">
        <v>1542</v>
      </c>
    </row>
    <row r="678" spans="1:25" ht="12.6" customHeight="1" x14ac:dyDescent="0.3">
      <c r="A678" s="78"/>
      <c r="B678" s="78"/>
      <c r="C678" s="78"/>
      <c r="D678" s="78"/>
      <c r="E678" s="78"/>
      <c r="F678" s="78"/>
      <c r="G678" s="17" t="s">
        <v>1229</v>
      </c>
    </row>
    <row r="679" spans="1:25" ht="12.6" customHeight="1" x14ac:dyDescent="0.3">
      <c r="A679" s="68" t="s">
        <v>1310</v>
      </c>
      <c r="B679" s="102" t="str">
        <f>" 노 무 비  : "&amp;TEXT(I679,"#,##0"&amp;IF(I679&lt;&gt;INT(I679),".###",""))&amp;" / Q  = "&amp;TEXT(C679,"#,##0.0")&amp;""</f>
        <v xml:space="preserve"> 노 무 비  : 57,077 / Q  = 3,124.0</v>
      </c>
      <c r="C679" s="104">
        <f>E679+D679+F679</f>
        <v>3124</v>
      </c>
      <c r="D679" s="104">
        <f>IF(H679=0,0,ROUNDDOWN(J679*H679,1))</f>
        <v>3124</v>
      </c>
      <c r="E679" s="104">
        <f>IF(H679=0,0,ROUNDDOWN(K679*H679,1))</f>
        <v>0</v>
      </c>
      <c r="F679" s="104">
        <f>IF(H679=0,0,ROUNDDOWN(L679*H679,1))</f>
        <v>0</v>
      </c>
      <c r="G679" s="17" t="s">
        <v>1531</v>
      </c>
      <c r="H679" s="109">
        <v>5.4734537493400001E-2</v>
      </c>
      <c r="I679" s="110">
        <f>K679+J679+L679</f>
        <v>57077</v>
      </c>
      <c r="J679" s="39">
        <f>중기목록표!F17</f>
        <v>57077</v>
      </c>
      <c r="M679" s="35" t="s">
        <v>1311</v>
      </c>
      <c r="N679" s="35" t="s">
        <v>1247</v>
      </c>
      <c r="X679" s="111" t="str">
        <f>중기목록표!B17&amp;" / "&amp;중기목록표!C17</f>
        <v>굴삭기(무한궤도) / 0.7㎥:할증120%</v>
      </c>
      <c r="Y679" s="3" t="str">
        <f ca="1">HYPERLINK("#"&amp;중기목록표!J2&amp;"!A"&amp;ROW(중기목록표!A17),"X00270 →")</f>
        <v>X00270 →</v>
      </c>
    </row>
    <row r="680" spans="1:25" ht="12.6" customHeight="1" x14ac:dyDescent="0.3">
      <c r="A680" s="78"/>
      <c r="B680" s="78"/>
      <c r="C680" s="78"/>
      <c r="D680" s="78"/>
      <c r="E680" s="78"/>
      <c r="F680" s="78"/>
      <c r="G680" s="17" t="s">
        <v>1229</v>
      </c>
    </row>
    <row r="681" spans="1:25" ht="12.6" customHeight="1" x14ac:dyDescent="0.3">
      <c r="A681" s="68" t="s">
        <v>1313</v>
      </c>
      <c r="B681" s="102" t="str">
        <f>" 재 료 비  : "&amp;TEXT(I681,"#,##0"&amp;IF(I681&lt;&gt;INT(I681),".###",""))&amp;" / Q  = "&amp;TEXT(C681,"#,##0.0")&amp;""</f>
        <v xml:space="preserve"> 재 료 비  : 19,232 / Q  = 1,052.6</v>
      </c>
      <c r="C681" s="104">
        <f>E681+D681+F681</f>
        <v>1052.5999999999999</v>
      </c>
      <c r="D681" s="104">
        <f>IF(H681=0,0,ROUNDDOWN(J681*H681,1))</f>
        <v>0</v>
      </c>
      <c r="E681" s="104">
        <f>IF(H681=0,0,ROUNDDOWN(K681*H681,1))</f>
        <v>1052.5999999999999</v>
      </c>
      <c r="F681" s="104">
        <f>IF(H681=0,0,ROUNDDOWN(L681*H681,1))</f>
        <v>0</v>
      </c>
      <c r="G681" s="17" t="s">
        <v>1532</v>
      </c>
      <c r="H681" s="109">
        <v>5.4734537493400001E-2</v>
      </c>
      <c r="I681" s="110">
        <f>K681+J681+L681</f>
        <v>19232</v>
      </c>
      <c r="K681" s="39">
        <f>중기목록표!G17</f>
        <v>19232</v>
      </c>
      <c r="M681" s="35" t="s">
        <v>1311</v>
      </c>
      <c r="N681" s="35" t="s">
        <v>1247</v>
      </c>
      <c r="X681" s="111" t="str">
        <f>중기목록표!B17&amp;" / "&amp;중기목록표!C17</f>
        <v>굴삭기(무한궤도) / 0.7㎥:할증120%</v>
      </c>
      <c r="Y681" s="3" t="str">
        <f ca="1">HYPERLINK("#"&amp;중기목록표!J2&amp;"!A"&amp;ROW(중기목록표!A17),"X00270 →")</f>
        <v>X00270 →</v>
      </c>
    </row>
    <row r="682" spans="1:25" ht="12.6" customHeight="1" x14ac:dyDescent="0.3">
      <c r="A682" s="78"/>
      <c r="B682" s="78"/>
      <c r="C682" s="78"/>
      <c r="D682" s="78"/>
      <c r="E682" s="78"/>
      <c r="F682" s="78"/>
      <c r="G682" s="17" t="s">
        <v>1229</v>
      </c>
    </row>
    <row r="683" spans="1:25" ht="12.6" customHeight="1" x14ac:dyDescent="0.3">
      <c r="A683" s="68" t="s">
        <v>1315</v>
      </c>
      <c r="B683" s="102" t="str">
        <f>" 경    비  : "&amp;TEXT(I683,"#,##0"&amp;IF(I683&lt;&gt;INT(I683),".###",""))&amp;" / Q  = "&amp;TEXT(C683,"#,##0.0")&amp;""</f>
        <v xml:space="preserve"> 경    비  : 27,685 / Q  = 1,515.3</v>
      </c>
      <c r="C683" s="104">
        <f>E683+D683+F683</f>
        <v>1515.3</v>
      </c>
      <c r="D683" s="104">
        <f>IF(H683=0,0,ROUNDDOWN(J683*H683,1))</f>
        <v>0</v>
      </c>
      <c r="E683" s="104">
        <f>IF(H683=0,0,ROUNDDOWN(K683*H683,1))</f>
        <v>0</v>
      </c>
      <c r="F683" s="104">
        <f>IF(H683=0,0,ROUNDDOWN(L683*H683,1))</f>
        <v>1515.3</v>
      </c>
      <c r="G683" s="17" t="s">
        <v>1533</v>
      </c>
      <c r="H683" s="109">
        <v>5.4734537493400001E-2</v>
      </c>
      <c r="I683" s="110">
        <f>K683+J683+L683</f>
        <v>27685</v>
      </c>
      <c r="L683" s="39">
        <f>중기목록표!H17</f>
        <v>27685</v>
      </c>
      <c r="M683" s="35" t="s">
        <v>1311</v>
      </c>
      <c r="N683" s="35" t="s">
        <v>1247</v>
      </c>
      <c r="X683" s="111" t="str">
        <f>중기목록표!B17&amp;" / "&amp;중기목록표!C17</f>
        <v>굴삭기(무한궤도) / 0.7㎥:할증120%</v>
      </c>
      <c r="Y683" s="3" t="str">
        <f ca="1">HYPERLINK("#"&amp;중기목록표!J2&amp;"!A"&amp;ROW(중기목록표!A17),"X00270 →")</f>
        <v>X00270 →</v>
      </c>
    </row>
    <row r="684" spans="1:25" ht="12.6" customHeight="1" x14ac:dyDescent="0.3">
      <c r="A684" s="78"/>
      <c r="B684" s="78"/>
      <c r="C684" s="78"/>
      <c r="D684" s="78"/>
      <c r="E684" s="78"/>
      <c r="F684" s="78"/>
      <c r="G684" s="17" t="s">
        <v>1229</v>
      </c>
    </row>
    <row r="685" spans="1:25" ht="12.6" customHeight="1" x14ac:dyDescent="0.3">
      <c r="A685" s="68"/>
      <c r="B685" s="77" t="s">
        <v>1246</v>
      </c>
      <c r="C685" s="105">
        <f>E685+D685+F685</f>
        <v>5691.9000000000005</v>
      </c>
      <c r="D685" s="105">
        <f>SUMIF(N664:N684,M685,D664:D684)</f>
        <v>3124</v>
      </c>
      <c r="E685" s="105">
        <f>SUMIF(N664:N684,M685,E664:E684)</f>
        <v>1052.5999999999999</v>
      </c>
      <c r="F685" s="105">
        <f>SUMIF(N664:N684,M685,F664:F684)</f>
        <v>1515.3</v>
      </c>
      <c r="G685" s="17" t="s">
        <v>1245</v>
      </c>
      <c r="M685" s="35" t="s">
        <v>1247</v>
      </c>
      <c r="N685" s="35" t="s">
        <v>1348</v>
      </c>
    </row>
    <row r="686" spans="1:25" ht="12.6" customHeight="1" x14ac:dyDescent="0.3">
      <c r="A686" s="78"/>
      <c r="B686" s="78"/>
      <c r="C686" s="103"/>
      <c r="D686" s="103"/>
      <c r="E686" s="103"/>
      <c r="F686" s="103"/>
      <c r="G686" s="17" t="s">
        <v>1229</v>
      </c>
    </row>
    <row r="687" spans="1:25" ht="12.6" customHeight="1" x14ac:dyDescent="0.3">
      <c r="A687" s="68"/>
      <c r="B687" s="77" t="s">
        <v>1545</v>
      </c>
      <c r="C687" s="78"/>
      <c r="D687" s="78"/>
      <c r="E687" s="78"/>
      <c r="F687" s="78"/>
      <c r="G687" s="17" t="s">
        <v>1544</v>
      </c>
    </row>
    <row r="688" spans="1:25" ht="12.6" customHeight="1" x14ac:dyDescent="0.3">
      <c r="A688" s="78"/>
      <c r="B688" s="78"/>
      <c r="C688" s="78"/>
      <c r="D688" s="78"/>
      <c r="E688" s="78"/>
      <c r="F688" s="78"/>
      <c r="G688" s="17" t="s">
        <v>1229</v>
      </c>
    </row>
    <row r="689" spans="1:7" ht="12.6" customHeight="1" x14ac:dyDescent="0.3">
      <c r="A689" s="68"/>
      <c r="B689" s="77" t="s">
        <v>1547</v>
      </c>
      <c r="C689" s="78"/>
      <c r="D689" s="78"/>
      <c r="E689" s="78"/>
      <c r="F689" s="78"/>
      <c r="G689" s="17" t="s">
        <v>1546</v>
      </c>
    </row>
    <row r="690" spans="1:7" ht="12.6" customHeight="1" x14ac:dyDescent="0.3">
      <c r="A690" s="78"/>
      <c r="B690" s="78"/>
      <c r="C690" s="78"/>
      <c r="D690" s="78"/>
      <c r="E690" s="78"/>
      <c r="F690" s="78"/>
      <c r="G690" s="17" t="s">
        <v>1229</v>
      </c>
    </row>
    <row r="691" spans="1:7" ht="12.6" customHeight="1" x14ac:dyDescent="0.3">
      <c r="A691" s="68"/>
      <c r="B691" s="77" t="s">
        <v>1321</v>
      </c>
      <c r="C691" s="78"/>
      <c r="D691" s="78"/>
      <c r="E691" s="78"/>
      <c r="F691" s="78"/>
      <c r="G691" s="17" t="s">
        <v>1320</v>
      </c>
    </row>
    <row r="692" spans="1:7" ht="12.6" customHeight="1" x14ac:dyDescent="0.3">
      <c r="A692" s="78"/>
      <c r="B692" s="78"/>
      <c r="C692" s="78"/>
      <c r="D692" s="78"/>
      <c r="E692" s="78"/>
      <c r="F692" s="78"/>
      <c r="G692" s="17" t="s">
        <v>1229</v>
      </c>
    </row>
    <row r="693" spans="1:7" ht="12.6" customHeight="1" x14ac:dyDescent="0.3">
      <c r="A693" s="68"/>
      <c r="B693" s="77" t="s">
        <v>1549</v>
      </c>
      <c r="C693" s="78"/>
      <c r="D693" s="78"/>
      <c r="E693" s="78"/>
      <c r="F693" s="78"/>
      <c r="G693" s="17" t="s">
        <v>1548</v>
      </c>
    </row>
    <row r="694" spans="1:7" ht="12.6" customHeight="1" x14ac:dyDescent="0.3">
      <c r="A694" s="78"/>
      <c r="B694" s="78"/>
      <c r="C694" s="78"/>
      <c r="D694" s="78"/>
      <c r="E694" s="78"/>
      <c r="F694" s="78"/>
      <c r="G694" s="17" t="s">
        <v>1229</v>
      </c>
    </row>
    <row r="695" spans="1:7" ht="12.6" customHeight="1" x14ac:dyDescent="0.3">
      <c r="A695" s="68"/>
      <c r="B695" s="77" t="s">
        <v>1551</v>
      </c>
      <c r="C695" s="78"/>
      <c r="D695" s="78"/>
      <c r="E695" s="78"/>
      <c r="F695" s="78"/>
      <c r="G695" s="17" t="s">
        <v>1550</v>
      </c>
    </row>
    <row r="696" spans="1:7" ht="12.6" customHeight="1" x14ac:dyDescent="0.3">
      <c r="A696" s="78"/>
      <c r="B696" s="78"/>
      <c r="C696" s="78"/>
      <c r="D696" s="78"/>
      <c r="E696" s="78"/>
      <c r="F696" s="78"/>
      <c r="G696" s="17" t="s">
        <v>1229</v>
      </c>
    </row>
    <row r="697" spans="1:7" ht="12.6" customHeight="1" x14ac:dyDescent="0.3">
      <c r="A697" s="68"/>
      <c r="B697" s="77" t="s">
        <v>1553</v>
      </c>
      <c r="C697" s="78"/>
      <c r="D697" s="78"/>
      <c r="E697" s="78"/>
      <c r="F697" s="78"/>
      <c r="G697" s="17" t="s">
        <v>1552</v>
      </c>
    </row>
    <row r="698" spans="1:7" ht="12.6" customHeight="1" x14ac:dyDescent="0.3">
      <c r="A698" s="78"/>
      <c r="B698" s="78"/>
      <c r="C698" s="78"/>
      <c r="D698" s="78"/>
      <c r="E698" s="78"/>
      <c r="F698" s="78"/>
      <c r="G698" s="17" t="s">
        <v>1229</v>
      </c>
    </row>
    <row r="699" spans="1:7" ht="12.6" customHeight="1" x14ac:dyDescent="0.3">
      <c r="A699" s="68"/>
      <c r="B699" s="77" t="s">
        <v>1555</v>
      </c>
      <c r="C699" s="78"/>
      <c r="D699" s="78"/>
      <c r="E699" s="78"/>
      <c r="F699" s="78"/>
      <c r="G699" s="17" t="s">
        <v>1554</v>
      </c>
    </row>
    <row r="700" spans="1:7" ht="12.6" customHeight="1" x14ac:dyDescent="0.3">
      <c r="A700" s="78"/>
      <c r="B700" s="78"/>
      <c r="C700" s="78"/>
      <c r="D700" s="78"/>
      <c r="E700" s="78"/>
      <c r="F700" s="78"/>
      <c r="G700" s="17" t="s">
        <v>1229</v>
      </c>
    </row>
    <row r="701" spans="1:7" ht="12.6" customHeight="1" x14ac:dyDescent="0.3">
      <c r="A701" s="68"/>
      <c r="B701" s="77" t="s">
        <v>1557</v>
      </c>
      <c r="C701" s="78"/>
      <c r="D701" s="78"/>
      <c r="E701" s="78"/>
      <c r="F701" s="78"/>
      <c r="G701" s="17" t="s">
        <v>1556</v>
      </c>
    </row>
    <row r="702" spans="1:7" ht="12.6" customHeight="1" x14ac:dyDescent="0.3">
      <c r="A702" s="78"/>
      <c r="B702" s="78"/>
      <c r="C702" s="78"/>
      <c r="D702" s="78"/>
      <c r="E702" s="78"/>
      <c r="F702" s="78"/>
      <c r="G702" s="17" t="s">
        <v>1229</v>
      </c>
    </row>
    <row r="703" spans="1:7" ht="12.6" customHeight="1" x14ac:dyDescent="0.3">
      <c r="A703" s="68"/>
      <c r="B703" s="77" t="s">
        <v>1559</v>
      </c>
      <c r="C703" s="78"/>
      <c r="D703" s="78"/>
      <c r="E703" s="78"/>
      <c r="F703" s="78"/>
      <c r="G703" s="17" t="s">
        <v>1558</v>
      </c>
    </row>
    <row r="704" spans="1:7" ht="12.6" customHeight="1" x14ac:dyDescent="0.3">
      <c r="A704" s="78"/>
      <c r="B704" s="78"/>
      <c r="C704" s="78"/>
      <c r="D704" s="78"/>
      <c r="E704" s="78"/>
      <c r="F704" s="78"/>
      <c r="G704" s="17" t="s">
        <v>1229</v>
      </c>
    </row>
    <row r="705" spans="1:25" ht="12.6" customHeight="1" x14ac:dyDescent="0.3">
      <c r="A705" s="68"/>
      <c r="B705" s="77" t="s">
        <v>1561</v>
      </c>
      <c r="C705" s="78"/>
      <c r="D705" s="78"/>
      <c r="E705" s="78"/>
      <c r="F705" s="78"/>
      <c r="G705" s="17" t="s">
        <v>1560</v>
      </c>
    </row>
    <row r="706" spans="1:25" ht="12.6" customHeight="1" x14ac:dyDescent="0.3">
      <c r="A706" s="78"/>
      <c r="B706" s="78"/>
      <c r="C706" s="78"/>
      <c r="D706" s="78"/>
      <c r="E706" s="78"/>
      <c r="F706" s="78"/>
      <c r="G706" s="17" t="s">
        <v>1229</v>
      </c>
    </row>
    <row r="707" spans="1:25" ht="12.6" customHeight="1" x14ac:dyDescent="0.3">
      <c r="A707" s="68"/>
      <c r="B707" s="77" t="s">
        <v>1563</v>
      </c>
      <c r="C707" s="78"/>
      <c r="D707" s="78"/>
      <c r="E707" s="78"/>
      <c r="F707" s="78"/>
      <c r="G707" s="17" t="s">
        <v>1562</v>
      </c>
    </row>
    <row r="708" spans="1:25" ht="12.6" customHeight="1" x14ac:dyDescent="0.3">
      <c r="A708" s="78"/>
      <c r="B708" s="78"/>
      <c r="C708" s="78"/>
      <c r="D708" s="78"/>
      <c r="E708" s="78"/>
      <c r="F708" s="78"/>
      <c r="G708" s="17" t="s">
        <v>1229</v>
      </c>
    </row>
    <row r="709" spans="1:25" ht="12.6" customHeight="1" x14ac:dyDescent="0.3">
      <c r="A709" s="68"/>
      <c r="B709" s="77" t="s">
        <v>1565</v>
      </c>
      <c r="C709" s="78"/>
      <c r="D709" s="78"/>
      <c r="E709" s="78"/>
      <c r="F709" s="78"/>
      <c r="G709" s="17" t="s">
        <v>1564</v>
      </c>
    </row>
    <row r="710" spans="1:25" ht="12.6" customHeight="1" x14ac:dyDescent="0.3">
      <c r="A710" s="78"/>
      <c r="B710" s="78"/>
      <c r="C710" s="78"/>
      <c r="D710" s="78"/>
      <c r="E710" s="78"/>
      <c r="F710" s="78"/>
      <c r="G710" s="17" t="s">
        <v>1229</v>
      </c>
    </row>
    <row r="711" spans="1:25" ht="12.6" customHeight="1" x14ac:dyDescent="0.3">
      <c r="A711" s="68"/>
      <c r="B711" s="77" t="s">
        <v>1567</v>
      </c>
      <c r="C711" s="78"/>
      <c r="D711" s="78"/>
      <c r="E711" s="78"/>
      <c r="F711" s="78"/>
      <c r="G711" s="17" t="s">
        <v>1566</v>
      </c>
    </row>
    <row r="712" spans="1:25" ht="12.6" customHeight="1" x14ac:dyDescent="0.3">
      <c r="A712" s="78"/>
      <c r="B712" s="78"/>
      <c r="C712" s="78"/>
      <c r="D712" s="78"/>
      <c r="E712" s="78"/>
      <c r="F712" s="78"/>
      <c r="G712" s="17" t="s">
        <v>1229</v>
      </c>
    </row>
    <row r="713" spans="1:25" ht="12.6" customHeight="1" x14ac:dyDescent="0.3">
      <c r="A713" s="68"/>
      <c r="B713" s="77" t="s">
        <v>1569</v>
      </c>
      <c r="C713" s="78"/>
      <c r="D713" s="78"/>
      <c r="E713" s="78"/>
      <c r="F713" s="78"/>
      <c r="G713" s="17" t="s">
        <v>1568</v>
      </c>
    </row>
    <row r="714" spans="1:25" ht="12.6" customHeight="1" x14ac:dyDescent="0.3">
      <c r="A714" s="78"/>
      <c r="B714" s="78"/>
      <c r="C714" s="78"/>
      <c r="D714" s="78"/>
      <c r="E714" s="78"/>
      <c r="F714" s="78"/>
      <c r="G714" s="17" t="s">
        <v>1229</v>
      </c>
    </row>
    <row r="715" spans="1:25" ht="12.6" customHeight="1" x14ac:dyDescent="0.3">
      <c r="A715" s="78"/>
      <c r="B715" s="78"/>
      <c r="C715" s="78"/>
      <c r="D715" s="78"/>
      <c r="E715" s="78"/>
      <c r="F715" s="78"/>
      <c r="G715" s="17" t="s">
        <v>1229</v>
      </c>
    </row>
    <row r="716" spans="1:25" ht="12.6" customHeight="1" x14ac:dyDescent="0.3">
      <c r="A716" s="68" t="s">
        <v>1571</v>
      </c>
      <c r="B716" s="102" t="str">
        <f>" 노 무 비  :   "&amp;TEXT(I716,"#,##0"&amp;IF(I716&lt;&gt;INT(I716),".###",""))&amp;" / Q = "&amp;TEXT(C716,"#,##0.0")&amp;""</f>
        <v xml:space="preserve"> 노 무 비  :   49,479 / Q = 4,175.4</v>
      </c>
      <c r="C716" s="104">
        <f>E716+D716+F716</f>
        <v>4175.3999999999996</v>
      </c>
      <c r="D716" s="104">
        <f>IF(H716=0,0,ROUNDDOWN(J716*H716,1))</f>
        <v>4175.3999999999996</v>
      </c>
      <c r="E716" s="104">
        <f>IF(H716=0,0,ROUNDDOWN(K716*H716,1))</f>
        <v>0</v>
      </c>
      <c r="F716" s="104">
        <f>IF(H716=0,0,ROUNDDOWN(L716*H716,1))</f>
        <v>0</v>
      </c>
      <c r="G716" s="17" t="s">
        <v>1570</v>
      </c>
      <c r="H716" s="109">
        <v>8.4388185654200004E-2</v>
      </c>
      <c r="I716" s="110">
        <f>K716+J716+L716</f>
        <v>49479</v>
      </c>
      <c r="J716" s="39">
        <f>중기목록표!F18</f>
        <v>49479</v>
      </c>
      <c r="M716" s="35" t="s">
        <v>1572</v>
      </c>
      <c r="N716" s="35" t="s">
        <v>1247</v>
      </c>
      <c r="X716" s="111" t="str">
        <f>중기목록표!B18&amp;" / "&amp;중기목록표!C18</f>
        <v>덤프트럭 / 2.5톤:할증125%</v>
      </c>
      <c r="Y716" s="3" t="str">
        <f ca="1">HYPERLINK("#"&amp;중기목록표!J2&amp;"!A"&amp;ROW(중기목록표!A18),"X00272 →")</f>
        <v>X00272 →</v>
      </c>
    </row>
    <row r="717" spans="1:25" ht="12.6" customHeight="1" x14ac:dyDescent="0.3">
      <c r="A717" s="78"/>
      <c r="B717" s="78"/>
      <c r="C717" s="78"/>
      <c r="D717" s="78"/>
      <c r="E717" s="78"/>
      <c r="F717" s="78"/>
      <c r="G717" s="17" t="s">
        <v>1229</v>
      </c>
    </row>
    <row r="718" spans="1:25" ht="12.6" customHeight="1" x14ac:dyDescent="0.3">
      <c r="A718" s="68" t="s">
        <v>1574</v>
      </c>
      <c r="B718" s="102" t="str">
        <f>" 재 료 비  :   "&amp;TEXT(I718,"#,##0"&amp;IF(I718&lt;&gt;INT(I718),".###",""))&amp;" / Q * (Cm-t1)/Cm = "&amp;TEXT(C718,"#,##0.0")&amp;""</f>
        <v xml:space="preserve"> 재 료 비  :   5,438 / Q * (Cm-t1)/Cm = 128.1</v>
      </c>
      <c r="C718" s="104">
        <f>E718+D718+F718</f>
        <v>128.1</v>
      </c>
      <c r="D718" s="104">
        <f>IF(H718=0,0,ROUNDDOWN(J718*H718,1))</f>
        <v>0</v>
      </c>
      <c r="E718" s="104">
        <f>IF(H718=0,0,ROUNDDOWN(K718*H718,1))</f>
        <v>128.1</v>
      </c>
      <c r="F718" s="104">
        <f>IF(H718=0,0,ROUNDDOWN(L718*H718,1))</f>
        <v>0</v>
      </c>
      <c r="G718" s="17" t="s">
        <v>1573</v>
      </c>
      <c r="H718" s="109">
        <v>2.3572118898E-2</v>
      </c>
      <c r="I718" s="110">
        <f>K718+J718+L718</f>
        <v>5438</v>
      </c>
      <c r="K718" s="39">
        <f>중기목록표!G18</f>
        <v>5438</v>
      </c>
      <c r="M718" s="35" t="s">
        <v>1572</v>
      </c>
      <c r="N718" s="35" t="s">
        <v>1247</v>
      </c>
      <c r="X718" s="111" t="str">
        <f>중기목록표!B18&amp;" / "&amp;중기목록표!C18</f>
        <v>덤프트럭 / 2.5톤:할증125%</v>
      </c>
      <c r="Y718" s="3" t="str">
        <f ca="1">HYPERLINK("#"&amp;중기목록표!J2&amp;"!A"&amp;ROW(중기목록표!A18),"X00272 →")</f>
        <v>X00272 →</v>
      </c>
    </row>
    <row r="719" spans="1:25" ht="12.6" customHeight="1" x14ac:dyDescent="0.3">
      <c r="A719" s="78"/>
      <c r="B719" s="78"/>
      <c r="C719" s="78"/>
      <c r="D719" s="78"/>
      <c r="E719" s="78"/>
      <c r="F719" s="78"/>
      <c r="G719" s="17" t="s">
        <v>1229</v>
      </c>
    </row>
    <row r="720" spans="1:25" ht="12.6" customHeight="1" x14ac:dyDescent="0.3">
      <c r="A720" s="68" t="s">
        <v>1576</v>
      </c>
      <c r="B720" s="102" t="str">
        <f>" 경    비  :   "&amp;TEXT(I720,"#,##0"&amp;IF(I720&lt;&gt;INT(I720),".###",""))&amp;" / Q = "&amp;TEXT(C720,"#,##0.0")&amp;""</f>
        <v xml:space="preserve"> 경    비  :   7,621 / Q = 643.1</v>
      </c>
      <c r="C720" s="104">
        <f>E720+D720+F720</f>
        <v>643.1</v>
      </c>
      <c r="D720" s="104">
        <f>IF(H720=0,0,ROUNDDOWN(J720*H720,1))</f>
        <v>0</v>
      </c>
      <c r="E720" s="104">
        <f>IF(H720=0,0,ROUNDDOWN(K720*H720,1))</f>
        <v>0</v>
      </c>
      <c r="F720" s="104">
        <f>IF(H720=0,0,ROUNDDOWN(L720*H720,1))</f>
        <v>643.1</v>
      </c>
      <c r="G720" s="17" t="s">
        <v>1575</v>
      </c>
      <c r="H720" s="109">
        <v>8.4388185654200004E-2</v>
      </c>
      <c r="I720" s="110">
        <f>K720+J720+L720</f>
        <v>7621</v>
      </c>
      <c r="L720" s="39">
        <f>중기목록표!H18</f>
        <v>7621</v>
      </c>
      <c r="M720" s="35" t="s">
        <v>1572</v>
      </c>
      <c r="N720" s="35" t="s">
        <v>1247</v>
      </c>
      <c r="X720" s="111" t="str">
        <f>중기목록표!B18&amp;" / "&amp;중기목록표!C18</f>
        <v>덤프트럭 / 2.5톤:할증125%</v>
      </c>
      <c r="Y720" s="3" t="str">
        <f ca="1">HYPERLINK("#"&amp;중기목록표!J2&amp;"!A"&amp;ROW(중기목록표!A18),"X00272 →")</f>
        <v>X00272 →</v>
      </c>
    </row>
    <row r="721" spans="1:14" ht="12.6" customHeight="1" x14ac:dyDescent="0.3">
      <c r="A721" s="78"/>
      <c r="B721" s="78"/>
      <c r="C721" s="78"/>
      <c r="D721" s="78"/>
      <c r="E721" s="78"/>
      <c r="F721" s="78"/>
      <c r="G721" s="17" t="s">
        <v>1229</v>
      </c>
    </row>
    <row r="722" spans="1:14" ht="12.6" customHeight="1" x14ac:dyDescent="0.3">
      <c r="A722" s="68"/>
      <c r="B722" s="77" t="s">
        <v>1246</v>
      </c>
      <c r="C722" s="105">
        <f>E722+D722+F722</f>
        <v>4946.6000000000004</v>
      </c>
      <c r="D722" s="105">
        <f>SUMIF(N686:N721,M722,D686:D721)</f>
        <v>4175.3999999999996</v>
      </c>
      <c r="E722" s="105">
        <f>SUMIF(N686:N721,M722,E686:E721)</f>
        <v>128.1</v>
      </c>
      <c r="F722" s="105">
        <f>SUMIF(N686:N721,M722,F686:F721)</f>
        <v>643.1</v>
      </c>
      <c r="G722" s="17" t="s">
        <v>1245</v>
      </c>
      <c r="M722" s="35" t="s">
        <v>1247</v>
      </c>
      <c r="N722" s="35" t="s">
        <v>1348</v>
      </c>
    </row>
    <row r="723" spans="1:14" ht="12.6" customHeight="1" x14ac:dyDescent="0.3">
      <c r="A723" s="78"/>
      <c r="B723" s="78"/>
      <c r="C723" s="103"/>
      <c r="D723" s="103"/>
      <c r="E723" s="103"/>
      <c r="F723" s="103"/>
      <c r="G723" s="17" t="s">
        <v>1229</v>
      </c>
    </row>
    <row r="724" spans="1:14" ht="12.6" customHeight="1" x14ac:dyDescent="0.3">
      <c r="A724" s="68"/>
      <c r="B724" s="77" t="s">
        <v>1101</v>
      </c>
      <c r="C724" s="105">
        <f>E724+D724+F724</f>
        <v>18687.5</v>
      </c>
      <c r="D724" s="105">
        <f>SUMIF(N637:N723,M724,D637:D723)</f>
        <v>11717.099999999999</v>
      </c>
      <c r="E724" s="105">
        <f>SUMIF(N637:N723,M724,E637:E723)</f>
        <v>2669.2</v>
      </c>
      <c r="F724" s="105">
        <f>SUMIF(N637:N723,M724,F637:F723)</f>
        <v>4301.2000000000007</v>
      </c>
      <c r="G724" s="17" t="s">
        <v>1347</v>
      </c>
      <c r="M724" s="35" t="s">
        <v>1348</v>
      </c>
      <c r="N724" s="35" t="s">
        <v>1011</v>
      </c>
    </row>
    <row r="725" spans="1:14" ht="12.6" customHeight="1" x14ac:dyDescent="0.3">
      <c r="A725" s="78"/>
      <c r="B725" s="78"/>
      <c r="C725" s="103"/>
      <c r="D725" s="103"/>
      <c r="E725" s="103"/>
      <c r="F725" s="103"/>
    </row>
    <row r="726" spans="1:14" ht="12.6" customHeight="1" x14ac:dyDescent="0.3">
      <c r="A726" s="78"/>
      <c r="B726" s="78"/>
      <c r="C726" s="78"/>
      <c r="D726" s="78"/>
      <c r="E726" s="78"/>
      <c r="F726" s="78"/>
    </row>
    <row r="727" spans="1:14" ht="12.6" customHeight="1" x14ac:dyDescent="0.3">
      <c r="A727" s="78"/>
      <c r="B727" s="78"/>
      <c r="C727" s="78"/>
      <c r="D727" s="78"/>
      <c r="E727" s="78"/>
      <c r="F727" s="78"/>
    </row>
    <row r="728" spans="1:14" ht="12.6" customHeight="1" x14ac:dyDescent="0.3">
      <c r="A728" s="78"/>
      <c r="B728" s="78"/>
      <c r="C728" s="78"/>
      <c r="D728" s="78"/>
      <c r="E728" s="78"/>
      <c r="F728" s="78"/>
    </row>
    <row r="729" spans="1:14" ht="12.6" customHeight="1" x14ac:dyDescent="0.3">
      <c r="A729" s="78"/>
      <c r="B729" s="78"/>
      <c r="C729" s="78"/>
      <c r="D729" s="78"/>
      <c r="E729" s="78"/>
      <c r="F729" s="78"/>
    </row>
    <row r="730" spans="1:14" ht="12.6" customHeight="1" x14ac:dyDescent="0.3">
      <c r="A730" s="78"/>
      <c r="B730" s="78"/>
      <c r="C730" s="78"/>
      <c r="D730" s="78"/>
      <c r="E730" s="78"/>
      <c r="F730" s="78"/>
    </row>
    <row r="731" spans="1:14" ht="12.6" customHeight="1" x14ac:dyDescent="0.3">
      <c r="A731" s="78"/>
      <c r="B731" s="78"/>
      <c r="C731" s="78"/>
      <c r="D731" s="78"/>
      <c r="E731" s="78"/>
      <c r="F731" s="78"/>
    </row>
    <row r="732" spans="1:14" ht="12.6" customHeight="1" x14ac:dyDescent="0.3">
      <c r="A732" s="78"/>
      <c r="B732" s="78"/>
      <c r="C732" s="78"/>
      <c r="D732" s="78"/>
      <c r="E732" s="78"/>
      <c r="F732" s="78"/>
    </row>
    <row r="733" spans="1:14" ht="12.6" customHeight="1" x14ac:dyDescent="0.3">
      <c r="A733" s="78"/>
      <c r="B733" s="78"/>
      <c r="C733" s="78"/>
      <c r="D733" s="78"/>
      <c r="E733" s="78"/>
      <c r="F733" s="78"/>
    </row>
    <row r="734" spans="1:14" ht="12.6" customHeight="1" x14ac:dyDescent="0.3">
      <c r="A734" s="78"/>
      <c r="B734" s="78"/>
      <c r="C734" s="78"/>
      <c r="D734" s="78"/>
      <c r="E734" s="78"/>
      <c r="F734" s="78"/>
    </row>
    <row r="735" spans="1:14" ht="12.6" customHeight="1" x14ac:dyDescent="0.3">
      <c r="A735" s="78"/>
      <c r="B735" s="78"/>
      <c r="C735" s="78"/>
      <c r="D735" s="78"/>
      <c r="E735" s="78"/>
      <c r="F735" s="78"/>
    </row>
    <row r="736" spans="1:14" ht="12.6" customHeight="1" x14ac:dyDescent="0.3">
      <c r="A736" s="78"/>
      <c r="B736" s="78"/>
      <c r="C736" s="78"/>
      <c r="D736" s="78"/>
      <c r="E736" s="78"/>
      <c r="F736" s="78"/>
    </row>
    <row r="737" spans="1:13" ht="12.6" customHeight="1" x14ac:dyDescent="0.3">
      <c r="A737" s="78"/>
      <c r="B737" s="78"/>
      <c r="C737" s="78"/>
      <c r="D737" s="78"/>
      <c r="E737" s="78"/>
      <c r="F737" s="78"/>
    </row>
    <row r="738" spans="1:13" ht="12.6" customHeight="1" x14ac:dyDescent="0.3">
      <c r="A738" s="56"/>
      <c r="B738" s="56"/>
      <c r="C738" s="56"/>
      <c r="D738" s="56"/>
      <c r="E738" s="56"/>
      <c r="F738" s="56"/>
    </row>
    <row r="739" spans="1:13" ht="12.6" customHeight="1" x14ac:dyDescent="0.3">
      <c r="A739" s="143" t="s">
        <v>1248</v>
      </c>
      <c r="B739" s="144"/>
      <c r="C739" s="54">
        <f>E739+D739+F739</f>
        <v>18687</v>
      </c>
      <c r="D739" s="52">
        <f>ROUNDDOWN(SUMIF(N637:N724,M739,D637:D724),0)</f>
        <v>11717</v>
      </c>
      <c r="E739" s="64">
        <f>ROUNDDOWN(SUMIF(N637:N724,M739,E637:E724),0)</f>
        <v>2669</v>
      </c>
      <c r="F739" s="54">
        <f>ROUNDDOWN(SUMIF(N637:N724,M739,F637:F724),0)</f>
        <v>4301</v>
      </c>
      <c r="M739" s="35" t="s">
        <v>1011</v>
      </c>
    </row>
    <row r="740" spans="1:13" ht="12.6" customHeight="1" x14ac:dyDescent="0.3">
      <c r="A740" s="100" t="s">
        <v>189</v>
      </c>
      <c r="B740" s="101" t="s">
        <v>85</v>
      </c>
      <c r="C740" s="150">
        <f>C774</f>
        <v>4340</v>
      </c>
      <c r="D740" s="150">
        <f>D774</f>
        <v>2403</v>
      </c>
      <c r="E740" s="150">
        <f>E774</f>
        <v>823</v>
      </c>
      <c r="F740" s="150">
        <f>F774</f>
        <v>1114</v>
      </c>
      <c r="G740" s="97" t="str">
        <f>HYPERLINK("#G"&amp;ROW(G759),"_x0005_`BDCOD|D01456_x0007_`POSS|"&amp;ROW(G742)&amp;"_x0007_`POSE|"&amp;ROW(G759)&amp;"_x0007_`")</f>
        <v>_x0005_`BDCOD|D01456_x0007_`POSS|742_x0007_`POSE|759_x0007_`</v>
      </c>
    </row>
    <row r="741" spans="1:13" ht="12.6" customHeight="1" x14ac:dyDescent="0.3">
      <c r="A741" s="83"/>
      <c r="B741" s="101" t="s">
        <v>186</v>
      </c>
      <c r="C741" s="139"/>
      <c r="D741" s="139"/>
      <c r="E741" s="139"/>
      <c r="F741" s="139"/>
      <c r="M741" s="35" t="s">
        <v>189</v>
      </c>
    </row>
    <row r="742" spans="1:13" ht="12.6" customHeight="1" x14ac:dyDescent="0.3">
      <c r="A742" s="78"/>
      <c r="B742" s="78"/>
      <c r="C742" s="103"/>
      <c r="D742" s="103"/>
      <c r="E742" s="103"/>
      <c r="F742" s="103"/>
      <c r="G742" s="17" t="s">
        <v>1229</v>
      </c>
    </row>
    <row r="743" spans="1:13" ht="12.6" customHeight="1" x14ac:dyDescent="0.3">
      <c r="A743" s="68"/>
      <c r="B743" s="77" t="s">
        <v>1578</v>
      </c>
      <c r="C743" s="78"/>
      <c r="D743" s="78"/>
      <c r="E743" s="78"/>
      <c r="F743" s="78"/>
      <c r="G743" s="17" t="s">
        <v>1577</v>
      </c>
    </row>
    <row r="744" spans="1:13" ht="12.6" customHeight="1" x14ac:dyDescent="0.3">
      <c r="A744" s="78"/>
      <c r="B744" s="78"/>
      <c r="C744" s="78"/>
      <c r="D744" s="78"/>
      <c r="E744" s="78"/>
      <c r="F744" s="78"/>
      <c r="G744" s="17" t="s">
        <v>1229</v>
      </c>
    </row>
    <row r="745" spans="1:13" ht="12.6" customHeight="1" x14ac:dyDescent="0.3">
      <c r="A745" s="68"/>
      <c r="B745" s="77" t="s">
        <v>1580</v>
      </c>
      <c r="C745" s="78"/>
      <c r="D745" s="78"/>
      <c r="E745" s="78"/>
      <c r="F745" s="78"/>
      <c r="G745" s="17" t="s">
        <v>1579</v>
      </c>
    </row>
    <row r="746" spans="1:13" ht="12.6" customHeight="1" x14ac:dyDescent="0.3">
      <c r="A746" s="78"/>
      <c r="B746" s="78"/>
      <c r="C746" s="78"/>
      <c r="D746" s="78"/>
      <c r="E746" s="78"/>
      <c r="F746" s="78"/>
      <c r="G746" s="17" t="s">
        <v>1229</v>
      </c>
    </row>
    <row r="747" spans="1:13" ht="12.6" customHeight="1" x14ac:dyDescent="0.3">
      <c r="A747" s="68"/>
      <c r="B747" s="77" t="s">
        <v>1582</v>
      </c>
      <c r="C747" s="78"/>
      <c r="D747" s="78"/>
      <c r="E747" s="78"/>
      <c r="F747" s="78"/>
      <c r="G747" s="17" t="s">
        <v>1581</v>
      </c>
    </row>
    <row r="748" spans="1:13" ht="12.6" customHeight="1" x14ac:dyDescent="0.3">
      <c r="A748" s="78"/>
      <c r="B748" s="78"/>
      <c r="C748" s="78"/>
      <c r="D748" s="78"/>
      <c r="E748" s="78"/>
      <c r="F748" s="78"/>
      <c r="G748" s="17" t="s">
        <v>1229</v>
      </c>
    </row>
    <row r="749" spans="1:13" ht="12.6" customHeight="1" x14ac:dyDescent="0.3">
      <c r="A749" s="68"/>
      <c r="B749" s="77" t="s">
        <v>1584</v>
      </c>
      <c r="C749" s="78"/>
      <c r="D749" s="78"/>
      <c r="E749" s="78"/>
      <c r="F749" s="78"/>
      <c r="G749" s="17" t="s">
        <v>1583</v>
      </c>
    </row>
    <row r="750" spans="1:13" ht="12.6" customHeight="1" x14ac:dyDescent="0.3">
      <c r="A750" s="78"/>
      <c r="B750" s="78"/>
      <c r="C750" s="78"/>
      <c r="D750" s="78"/>
      <c r="E750" s="78"/>
      <c r="F750" s="78"/>
      <c r="G750" s="17" t="s">
        <v>1229</v>
      </c>
    </row>
    <row r="751" spans="1:13" ht="12.6" customHeight="1" x14ac:dyDescent="0.3">
      <c r="A751" s="68"/>
      <c r="B751" s="77" t="s">
        <v>1585</v>
      </c>
      <c r="C751" s="78"/>
      <c r="D751" s="78"/>
      <c r="E751" s="78"/>
      <c r="F751" s="78"/>
      <c r="G751" s="17" t="s">
        <v>1392</v>
      </c>
    </row>
    <row r="752" spans="1:13" ht="12.6" customHeight="1" x14ac:dyDescent="0.3">
      <c r="A752" s="78"/>
      <c r="B752" s="78"/>
      <c r="C752" s="78"/>
      <c r="D752" s="78"/>
      <c r="E752" s="78"/>
      <c r="F752" s="78"/>
      <c r="G752" s="17" t="s">
        <v>1229</v>
      </c>
    </row>
    <row r="753" spans="1:25" ht="12.6" customHeight="1" x14ac:dyDescent="0.3">
      <c r="A753" s="68" t="s">
        <v>1397</v>
      </c>
      <c r="B753" s="102" t="str">
        <f>" 노 무 비 :  "&amp;TEXT(I753,"#,##0"&amp;IF(I753&lt;&gt;INT(I753),".###",""))&amp;" / q1 = "&amp;TEXT(C753,"#,##0.0")&amp;""</f>
        <v xml:space="preserve"> 노 무 비 :  57,077 / q1 = 2,403.2</v>
      </c>
      <c r="C753" s="104">
        <f>E753+D753+F753</f>
        <v>2403.1999999999998</v>
      </c>
      <c r="D753" s="104">
        <f>IF(H753=0,0,ROUNDDOWN(J753*H753,1))</f>
        <v>2403.1999999999998</v>
      </c>
      <c r="E753" s="104">
        <f>IF(H753=0,0,ROUNDDOWN(K753*H753,1))</f>
        <v>0</v>
      </c>
      <c r="F753" s="104">
        <f>IF(H753=0,0,ROUNDDOWN(L753*H753,1))</f>
        <v>0</v>
      </c>
      <c r="G753" s="17" t="s">
        <v>1396</v>
      </c>
      <c r="H753" s="109">
        <v>4.2105263158100002E-2</v>
      </c>
      <c r="I753" s="110">
        <f>K753+J753+L753</f>
        <v>57077</v>
      </c>
      <c r="J753" s="39">
        <f>중기목록표!F20</f>
        <v>57077</v>
      </c>
      <c r="M753" s="35" t="s">
        <v>1084</v>
      </c>
      <c r="N753" s="35" t="s">
        <v>1247</v>
      </c>
      <c r="X753" s="111" t="str">
        <f>중기목록표!B20&amp;" / "&amp;중기목록표!C20</f>
        <v>굴삭기(타이어) / 0.6㎥</v>
      </c>
      <c r="Y753" s="3" t="str">
        <f ca="1">HYPERLINK("#"&amp;중기목록표!J2&amp;"!A"&amp;ROW(중기목록표!A20),"X00283 →")</f>
        <v>X00283 →</v>
      </c>
    </row>
    <row r="754" spans="1:25" ht="12.6" customHeight="1" x14ac:dyDescent="0.3">
      <c r="A754" s="78"/>
      <c r="B754" s="78"/>
      <c r="C754" s="78"/>
      <c r="D754" s="78"/>
      <c r="E754" s="78"/>
      <c r="F754" s="78"/>
      <c r="G754" s="17" t="s">
        <v>1229</v>
      </c>
    </row>
    <row r="755" spans="1:25" ht="12.6" customHeight="1" x14ac:dyDescent="0.3">
      <c r="A755" s="68" t="s">
        <v>1399</v>
      </c>
      <c r="B755" s="102" t="str">
        <f>" 재 료 비 :  "&amp;TEXT(I755,"#,##0"&amp;IF(I755&lt;&gt;INT(I755),".###",""))&amp;" / q1 = "&amp;TEXT(C755,"#,##0.0")&amp;""</f>
        <v xml:space="preserve"> 재 료 비 :  19,547 / q1 = 823.0</v>
      </c>
      <c r="C755" s="104">
        <f>E755+D755+F755</f>
        <v>823</v>
      </c>
      <c r="D755" s="104">
        <f>IF(H755=0,0,ROUNDDOWN(J755*H755,1))</f>
        <v>0</v>
      </c>
      <c r="E755" s="104">
        <f>IF(H755=0,0,ROUNDDOWN(K755*H755,1))</f>
        <v>823</v>
      </c>
      <c r="F755" s="104">
        <f>IF(H755=0,0,ROUNDDOWN(L755*H755,1))</f>
        <v>0</v>
      </c>
      <c r="G755" s="17" t="s">
        <v>1398</v>
      </c>
      <c r="H755" s="109">
        <v>4.2105263158100002E-2</v>
      </c>
      <c r="I755" s="110">
        <f>K755+J755+L755</f>
        <v>19547</v>
      </c>
      <c r="K755" s="39">
        <f>중기목록표!G20</f>
        <v>19547</v>
      </c>
      <c r="M755" s="35" t="s">
        <v>1084</v>
      </c>
      <c r="N755" s="35" t="s">
        <v>1247</v>
      </c>
      <c r="X755" s="111" t="str">
        <f>중기목록표!B20&amp;" / "&amp;중기목록표!C20</f>
        <v>굴삭기(타이어) / 0.6㎥</v>
      </c>
      <c r="Y755" s="3" t="str">
        <f ca="1">HYPERLINK("#"&amp;중기목록표!J2&amp;"!A"&amp;ROW(중기목록표!A20),"X00283 →")</f>
        <v>X00283 →</v>
      </c>
    </row>
    <row r="756" spans="1:25" ht="12.6" customHeight="1" x14ac:dyDescent="0.3">
      <c r="A756" s="78"/>
      <c r="B756" s="78"/>
      <c r="C756" s="78"/>
      <c r="D756" s="78"/>
      <c r="E756" s="78"/>
      <c r="F756" s="78"/>
      <c r="G756" s="17" t="s">
        <v>1229</v>
      </c>
    </row>
    <row r="757" spans="1:25" ht="12.6" customHeight="1" x14ac:dyDescent="0.3">
      <c r="A757" s="68" t="s">
        <v>1401</v>
      </c>
      <c r="B757" s="102" t="str">
        <f>" 경    비 :  "&amp;TEXT(I757,"#,##0"&amp;IF(I757&lt;&gt;INT(I757),".###",""))&amp;" / q1 = "&amp;TEXT(C757,"#,##0.0")&amp;""</f>
        <v xml:space="preserve"> 경    비 :  26,463 / q1 = 1,114.2</v>
      </c>
      <c r="C757" s="104">
        <f>E757+D757+F757</f>
        <v>1114.2</v>
      </c>
      <c r="D757" s="104">
        <f>IF(H757=0,0,ROUNDDOWN(J757*H757,1))</f>
        <v>0</v>
      </c>
      <c r="E757" s="104">
        <f>IF(H757=0,0,ROUNDDOWN(K757*H757,1))</f>
        <v>0</v>
      </c>
      <c r="F757" s="104">
        <f>IF(H757=0,0,ROUNDDOWN(L757*H757,1))</f>
        <v>1114.2</v>
      </c>
      <c r="G757" s="17" t="s">
        <v>1400</v>
      </c>
      <c r="H757" s="109">
        <v>4.2105263158100002E-2</v>
      </c>
      <c r="I757" s="110">
        <f>K757+J757+L757</f>
        <v>26463</v>
      </c>
      <c r="L757" s="39">
        <f>중기목록표!H20</f>
        <v>26463</v>
      </c>
      <c r="M757" s="35" t="s">
        <v>1084</v>
      </c>
      <c r="N757" s="35" t="s">
        <v>1247</v>
      </c>
      <c r="X757" s="111" t="str">
        <f>중기목록표!B20&amp;" / "&amp;중기목록표!C20</f>
        <v>굴삭기(타이어) / 0.6㎥</v>
      </c>
      <c r="Y757" s="3" t="str">
        <f ca="1">HYPERLINK("#"&amp;중기목록표!J2&amp;"!A"&amp;ROW(중기목록표!A20),"X00283 →")</f>
        <v>X00283 →</v>
      </c>
    </row>
    <row r="758" spans="1:25" ht="12.6" customHeight="1" x14ac:dyDescent="0.3">
      <c r="A758" s="78"/>
      <c r="B758" s="78"/>
      <c r="C758" s="78"/>
      <c r="D758" s="78"/>
      <c r="E758" s="78"/>
      <c r="F758" s="78"/>
      <c r="G758" s="17" t="s">
        <v>1229</v>
      </c>
    </row>
    <row r="759" spans="1:25" ht="12.6" customHeight="1" x14ac:dyDescent="0.3">
      <c r="A759" s="68"/>
      <c r="B759" s="77" t="s">
        <v>1246</v>
      </c>
      <c r="C759" s="105">
        <f>E759+D759+F759</f>
        <v>4340.3999999999996</v>
      </c>
      <c r="D759" s="105">
        <f>SUMIF(N742:N758,M759,D742:D758)</f>
        <v>2403.1999999999998</v>
      </c>
      <c r="E759" s="105">
        <f>SUMIF(N742:N758,M759,E742:E758)</f>
        <v>823</v>
      </c>
      <c r="F759" s="105">
        <f>SUMIF(N742:N758,M759,F742:F758)</f>
        <v>1114.2</v>
      </c>
      <c r="G759" s="17" t="s">
        <v>1245</v>
      </c>
      <c r="M759" s="35" t="s">
        <v>1247</v>
      </c>
      <c r="N759" s="35" t="s">
        <v>1011</v>
      </c>
    </row>
    <row r="760" spans="1:25" ht="12.6" customHeight="1" x14ac:dyDescent="0.3">
      <c r="A760" s="78"/>
      <c r="B760" s="78"/>
      <c r="C760" s="103"/>
      <c r="D760" s="103"/>
      <c r="E760" s="103"/>
      <c r="F760" s="103"/>
    </row>
    <row r="761" spans="1:25" ht="12.6" customHeight="1" x14ac:dyDescent="0.3">
      <c r="A761" s="78"/>
      <c r="B761" s="78"/>
      <c r="C761" s="78"/>
      <c r="D761" s="78"/>
      <c r="E761" s="78"/>
      <c r="F761" s="78"/>
    </row>
    <row r="762" spans="1:25" ht="12.6" customHeight="1" x14ac:dyDescent="0.3">
      <c r="A762" s="78"/>
      <c r="B762" s="78"/>
      <c r="C762" s="78"/>
      <c r="D762" s="78"/>
      <c r="E762" s="78"/>
      <c r="F762" s="78"/>
    </row>
    <row r="763" spans="1:25" ht="12.6" customHeight="1" x14ac:dyDescent="0.3">
      <c r="A763" s="78"/>
      <c r="B763" s="78"/>
      <c r="C763" s="78"/>
      <c r="D763" s="78"/>
      <c r="E763" s="78"/>
      <c r="F763" s="78"/>
    </row>
    <row r="764" spans="1:25" ht="12.6" customHeight="1" x14ac:dyDescent="0.3">
      <c r="A764" s="78"/>
      <c r="B764" s="78"/>
      <c r="C764" s="78"/>
      <c r="D764" s="78"/>
      <c r="E764" s="78"/>
      <c r="F764" s="78"/>
    </row>
    <row r="765" spans="1:25" ht="12.6" customHeight="1" x14ac:dyDescent="0.3">
      <c r="A765" s="78"/>
      <c r="B765" s="78"/>
      <c r="C765" s="78"/>
      <c r="D765" s="78"/>
      <c r="E765" s="78"/>
      <c r="F765" s="78"/>
    </row>
    <row r="766" spans="1:25" ht="12.6" customHeight="1" x14ac:dyDescent="0.3">
      <c r="A766" s="78"/>
      <c r="B766" s="78"/>
      <c r="C766" s="78"/>
      <c r="D766" s="78"/>
      <c r="E766" s="78"/>
      <c r="F766" s="78"/>
    </row>
    <row r="767" spans="1:25" ht="12.6" customHeight="1" x14ac:dyDescent="0.3">
      <c r="A767" s="78"/>
      <c r="B767" s="78"/>
      <c r="C767" s="78"/>
      <c r="D767" s="78"/>
      <c r="E767" s="78"/>
      <c r="F767" s="78"/>
    </row>
    <row r="768" spans="1:25" ht="12.6" customHeight="1" x14ac:dyDescent="0.3">
      <c r="A768" s="78"/>
      <c r="B768" s="78"/>
      <c r="C768" s="78"/>
      <c r="D768" s="78"/>
      <c r="E768" s="78"/>
      <c r="F768" s="78"/>
    </row>
    <row r="769" spans="1:13" ht="12.6" customHeight="1" x14ac:dyDescent="0.3">
      <c r="A769" s="78"/>
      <c r="B769" s="78"/>
      <c r="C769" s="78"/>
      <c r="D769" s="78"/>
      <c r="E769" s="78"/>
      <c r="F769" s="78"/>
    </row>
    <row r="770" spans="1:13" ht="12.6" customHeight="1" x14ac:dyDescent="0.3">
      <c r="A770" s="78"/>
      <c r="B770" s="78"/>
      <c r="C770" s="78"/>
      <c r="D770" s="78"/>
      <c r="E770" s="78"/>
      <c r="F770" s="78"/>
    </row>
    <row r="771" spans="1:13" ht="12.6" customHeight="1" x14ac:dyDescent="0.3">
      <c r="A771" s="78"/>
      <c r="B771" s="78"/>
      <c r="C771" s="78"/>
      <c r="D771" s="78"/>
      <c r="E771" s="78"/>
      <c r="F771" s="78"/>
    </row>
    <row r="772" spans="1:13" ht="12.6" customHeight="1" x14ac:dyDescent="0.3">
      <c r="A772" s="78"/>
      <c r="B772" s="78"/>
      <c r="C772" s="78"/>
      <c r="D772" s="78"/>
      <c r="E772" s="78"/>
      <c r="F772" s="78"/>
    </row>
    <row r="773" spans="1:13" ht="12.6" customHeight="1" x14ac:dyDescent="0.3">
      <c r="A773" s="56"/>
      <c r="B773" s="56"/>
      <c r="C773" s="56"/>
      <c r="D773" s="56"/>
      <c r="E773" s="56"/>
      <c r="F773" s="56"/>
    </row>
    <row r="774" spans="1:13" ht="12.6" customHeight="1" x14ac:dyDescent="0.3">
      <c r="A774" s="143" t="s">
        <v>1248</v>
      </c>
      <c r="B774" s="144"/>
      <c r="C774" s="54">
        <f>E774+D774+F774</f>
        <v>4340</v>
      </c>
      <c r="D774" s="52">
        <f>ROUNDDOWN(SUMIF(N742:N759,M774,D742:D759),0)</f>
        <v>2403</v>
      </c>
      <c r="E774" s="64">
        <f>ROUNDDOWN(SUMIF(N742:N759,M774,E742:E759),0)</f>
        <v>823</v>
      </c>
      <c r="F774" s="54">
        <f>ROUNDDOWN(SUMIF(N742:N759,M774,F742:F759),0)</f>
        <v>1114</v>
      </c>
      <c r="M774" s="35" t="s">
        <v>1011</v>
      </c>
    </row>
    <row r="775" spans="1:13" ht="12.6" customHeight="1" x14ac:dyDescent="0.3">
      <c r="A775" s="100" t="s">
        <v>192</v>
      </c>
      <c r="B775" s="101" t="s">
        <v>90</v>
      </c>
      <c r="C775" s="150">
        <f>C809</f>
        <v>4192</v>
      </c>
      <c r="D775" s="150">
        <f>D809</f>
        <v>2923</v>
      </c>
      <c r="E775" s="150">
        <f>E809</f>
        <v>539</v>
      </c>
      <c r="F775" s="150">
        <f>F809</f>
        <v>730</v>
      </c>
      <c r="G775" s="97" t="str">
        <f>HYPERLINK("#G"&amp;ROW(G802),"_x0005_`BDCOD|D01474_x0007_`POSS|"&amp;ROW(G777)&amp;"_x0007_`POSE|"&amp;ROW(G802)&amp;"_x0007_`")</f>
        <v>_x0005_`BDCOD|D01474_x0007_`POSS|777_x0007_`POSE|802_x0007_`</v>
      </c>
    </row>
    <row r="776" spans="1:13" ht="12.6" customHeight="1" x14ac:dyDescent="0.3">
      <c r="A776" s="83"/>
      <c r="B776" s="101" t="s">
        <v>190</v>
      </c>
      <c r="C776" s="139"/>
      <c r="D776" s="139"/>
      <c r="E776" s="139"/>
      <c r="F776" s="139"/>
      <c r="M776" s="35" t="s">
        <v>192</v>
      </c>
    </row>
    <row r="777" spans="1:13" ht="12.6" customHeight="1" x14ac:dyDescent="0.3">
      <c r="A777" s="78"/>
      <c r="B777" s="78"/>
      <c r="C777" s="103"/>
      <c r="D777" s="103"/>
      <c r="E777" s="103"/>
      <c r="F777" s="103"/>
      <c r="G777" s="17" t="s">
        <v>1229</v>
      </c>
    </row>
    <row r="778" spans="1:13" ht="12.6" customHeight="1" x14ac:dyDescent="0.3">
      <c r="A778" s="68"/>
      <c r="B778" s="77" t="s">
        <v>1587</v>
      </c>
      <c r="C778" s="78"/>
      <c r="D778" s="78"/>
      <c r="E778" s="78"/>
      <c r="F778" s="78"/>
      <c r="G778" s="17" t="s">
        <v>1586</v>
      </c>
    </row>
    <row r="779" spans="1:13" ht="12.6" customHeight="1" x14ac:dyDescent="0.3">
      <c r="A779" s="78"/>
      <c r="B779" s="78"/>
      <c r="C779" s="78"/>
      <c r="D779" s="78"/>
      <c r="E779" s="78"/>
      <c r="F779" s="78"/>
      <c r="G779" s="17" t="s">
        <v>1229</v>
      </c>
    </row>
    <row r="780" spans="1:13" ht="12.6" customHeight="1" x14ac:dyDescent="0.3">
      <c r="A780" s="68"/>
      <c r="B780" s="77" t="s">
        <v>1589</v>
      </c>
      <c r="C780" s="78"/>
      <c r="D780" s="78"/>
      <c r="E780" s="78"/>
      <c r="F780" s="78"/>
      <c r="G780" s="17" t="s">
        <v>1588</v>
      </c>
    </row>
    <row r="781" spans="1:13" ht="12.6" customHeight="1" x14ac:dyDescent="0.3">
      <c r="A781" s="78"/>
      <c r="B781" s="78"/>
      <c r="C781" s="78"/>
      <c r="D781" s="78"/>
      <c r="E781" s="78"/>
      <c r="F781" s="78"/>
      <c r="G781" s="17" t="s">
        <v>1229</v>
      </c>
    </row>
    <row r="782" spans="1:13" ht="12.6" customHeight="1" x14ac:dyDescent="0.3">
      <c r="A782" s="68"/>
      <c r="B782" s="77" t="s">
        <v>1591</v>
      </c>
      <c r="C782" s="78"/>
      <c r="D782" s="78"/>
      <c r="E782" s="78"/>
      <c r="F782" s="78"/>
      <c r="G782" s="17" t="s">
        <v>1590</v>
      </c>
    </row>
    <row r="783" spans="1:13" ht="12.6" customHeight="1" x14ac:dyDescent="0.3">
      <c r="A783" s="78"/>
      <c r="B783" s="78"/>
      <c r="C783" s="78"/>
      <c r="D783" s="78"/>
      <c r="E783" s="78"/>
      <c r="F783" s="78"/>
      <c r="G783" s="17" t="s">
        <v>1229</v>
      </c>
    </row>
    <row r="784" spans="1:13" ht="12.6" customHeight="1" x14ac:dyDescent="0.3">
      <c r="A784" s="68"/>
      <c r="B784" s="77" t="s">
        <v>1592</v>
      </c>
      <c r="C784" s="78"/>
      <c r="D784" s="78"/>
      <c r="E784" s="78"/>
      <c r="F784" s="78"/>
      <c r="G784" s="17" t="s">
        <v>1392</v>
      </c>
    </row>
    <row r="785" spans="1:25" ht="12.6" customHeight="1" x14ac:dyDescent="0.3">
      <c r="A785" s="78"/>
      <c r="B785" s="78"/>
      <c r="C785" s="78"/>
      <c r="D785" s="78"/>
      <c r="E785" s="78"/>
      <c r="F785" s="78"/>
      <c r="G785" s="17" t="s">
        <v>1229</v>
      </c>
    </row>
    <row r="786" spans="1:25" ht="12.6" customHeight="1" x14ac:dyDescent="0.3">
      <c r="A786" s="68" t="s">
        <v>1397</v>
      </c>
      <c r="B786" s="102" t="str">
        <f>" 노 무 비 :  "&amp;TEXT(I786,"#,##0"&amp;IF(I786&lt;&gt;INT(I786),".###",""))&amp;" / q1 = "&amp;TEXT(C786,"#,##0.0")&amp;""</f>
        <v xml:space="preserve"> 노 무 비 :  57,077 / q1 = 1,574.5</v>
      </c>
      <c r="C786" s="104">
        <f>E786+D786+F786</f>
        <v>1574.5</v>
      </c>
      <c r="D786" s="104">
        <f>IF(H786=0,0,ROUNDDOWN(J786*H786,1))</f>
        <v>1574.5</v>
      </c>
      <c r="E786" s="104">
        <f>IF(H786=0,0,ROUNDDOWN(K786*H786,1))</f>
        <v>0</v>
      </c>
      <c r="F786" s="104">
        <f>IF(H786=0,0,ROUNDDOWN(L786*H786,1))</f>
        <v>0</v>
      </c>
      <c r="G786" s="17" t="s">
        <v>1396</v>
      </c>
      <c r="H786" s="109">
        <v>2.7586206896800001E-2</v>
      </c>
      <c r="I786" s="110">
        <f>K786+J786+L786</f>
        <v>57077</v>
      </c>
      <c r="J786" s="39">
        <f>중기목록표!F20</f>
        <v>57077</v>
      </c>
      <c r="M786" s="35" t="s">
        <v>1084</v>
      </c>
      <c r="N786" s="35" t="s">
        <v>1247</v>
      </c>
      <c r="X786" s="111" t="str">
        <f>중기목록표!B20&amp;" / "&amp;중기목록표!C20</f>
        <v>굴삭기(타이어) / 0.6㎥</v>
      </c>
      <c r="Y786" s="3" t="str">
        <f ca="1">HYPERLINK("#"&amp;중기목록표!J2&amp;"!A"&amp;ROW(중기목록표!A20),"X00283 →")</f>
        <v>X00283 →</v>
      </c>
    </row>
    <row r="787" spans="1:25" ht="12.6" customHeight="1" x14ac:dyDescent="0.3">
      <c r="A787" s="78"/>
      <c r="B787" s="78"/>
      <c r="C787" s="78"/>
      <c r="D787" s="78"/>
      <c r="E787" s="78"/>
      <c r="F787" s="78"/>
      <c r="G787" s="17" t="s">
        <v>1229</v>
      </c>
    </row>
    <row r="788" spans="1:25" ht="12.6" customHeight="1" x14ac:dyDescent="0.3">
      <c r="A788" s="68" t="s">
        <v>1399</v>
      </c>
      <c r="B788" s="102" t="str">
        <f>" 재 료 비 :  "&amp;TEXT(I788,"#,##0"&amp;IF(I788&lt;&gt;INT(I788),".###",""))&amp;" / q1 = "&amp;TEXT(C788,"#,##0.0")&amp;""</f>
        <v xml:space="preserve"> 재 료 비 :  19,547 / q1 = 539.2</v>
      </c>
      <c r="C788" s="104">
        <f>E788+D788+F788</f>
        <v>539.20000000000005</v>
      </c>
      <c r="D788" s="104">
        <f>IF(H788=0,0,ROUNDDOWN(J788*H788,1))</f>
        <v>0</v>
      </c>
      <c r="E788" s="104">
        <f>IF(H788=0,0,ROUNDDOWN(K788*H788,1))</f>
        <v>539.20000000000005</v>
      </c>
      <c r="F788" s="104">
        <f>IF(H788=0,0,ROUNDDOWN(L788*H788,1))</f>
        <v>0</v>
      </c>
      <c r="G788" s="17" t="s">
        <v>1398</v>
      </c>
      <c r="H788" s="109">
        <v>2.7586206896800001E-2</v>
      </c>
      <c r="I788" s="110">
        <f>K788+J788+L788</f>
        <v>19547</v>
      </c>
      <c r="K788" s="39">
        <f>중기목록표!G20</f>
        <v>19547</v>
      </c>
      <c r="M788" s="35" t="s">
        <v>1084</v>
      </c>
      <c r="N788" s="35" t="s">
        <v>1247</v>
      </c>
      <c r="X788" s="111" t="str">
        <f>중기목록표!B20&amp;" / "&amp;중기목록표!C20</f>
        <v>굴삭기(타이어) / 0.6㎥</v>
      </c>
      <c r="Y788" s="3" t="str">
        <f ca="1">HYPERLINK("#"&amp;중기목록표!J2&amp;"!A"&amp;ROW(중기목록표!A20),"X00283 →")</f>
        <v>X00283 →</v>
      </c>
    </row>
    <row r="789" spans="1:25" ht="12.6" customHeight="1" x14ac:dyDescent="0.3">
      <c r="A789" s="78"/>
      <c r="B789" s="78"/>
      <c r="C789" s="78"/>
      <c r="D789" s="78"/>
      <c r="E789" s="78"/>
      <c r="F789" s="78"/>
      <c r="G789" s="17" t="s">
        <v>1229</v>
      </c>
    </row>
    <row r="790" spans="1:25" ht="12.6" customHeight="1" x14ac:dyDescent="0.3">
      <c r="A790" s="68" t="s">
        <v>1401</v>
      </c>
      <c r="B790" s="102" t="str">
        <f>" 경    비 :  "&amp;TEXT(I790,"#,##0"&amp;IF(I790&lt;&gt;INT(I790),".###",""))&amp;" / q1 = "&amp;TEXT(C790,"#,##0.0")&amp;""</f>
        <v xml:space="preserve"> 경    비 :  26,463 / q1 = 730.0</v>
      </c>
      <c r="C790" s="104">
        <f>E790+D790+F790</f>
        <v>730</v>
      </c>
      <c r="D790" s="104">
        <f>IF(H790=0,0,ROUNDDOWN(J790*H790,1))</f>
        <v>0</v>
      </c>
      <c r="E790" s="104">
        <f>IF(H790=0,0,ROUNDDOWN(K790*H790,1))</f>
        <v>0</v>
      </c>
      <c r="F790" s="104">
        <f>IF(H790=0,0,ROUNDDOWN(L790*H790,1))</f>
        <v>730</v>
      </c>
      <c r="G790" s="17" t="s">
        <v>1400</v>
      </c>
      <c r="H790" s="109">
        <v>2.7586206896800001E-2</v>
      </c>
      <c r="I790" s="110">
        <f>K790+J790+L790</f>
        <v>26463</v>
      </c>
      <c r="L790" s="39">
        <f>중기목록표!H20</f>
        <v>26463</v>
      </c>
      <c r="M790" s="35" t="s">
        <v>1084</v>
      </c>
      <c r="N790" s="35" t="s">
        <v>1247</v>
      </c>
      <c r="X790" s="111" t="str">
        <f>중기목록표!B20&amp;" / "&amp;중기목록표!C20</f>
        <v>굴삭기(타이어) / 0.6㎥</v>
      </c>
      <c r="Y790" s="3" t="str">
        <f ca="1">HYPERLINK("#"&amp;중기목록표!J2&amp;"!A"&amp;ROW(중기목록표!A20),"X00283 →")</f>
        <v>X00283 →</v>
      </c>
    </row>
    <row r="791" spans="1:25" ht="12.6" customHeight="1" x14ac:dyDescent="0.3">
      <c r="A791" s="78"/>
      <c r="B791" s="78"/>
      <c r="C791" s="78"/>
      <c r="D791" s="78"/>
      <c r="E791" s="78"/>
      <c r="F791" s="78"/>
      <c r="G791" s="17" t="s">
        <v>1229</v>
      </c>
    </row>
    <row r="792" spans="1:25" ht="12.6" customHeight="1" x14ac:dyDescent="0.3">
      <c r="A792" s="68"/>
      <c r="B792" s="77" t="s">
        <v>1246</v>
      </c>
      <c r="C792" s="105">
        <f>E792+D792+F792</f>
        <v>2843.7</v>
      </c>
      <c r="D792" s="105">
        <f>SUMIF(N777:N791,M792,D777:D791)</f>
        <v>1574.5</v>
      </c>
      <c r="E792" s="105">
        <f>SUMIF(N777:N791,M792,E777:E791)</f>
        <v>539.20000000000005</v>
      </c>
      <c r="F792" s="105">
        <f>SUMIF(N777:N791,M792,F777:F791)</f>
        <v>730</v>
      </c>
      <c r="G792" s="17" t="s">
        <v>1245</v>
      </c>
      <c r="M792" s="35" t="s">
        <v>1247</v>
      </c>
      <c r="N792" s="35" t="s">
        <v>1348</v>
      </c>
    </row>
    <row r="793" spans="1:25" ht="12.6" customHeight="1" x14ac:dyDescent="0.3">
      <c r="A793" s="78"/>
      <c r="B793" s="78"/>
      <c r="C793" s="103"/>
      <c r="D793" s="103"/>
      <c r="E793" s="103"/>
      <c r="F793" s="103"/>
      <c r="G793" s="17" t="s">
        <v>1229</v>
      </c>
    </row>
    <row r="794" spans="1:25" ht="12.6" customHeight="1" x14ac:dyDescent="0.3">
      <c r="A794" s="68"/>
      <c r="B794" s="77" t="s">
        <v>1594</v>
      </c>
      <c r="C794" s="78"/>
      <c r="D794" s="78"/>
      <c r="E794" s="78"/>
      <c r="F794" s="78"/>
      <c r="G794" s="17" t="s">
        <v>1593</v>
      </c>
    </row>
    <row r="795" spans="1:25" ht="12.6" customHeight="1" x14ac:dyDescent="0.3">
      <c r="A795" s="78"/>
      <c r="B795" s="78"/>
      <c r="C795" s="78"/>
      <c r="D795" s="78"/>
      <c r="E795" s="78"/>
      <c r="F795" s="78"/>
      <c r="G795" s="17" t="s">
        <v>1229</v>
      </c>
    </row>
    <row r="796" spans="1:25" ht="12.6" customHeight="1" x14ac:dyDescent="0.3">
      <c r="A796" s="68" t="s">
        <v>585</v>
      </c>
      <c r="B796" s="102" t="str">
        <f>" ○특별인부:  "&amp;TEXT(I796,"#,##0"&amp;IF(I796&lt;&gt;INT(I796),".###",""))&amp;" * 1.0 / Q = "&amp;TEXT(C796,"#,##0.0")&amp;""</f>
        <v xml:space="preserve"> ○특별인부:  221,506 * 1.0 / Q = 763.8</v>
      </c>
      <c r="C796" s="104">
        <f>E796+D796+F796</f>
        <v>763.8</v>
      </c>
      <c r="D796" s="104">
        <f>IF(H796=0,0,ROUNDDOWN(J796*H796,1))</f>
        <v>763.8</v>
      </c>
      <c r="E796" s="104">
        <f>IF(H796=0,0,ROUNDDOWN(K796*H796,1))</f>
        <v>0</v>
      </c>
      <c r="F796" s="104">
        <f>IF(H796=0,0,ROUNDDOWN(L796*H796,1))</f>
        <v>0</v>
      </c>
      <c r="G796" s="17" t="s">
        <v>1404</v>
      </c>
      <c r="H796" s="109">
        <v>3.4482758622999998E-3</v>
      </c>
      <c r="I796" s="110">
        <f>K796+J796+L796</f>
        <v>221506</v>
      </c>
      <c r="J796" s="39">
        <f>노무비목록표!E10</f>
        <v>221506</v>
      </c>
      <c r="M796" s="35" t="s">
        <v>1405</v>
      </c>
      <c r="N796" s="35" t="s">
        <v>1247</v>
      </c>
      <c r="X796" s="111" t="str">
        <f>노무비목록표!B10&amp;" / "&amp;노무비목록표!C10</f>
        <v xml:space="preserve">특별인부 / </v>
      </c>
      <c r="Y796" s="3" t="str">
        <f ca="1">HYPERLINK("#"&amp;노무비목록표!G2&amp;"!A"&amp;ROW(노무비목록표!A10),"L00015 →")</f>
        <v>L00015 →</v>
      </c>
    </row>
    <row r="797" spans="1:25" ht="12.6" customHeight="1" x14ac:dyDescent="0.3">
      <c r="A797" s="78"/>
      <c r="B797" s="78"/>
      <c r="C797" s="78"/>
      <c r="D797" s="78"/>
      <c r="E797" s="78"/>
      <c r="F797" s="78"/>
      <c r="G797" s="17" t="s">
        <v>1229</v>
      </c>
    </row>
    <row r="798" spans="1:25" ht="12.6" customHeight="1" x14ac:dyDescent="0.3">
      <c r="A798" s="68" t="s">
        <v>588</v>
      </c>
      <c r="B798" s="102" t="str">
        <f>" ○보통인부:  "&amp;TEXT(I798,"#,##0"&amp;IF(I798&lt;&gt;INT(I798),".###",""))&amp;" * 1.0 / Q = "&amp;TEXT(C798,"#,##0.0")&amp;""</f>
        <v xml:space="preserve"> ○보통인부:  169,804 * 1.0 / Q = 585.5</v>
      </c>
      <c r="C798" s="104">
        <f>E798+D798+F798</f>
        <v>585.5</v>
      </c>
      <c r="D798" s="104">
        <f>IF(H798=0,0,ROUNDDOWN(J798*H798,1))</f>
        <v>585.5</v>
      </c>
      <c r="E798" s="104">
        <f>IF(H798=0,0,ROUNDDOWN(K798*H798,1))</f>
        <v>0</v>
      </c>
      <c r="F798" s="104">
        <f>IF(H798=0,0,ROUNDDOWN(L798*H798,1))</f>
        <v>0</v>
      </c>
      <c r="G798" s="17" t="s">
        <v>1406</v>
      </c>
      <c r="H798" s="109">
        <v>3.4482758622999998E-3</v>
      </c>
      <c r="I798" s="110">
        <f>K798+J798+L798</f>
        <v>169804</v>
      </c>
      <c r="J798" s="39">
        <f>노무비목록표!E11</f>
        <v>169804</v>
      </c>
      <c r="M798" s="35" t="s">
        <v>1018</v>
      </c>
      <c r="N798" s="35" t="s">
        <v>1247</v>
      </c>
      <c r="X798" s="111" t="str">
        <f>노무비목록표!B11&amp;" / "&amp;노무비목록표!C11</f>
        <v xml:space="preserve">보통인부 / </v>
      </c>
      <c r="Y798" s="3" t="str">
        <f ca="1">HYPERLINK("#"&amp;노무비목록표!G2&amp;"!A"&amp;ROW(노무비목록표!A11),"L00016 →")</f>
        <v>L00016 →</v>
      </c>
    </row>
    <row r="799" spans="1:25" ht="12.6" customHeight="1" x14ac:dyDescent="0.3">
      <c r="A799" s="78"/>
      <c r="B799" s="78"/>
      <c r="C799" s="78"/>
      <c r="D799" s="78"/>
      <c r="E799" s="78"/>
      <c r="F799" s="78"/>
      <c r="G799" s="17" t="s">
        <v>1229</v>
      </c>
    </row>
    <row r="800" spans="1:25" ht="12.6" customHeight="1" x14ac:dyDescent="0.3">
      <c r="A800" s="68"/>
      <c r="B800" s="77" t="s">
        <v>1246</v>
      </c>
      <c r="C800" s="105">
        <f>E800+D800+F800</f>
        <v>1349.3</v>
      </c>
      <c r="D800" s="105">
        <f>SUMIF(N793:N799,M800,D793:D799)</f>
        <v>1349.3</v>
      </c>
      <c r="E800" s="105">
        <f>SUMIF(N793:N799,M800,E793:E799)</f>
        <v>0</v>
      </c>
      <c r="F800" s="105">
        <f>SUMIF(N793:N799,M800,F793:F799)</f>
        <v>0</v>
      </c>
      <c r="G800" s="17" t="s">
        <v>1245</v>
      </c>
      <c r="M800" s="35" t="s">
        <v>1247</v>
      </c>
      <c r="N800" s="35" t="s">
        <v>1348</v>
      </c>
    </row>
    <row r="801" spans="1:14" ht="12.6" customHeight="1" x14ac:dyDescent="0.3">
      <c r="A801" s="78"/>
      <c r="B801" s="78"/>
      <c r="C801" s="103"/>
      <c r="D801" s="103"/>
      <c r="E801" s="103"/>
      <c r="F801" s="103"/>
      <c r="G801" s="17" t="s">
        <v>1229</v>
      </c>
    </row>
    <row r="802" spans="1:14" ht="12.6" customHeight="1" x14ac:dyDescent="0.3">
      <c r="A802" s="68"/>
      <c r="B802" s="77" t="s">
        <v>1101</v>
      </c>
      <c r="C802" s="105">
        <f>E802+D802+F802</f>
        <v>4193</v>
      </c>
      <c r="D802" s="105">
        <f>SUMIF(N777:N801,M802,D777:D801)</f>
        <v>2923.8</v>
      </c>
      <c r="E802" s="105">
        <f>SUMIF(N777:N801,M802,E777:E801)</f>
        <v>539.20000000000005</v>
      </c>
      <c r="F802" s="105">
        <f>SUMIF(N777:N801,M802,F777:F801)</f>
        <v>730</v>
      </c>
      <c r="G802" s="17" t="s">
        <v>1347</v>
      </c>
      <c r="M802" s="35" t="s">
        <v>1348</v>
      </c>
      <c r="N802" s="35" t="s">
        <v>1011</v>
      </c>
    </row>
    <row r="803" spans="1:14" ht="12.6" customHeight="1" x14ac:dyDescent="0.3">
      <c r="A803" s="78"/>
      <c r="B803" s="78"/>
      <c r="C803" s="103"/>
      <c r="D803" s="103"/>
      <c r="E803" s="103"/>
      <c r="F803" s="103"/>
    </row>
    <row r="804" spans="1:14" ht="12.6" customHeight="1" x14ac:dyDescent="0.3">
      <c r="A804" s="78"/>
      <c r="B804" s="78"/>
      <c r="C804" s="78"/>
      <c r="D804" s="78"/>
      <c r="E804" s="78"/>
      <c r="F804" s="78"/>
    </row>
    <row r="805" spans="1:14" ht="12.6" customHeight="1" x14ac:dyDescent="0.3">
      <c r="A805" s="78"/>
      <c r="B805" s="78"/>
      <c r="C805" s="78"/>
      <c r="D805" s="78"/>
      <c r="E805" s="78"/>
      <c r="F805" s="78"/>
    </row>
    <row r="806" spans="1:14" ht="12.6" customHeight="1" x14ac:dyDescent="0.3">
      <c r="A806" s="78"/>
      <c r="B806" s="78"/>
      <c r="C806" s="78"/>
      <c r="D806" s="78"/>
      <c r="E806" s="78"/>
      <c r="F806" s="78"/>
    </row>
    <row r="807" spans="1:14" ht="12.6" customHeight="1" x14ac:dyDescent="0.3">
      <c r="A807" s="78"/>
      <c r="B807" s="78"/>
      <c r="C807" s="78"/>
      <c r="D807" s="78"/>
      <c r="E807" s="78"/>
      <c r="F807" s="78"/>
    </row>
    <row r="808" spans="1:14" ht="12.6" customHeight="1" x14ac:dyDescent="0.3">
      <c r="A808" s="56"/>
      <c r="B808" s="56"/>
      <c r="C808" s="56"/>
      <c r="D808" s="56"/>
      <c r="E808" s="56"/>
      <c r="F808" s="56"/>
    </row>
    <row r="809" spans="1:14" ht="12.6" customHeight="1" x14ac:dyDescent="0.3">
      <c r="A809" s="143" t="s">
        <v>1248</v>
      </c>
      <c r="B809" s="144"/>
      <c r="C809" s="54">
        <f>E809+D809+F809</f>
        <v>4192</v>
      </c>
      <c r="D809" s="52">
        <f>ROUNDDOWN(SUMIF(N777:N802,M809,D777:D802),0)</f>
        <v>2923</v>
      </c>
      <c r="E809" s="64">
        <f>ROUNDDOWN(SUMIF(N777:N802,M809,E777:E802),0)</f>
        <v>539</v>
      </c>
      <c r="F809" s="54">
        <f>ROUNDDOWN(SUMIF(N777:N802,M809,F777:F802),0)</f>
        <v>730</v>
      </c>
      <c r="M809" s="35" t="s">
        <v>1011</v>
      </c>
    </row>
    <row r="810" spans="1:14" ht="12.6" customHeight="1" x14ac:dyDescent="0.3">
      <c r="A810" s="100" t="s">
        <v>195</v>
      </c>
      <c r="B810" s="101" t="s">
        <v>95</v>
      </c>
      <c r="C810" s="150">
        <f>C844</f>
        <v>1192</v>
      </c>
      <c r="D810" s="150">
        <f>D844</f>
        <v>660</v>
      </c>
      <c r="E810" s="150">
        <f>E844</f>
        <v>226</v>
      </c>
      <c r="F810" s="150">
        <f>F844</f>
        <v>306</v>
      </c>
      <c r="G810" s="97" t="str">
        <f>HYPERLINK("#G"&amp;ROW(G833),"_x0005_`BDCOD|D01475_x0007_`POSS|"&amp;ROW(G812)&amp;"_x0007_`POSE|"&amp;ROW(G833)&amp;"_x0007_`")</f>
        <v>_x0005_`BDCOD|D01475_x0007_`POSS|812_x0007_`POSE|833_x0007_`</v>
      </c>
    </row>
    <row r="811" spans="1:14" ht="12.6" customHeight="1" x14ac:dyDescent="0.3">
      <c r="A811" s="83"/>
      <c r="B811" s="101" t="s">
        <v>193</v>
      </c>
      <c r="C811" s="139"/>
      <c r="D811" s="139"/>
      <c r="E811" s="139"/>
      <c r="F811" s="139"/>
      <c r="M811" s="35" t="s">
        <v>195</v>
      </c>
    </row>
    <row r="812" spans="1:14" ht="12.6" customHeight="1" x14ac:dyDescent="0.3">
      <c r="A812" s="78"/>
      <c r="B812" s="78"/>
      <c r="C812" s="103"/>
      <c r="D812" s="103"/>
      <c r="E812" s="103"/>
      <c r="F812" s="103"/>
      <c r="G812" s="17" t="s">
        <v>1229</v>
      </c>
    </row>
    <row r="813" spans="1:14" ht="12.6" customHeight="1" x14ac:dyDescent="0.3">
      <c r="A813" s="68"/>
      <c r="B813" s="77" t="s">
        <v>1596</v>
      </c>
      <c r="C813" s="78"/>
      <c r="D813" s="78"/>
      <c r="E813" s="78"/>
      <c r="F813" s="78"/>
      <c r="G813" s="17" t="s">
        <v>1595</v>
      </c>
    </row>
    <row r="814" spans="1:14" ht="12.6" customHeight="1" x14ac:dyDescent="0.3">
      <c r="A814" s="78"/>
      <c r="B814" s="78"/>
      <c r="C814" s="78"/>
      <c r="D814" s="78"/>
      <c r="E814" s="78"/>
      <c r="F814" s="78"/>
      <c r="G814" s="17" t="s">
        <v>1229</v>
      </c>
    </row>
    <row r="815" spans="1:14" ht="12.6" customHeight="1" x14ac:dyDescent="0.3">
      <c r="A815" s="68"/>
      <c r="B815" s="77" t="s">
        <v>1598</v>
      </c>
      <c r="C815" s="78"/>
      <c r="D815" s="78"/>
      <c r="E815" s="78"/>
      <c r="F815" s="78"/>
      <c r="G815" s="17" t="s">
        <v>1597</v>
      </c>
    </row>
    <row r="816" spans="1:14" ht="12.6" customHeight="1" x14ac:dyDescent="0.3">
      <c r="A816" s="78"/>
      <c r="B816" s="78"/>
      <c r="C816" s="78"/>
      <c r="D816" s="78"/>
      <c r="E816" s="78"/>
      <c r="F816" s="78"/>
      <c r="G816" s="17" t="s">
        <v>1229</v>
      </c>
    </row>
    <row r="817" spans="1:25" ht="12.6" customHeight="1" x14ac:dyDescent="0.3">
      <c r="A817" s="68"/>
      <c r="B817" s="77" t="s">
        <v>1600</v>
      </c>
      <c r="C817" s="78"/>
      <c r="D817" s="78"/>
      <c r="E817" s="78"/>
      <c r="F817" s="78"/>
      <c r="G817" s="17" t="s">
        <v>1599</v>
      </c>
    </row>
    <row r="818" spans="1:25" ht="12.6" customHeight="1" x14ac:dyDescent="0.3">
      <c r="A818" s="78"/>
      <c r="B818" s="78"/>
      <c r="C818" s="78"/>
      <c r="D818" s="78"/>
      <c r="E818" s="78"/>
      <c r="F818" s="78"/>
      <c r="G818" s="17" t="s">
        <v>1229</v>
      </c>
    </row>
    <row r="819" spans="1:25" ht="12.6" customHeight="1" x14ac:dyDescent="0.3">
      <c r="A819" s="68"/>
      <c r="B819" s="77" t="s">
        <v>1602</v>
      </c>
      <c r="C819" s="78"/>
      <c r="D819" s="78"/>
      <c r="E819" s="78"/>
      <c r="F819" s="78"/>
      <c r="G819" s="17" t="s">
        <v>1601</v>
      </c>
    </row>
    <row r="820" spans="1:25" ht="12.6" customHeight="1" x14ac:dyDescent="0.3">
      <c r="A820" s="78"/>
      <c r="B820" s="78"/>
      <c r="C820" s="78"/>
      <c r="D820" s="78"/>
      <c r="E820" s="78"/>
      <c r="F820" s="78"/>
      <c r="G820" s="17" t="s">
        <v>1229</v>
      </c>
    </row>
    <row r="821" spans="1:25" ht="12.6" customHeight="1" x14ac:dyDescent="0.3">
      <c r="A821" s="68"/>
      <c r="B821" s="77" t="s">
        <v>1604</v>
      </c>
      <c r="C821" s="78"/>
      <c r="D821" s="78"/>
      <c r="E821" s="78"/>
      <c r="F821" s="78"/>
      <c r="G821" s="17" t="s">
        <v>1603</v>
      </c>
    </row>
    <row r="822" spans="1:25" ht="12.6" customHeight="1" x14ac:dyDescent="0.3">
      <c r="A822" s="78"/>
      <c r="B822" s="78"/>
      <c r="C822" s="78"/>
      <c r="D822" s="78"/>
      <c r="E822" s="78"/>
      <c r="F822" s="78"/>
      <c r="G822" s="17" t="s">
        <v>1229</v>
      </c>
    </row>
    <row r="823" spans="1:25" ht="12.6" customHeight="1" x14ac:dyDescent="0.3">
      <c r="A823" s="68"/>
      <c r="B823" s="77" t="s">
        <v>1606</v>
      </c>
      <c r="C823" s="78"/>
      <c r="D823" s="78"/>
      <c r="E823" s="78"/>
      <c r="F823" s="78"/>
      <c r="G823" s="17" t="s">
        <v>1605</v>
      </c>
    </row>
    <row r="824" spans="1:25" ht="12.6" customHeight="1" x14ac:dyDescent="0.3">
      <c r="A824" s="78"/>
      <c r="B824" s="78"/>
      <c r="C824" s="78"/>
      <c r="D824" s="78"/>
      <c r="E824" s="78"/>
      <c r="F824" s="78"/>
      <c r="G824" s="17" t="s">
        <v>1229</v>
      </c>
    </row>
    <row r="825" spans="1:25" ht="12.6" customHeight="1" x14ac:dyDescent="0.3">
      <c r="A825" s="68"/>
      <c r="B825" s="77" t="s">
        <v>1608</v>
      </c>
      <c r="C825" s="78"/>
      <c r="D825" s="78"/>
      <c r="E825" s="78"/>
      <c r="F825" s="78"/>
      <c r="G825" s="17" t="s">
        <v>1607</v>
      </c>
    </row>
    <row r="826" spans="1:25" ht="12.6" customHeight="1" x14ac:dyDescent="0.3">
      <c r="A826" s="78"/>
      <c r="B826" s="78"/>
      <c r="C826" s="78"/>
      <c r="D826" s="78"/>
      <c r="E826" s="78"/>
      <c r="F826" s="78"/>
      <c r="G826" s="17" t="s">
        <v>1229</v>
      </c>
    </row>
    <row r="827" spans="1:25" ht="12.6" customHeight="1" x14ac:dyDescent="0.3">
      <c r="A827" s="68" t="s">
        <v>1397</v>
      </c>
      <c r="B827" s="102" t="str">
        <f>" 노 무 비  : "&amp;TEXT(I827,"#,##0"&amp;IF(I827&lt;&gt;INT(I827),".###",""))&amp;" / Q = "&amp;TEXT(C827,"#,##0.0")&amp;""</f>
        <v xml:space="preserve"> 노 무 비  : 57,077 / Q = 660.6</v>
      </c>
      <c r="C827" s="104">
        <f>E827+D827+F827</f>
        <v>660.6</v>
      </c>
      <c r="D827" s="104">
        <f>IF(H827=0,0,ROUNDDOWN(J827*H827,1))</f>
        <v>660.6</v>
      </c>
      <c r="E827" s="104">
        <f>IF(H827=0,0,ROUNDDOWN(K827*H827,1))</f>
        <v>0</v>
      </c>
      <c r="F827" s="104">
        <f>IF(H827=0,0,ROUNDDOWN(L827*H827,1))</f>
        <v>0</v>
      </c>
      <c r="G827" s="17" t="s">
        <v>1609</v>
      </c>
      <c r="H827" s="109">
        <v>1.15740740743E-2</v>
      </c>
      <c r="I827" s="110">
        <f>K827+J827+L827</f>
        <v>57077</v>
      </c>
      <c r="J827" s="39">
        <f>중기목록표!F20</f>
        <v>57077</v>
      </c>
      <c r="M827" s="35" t="s">
        <v>1084</v>
      </c>
      <c r="N827" s="35" t="s">
        <v>1247</v>
      </c>
      <c r="X827" s="111" t="str">
        <f>중기목록표!B20&amp;" / "&amp;중기목록표!C20</f>
        <v>굴삭기(타이어) / 0.6㎥</v>
      </c>
      <c r="Y827" s="3" t="str">
        <f ca="1">HYPERLINK("#"&amp;중기목록표!J2&amp;"!A"&amp;ROW(중기목록표!A20),"X00283 →")</f>
        <v>X00283 →</v>
      </c>
    </row>
    <row r="828" spans="1:25" ht="12.6" customHeight="1" x14ac:dyDescent="0.3">
      <c r="A828" s="78"/>
      <c r="B828" s="78"/>
      <c r="C828" s="78"/>
      <c r="D828" s="78"/>
      <c r="E828" s="78"/>
      <c r="F828" s="78"/>
      <c r="G828" s="17" t="s">
        <v>1229</v>
      </c>
    </row>
    <row r="829" spans="1:25" ht="12.6" customHeight="1" x14ac:dyDescent="0.3">
      <c r="A829" s="68" t="s">
        <v>1399</v>
      </c>
      <c r="B829" s="102" t="str">
        <f>" 재 료 비  : "&amp;TEXT(I829,"#,##0"&amp;IF(I829&lt;&gt;INT(I829),".###",""))&amp;" / Q = "&amp;TEXT(C829,"#,##0.0")&amp;""</f>
        <v xml:space="preserve"> 재 료 비  : 19,547 / Q = 226.2</v>
      </c>
      <c r="C829" s="104">
        <f>E829+D829+F829</f>
        <v>226.2</v>
      </c>
      <c r="D829" s="104">
        <f>IF(H829=0,0,ROUNDDOWN(J829*H829,1))</f>
        <v>0</v>
      </c>
      <c r="E829" s="104">
        <f>IF(H829=0,0,ROUNDDOWN(K829*H829,1))</f>
        <v>226.2</v>
      </c>
      <c r="F829" s="104">
        <f>IF(H829=0,0,ROUNDDOWN(L829*H829,1))</f>
        <v>0</v>
      </c>
      <c r="G829" s="17" t="s">
        <v>1610</v>
      </c>
      <c r="H829" s="109">
        <v>1.15740740743E-2</v>
      </c>
      <c r="I829" s="110">
        <f>K829+J829+L829</f>
        <v>19547</v>
      </c>
      <c r="K829" s="39">
        <f>중기목록표!G20</f>
        <v>19547</v>
      </c>
      <c r="M829" s="35" t="s">
        <v>1084</v>
      </c>
      <c r="N829" s="35" t="s">
        <v>1247</v>
      </c>
      <c r="X829" s="111" t="str">
        <f>중기목록표!B20&amp;" / "&amp;중기목록표!C20</f>
        <v>굴삭기(타이어) / 0.6㎥</v>
      </c>
      <c r="Y829" s="3" t="str">
        <f ca="1">HYPERLINK("#"&amp;중기목록표!J2&amp;"!A"&amp;ROW(중기목록표!A20),"X00283 →")</f>
        <v>X00283 →</v>
      </c>
    </row>
    <row r="830" spans="1:25" ht="12.6" customHeight="1" x14ac:dyDescent="0.3">
      <c r="A830" s="78"/>
      <c r="B830" s="78"/>
      <c r="C830" s="78"/>
      <c r="D830" s="78"/>
      <c r="E830" s="78"/>
      <c r="F830" s="78"/>
      <c r="G830" s="17" t="s">
        <v>1229</v>
      </c>
    </row>
    <row r="831" spans="1:25" ht="12.6" customHeight="1" x14ac:dyDescent="0.3">
      <c r="A831" s="68" t="s">
        <v>1401</v>
      </c>
      <c r="B831" s="102" t="str">
        <f>" 경    비  : "&amp;TEXT(I831,"#,##0"&amp;IF(I831&lt;&gt;INT(I831),".###",""))&amp;" / Q = "&amp;TEXT(C831,"#,##0.0")&amp;""</f>
        <v xml:space="preserve"> 경    비  : 26,463 / Q = 306.2</v>
      </c>
      <c r="C831" s="104">
        <f>E831+D831+F831</f>
        <v>306.2</v>
      </c>
      <c r="D831" s="104">
        <f>IF(H831=0,0,ROUNDDOWN(J831*H831,1))</f>
        <v>0</v>
      </c>
      <c r="E831" s="104">
        <f>IF(H831=0,0,ROUNDDOWN(K831*H831,1))</f>
        <v>0</v>
      </c>
      <c r="F831" s="104">
        <f>IF(H831=0,0,ROUNDDOWN(L831*H831,1))</f>
        <v>306.2</v>
      </c>
      <c r="G831" s="17" t="s">
        <v>1611</v>
      </c>
      <c r="H831" s="109">
        <v>1.15740740743E-2</v>
      </c>
      <c r="I831" s="110">
        <f>K831+J831+L831</f>
        <v>26463</v>
      </c>
      <c r="L831" s="39">
        <f>중기목록표!H20</f>
        <v>26463</v>
      </c>
      <c r="M831" s="35" t="s">
        <v>1084</v>
      </c>
      <c r="N831" s="35" t="s">
        <v>1247</v>
      </c>
      <c r="X831" s="111" t="str">
        <f>중기목록표!B20&amp;" / "&amp;중기목록표!C20</f>
        <v>굴삭기(타이어) / 0.6㎥</v>
      </c>
      <c r="Y831" s="3" t="str">
        <f ca="1">HYPERLINK("#"&amp;중기목록표!J2&amp;"!A"&amp;ROW(중기목록표!A20),"X00283 →")</f>
        <v>X00283 →</v>
      </c>
    </row>
    <row r="832" spans="1:25" ht="12.6" customHeight="1" x14ac:dyDescent="0.3">
      <c r="A832" s="78"/>
      <c r="B832" s="78"/>
      <c r="C832" s="78"/>
      <c r="D832" s="78"/>
      <c r="E832" s="78"/>
      <c r="F832" s="78"/>
      <c r="G832" s="17" t="s">
        <v>1229</v>
      </c>
    </row>
    <row r="833" spans="1:14" ht="12.6" customHeight="1" x14ac:dyDescent="0.3">
      <c r="A833" s="68"/>
      <c r="B833" s="77" t="s">
        <v>1246</v>
      </c>
      <c r="C833" s="105">
        <f>E833+D833+F833</f>
        <v>1193</v>
      </c>
      <c r="D833" s="105">
        <f>SUMIF(N812:N832,M833,D812:D832)</f>
        <v>660.6</v>
      </c>
      <c r="E833" s="105">
        <f>SUMIF(N812:N832,M833,E812:E832)</f>
        <v>226.2</v>
      </c>
      <c r="F833" s="105">
        <f>SUMIF(N812:N832,M833,F812:F832)</f>
        <v>306.2</v>
      </c>
      <c r="G833" s="17" t="s">
        <v>1245</v>
      </c>
      <c r="M833" s="35" t="s">
        <v>1247</v>
      </c>
      <c r="N833" s="35" t="s">
        <v>1011</v>
      </c>
    </row>
    <row r="834" spans="1:14" ht="12.6" customHeight="1" x14ac:dyDescent="0.3">
      <c r="A834" s="78"/>
      <c r="B834" s="78"/>
      <c r="C834" s="103"/>
      <c r="D834" s="103"/>
      <c r="E834" s="103"/>
      <c r="F834" s="103"/>
    </row>
    <row r="835" spans="1:14" ht="12.6" customHeight="1" x14ac:dyDescent="0.3">
      <c r="A835" s="78"/>
      <c r="B835" s="78"/>
      <c r="C835" s="78"/>
      <c r="D835" s="78"/>
      <c r="E835" s="78"/>
      <c r="F835" s="78"/>
    </row>
    <row r="836" spans="1:14" ht="12.6" customHeight="1" x14ac:dyDescent="0.3">
      <c r="A836" s="78"/>
      <c r="B836" s="78"/>
      <c r="C836" s="78"/>
      <c r="D836" s="78"/>
      <c r="E836" s="78"/>
      <c r="F836" s="78"/>
    </row>
    <row r="837" spans="1:14" ht="12.6" customHeight="1" x14ac:dyDescent="0.3">
      <c r="A837" s="78"/>
      <c r="B837" s="78"/>
      <c r="C837" s="78"/>
      <c r="D837" s="78"/>
      <c r="E837" s="78"/>
      <c r="F837" s="78"/>
    </row>
    <row r="838" spans="1:14" ht="12.6" customHeight="1" x14ac:dyDescent="0.3">
      <c r="A838" s="78"/>
      <c r="B838" s="78"/>
      <c r="C838" s="78"/>
      <c r="D838" s="78"/>
      <c r="E838" s="78"/>
      <c r="F838" s="78"/>
    </row>
    <row r="839" spans="1:14" ht="12.6" customHeight="1" x14ac:dyDescent="0.3">
      <c r="A839" s="78"/>
      <c r="B839" s="78"/>
      <c r="C839" s="78"/>
      <c r="D839" s="78"/>
      <c r="E839" s="78"/>
      <c r="F839" s="78"/>
    </row>
    <row r="840" spans="1:14" ht="12.6" customHeight="1" x14ac:dyDescent="0.3">
      <c r="A840" s="78"/>
      <c r="B840" s="78"/>
      <c r="C840" s="78"/>
      <c r="D840" s="78"/>
      <c r="E840" s="78"/>
      <c r="F840" s="78"/>
    </row>
    <row r="841" spans="1:14" ht="12.6" customHeight="1" x14ac:dyDescent="0.3">
      <c r="A841" s="78"/>
      <c r="B841" s="78"/>
      <c r="C841" s="78"/>
      <c r="D841" s="78"/>
      <c r="E841" s="78"/>
      <c r="F841" s="78"/>
    </row>
    <row r="842" spans="1:14" ht="12.6" customHeight="1" x14ac:dyDescent="0.3">
      <c r="A842" s="78"/>
      <c r="B842" s="78"/>
      <c r="C842" s="78"/>
      <c r="D842" s="78"/>
      <c r="E842" s="78"/>
      <c r="F842" s="78"/>
    </row>
    <row r="843" spans="1:14" ht="12.6" customHeight="1" x14ac:dyDescent="0.3">
      <c r="A843" s="56"/>
      <c r="B843" s="56"/>
      <c r="C843" s="56"/>
      <c r="D843" s="56"/>
      <c r="E843" s="56"/>
      <c r="F843" s="56"/>
    </row>
    <row r="844" spans="1:14" ht="12.6" customHeight="1" x14ac:dyDescent="0.3">
      <c r="A844" s="143" t="s">
        <v>1248</v>
      </c>
      <c r="B844" s="144"/>
      <c r="C844" s="54">
        <f>E844+D844+F844</f>
        <v>1192</v>
      </c>
      <c r="D844" s="52">
        <f>ROUNDDOWN(SUMIF(N812:N833,M844,D812:D833),0)</f>
        <v>660</v>
      </c>
      <c r="E844" s="64">
        <f>ROUNDDOWN(SUMIF(N812:N833,M844,E812:E833),0)</f>
        <v>226</v>
      </c>
      <c r="F844" s="54">
        <f>ROUNDDOWN(SUMIF(N812:N833,M844,F812:F833),0)</f>
        <v>306</v>
      </c>
      <c r="M844" s="35" t="s">
        <v>1011</v>
      </c>
    </row>
    <row r="845" spans="1:14" ht="12.6" customHeight="1" x14ac:dyDescent="0.3">
      <c r="A845" s="100" t="s">
        <v>199</v>
      </c>
      <c r="B845" s="101" t="s">
        <v>100</v>
      </c>
      <c r="C845" s="150">
        <f>C878</f>
        <v>688</v>
      </c>
      <c r="D845" s="150">
        <f>D878</f>
        <v>424</v>
      </c>
      <c r="E845" s="150">
        <f>E878</f>
        <v>117</v>
      </c>
      <c r="F845" s="150">
        <f>F878</f>
        <v>147</v>
      </c>
      <c r="G845" s="97" t="str">
        <f>HYPERLINK("#G"&amp;ROW(G871),"_x0005_`BDCOD|D01476_x0007_`POSS|"&amp;ROW(G847)&amp;"_x0007_`POSE|"&amp;ROW(G871)&amp;"_x0007_`")</f>
        <v>_x0005_`BDCOD|D01476_x0007_`POSS|847_x0007_`POSE|871_x0007_`</v>
      </c>
    </row>
    <row r="846" spans="1:14" ht="12.6" customHeight="1" x14ac:dyDescent="0.3">
      <c r="A846" s="83"/>
      <c r="B846" s="101" t="s">
        <v>196</v>
      </c>
      <c r="C846" s="139"/>
      <c r="D846" s="139"/>
      <c r="E846" s="139"/>
      <c r="F846" s="139"/>
      <c r="M846" s="35" t="s">
        <v>199</v>
      </c>
    </row>
    <row r="847" spans="1:14" ht="12.6" customHeight="1" x14ac:dyDescent="0.3">
      <c r="A847" s="78"/>
      <c r="B847" s="78"/>
      <c r="C847" s="103"/>
      <c r="D847" s="103"/>
      <c r="E847" s="103"/>
      <c r="F847" s="103"/>
      <c r="G847" s="17" t="s">
        <v>1229</v>
      </c>
    </row>
    <row r="848" spans="1:14" ht="12.6" customHeight="1" x14ac:dyDescent="0.3">
      <c r="A848" s="68"/>
      <c r="B848" s="77" t="s">
        <v>1613</v>
      </c>
      <c r="C848" s="78"/>
      <c r="D848" s="78"/>
      <c r="E848" s="78"/>
      <c r="F848" s="78"/>
      <c r="G848" s="17" t="s">
        <v>1612</v>
      </c>
    </row>
    <row r="849" spans="1:25" ht="12.6" customHeight="1" x14ac:dyDescent="0.3">
      <c r="A849" s="78"/>
      <c r="B849" s="78"/>
      <c r="C849" s="78"/>
      <c r="D849" s="78"/>
      <c r="E849" s="78"/>
      <c r="F849" s="78"/>
      <c r="G849" s="17" t="s">
        <v>1614</v>
      </c>
    </row>
    <row r="850" spans="1:25" ht="12.6" customHeight="1" x14ac:dyDescent="0.3">
      <c r="A850" s="68"/>
      <c r="B850" s="77" t="s">
        <v>1616</v>
      </c>
      <c r="C850" s="78"/>
      <c r="D850" s="78"/>
      <c r="E850" s="78"/>
      <c r="F850" s="78"/>
      <c r="G850" s="17" t="s">
        <v>1615</v>
      </c>
    </row>
    <row r="851" spans="1:25" ht="12.6" customHeight="1" x14ac:dyDescent="0.3">
      <c r="A851" s="78"/>
      <c r="B851" s="78"/>
      <c r="C851" s="78"/>
      <c r="D851" s="78"/>
      <c r="E851" s="78"/>
      <c r="F851" s="78"/>
      <c r="G851" s="17" t="s">
        <v>1229</v>
      </c>
    </row>
    <row r="852" spans="1:25" ht="12.6" customHeight="1" x14ac:dyDescent="0.3">
      <c r="A852" s="68"/>
      <c r="B852" s="77" t="s">
        <v>1618</v>
      </c>
      <c r="C852" s="78"/>
      <c r="D852" s="78"/>
      <c r="E852" s="78"/>
      <c r="F852" s="78"/>
      <c r="G852" s="17" t="s">
        <v>1617</v>
      </c>
    </row>
    <row r="853" spans="1:25" ht="12.6" customHeight="1" x14ac:dyDescent="0.3">
      <c r="A853" s="78"/>
      <c r="B853" s="78"/>
      <c r="C853" s="78"/>
      <c r="D853" s="78"/>
      <c r="E853" s="78"/>
      <c r="F853" s="78"/>
      <c r="G853" s="17" t="s">
        <v>1229</v>
      </c>
    </row>
    <row r="854" spans="1:25" ht="12.6" customHeight="1" x14ac:dyDescent="0.3">
      <c r="A854" s="78"/>
      <c r="B854" s="78"/>
      <c r="C854" s="78"/>
      <c r="D854" s="78"/>
      <c r="E854" s="78"/>
      <c r="F854" s="78"/>
      <c r="G854" s="17" t="s">
        <v>1229</v>
      </c>
    </row>
    <row r="855" spans="1:25" ht="12.6" customHeight="1" x14ac:dyDescent="0.3">
      <c r="A855" s="68"/>
      <c r="B855" s="77" t="s">
        <v>1620</v>
      </c>
      <c r="C855" s="78"/>
      <c r="D855" s="78"/>
      <c r="E855" s="78"/>
      <c r="F855" s="78"/>
      <c r="G855" s="17" t="s">
        <v>1619</v>
      </c>
    </row>
    <row r="856" spans="1:25" ht="12.6" customHeight="1" x14ac:dyDescent="0.3">
      <c r="A856" s="78"/>
      <c r="B856" s="78"/>
      <c r="C856" s="78"/>
      <c r="D856" s="78"/>
      <c r="E856" s="78"/>
      <c r="F856" s="78"/>
      <c r="G856" s="17" t="s">
        <v>1229</v>
      </c>
    </row>
    <row r="857" spans="1:25" ht="12.6" customHeight="1" x14ac:dyDescent="0.3">
      <c r="A857" s="68" t="s">
        <v>588</v>
      </c>
      <c r="B857" s="102" t="str">
        <f>" 보통인부 : "&amp;TEXT(I857,"#,##0"&amp;IF(I857&lt;&gt;INT(I857),".###",""))&amp;" * A/100 = "&amp;TEXT(C857,"#,##0.0")&amp;""</f>
        <v xml:space="preserve"> 보통인부 : 169,804 * A/100 = 84.9</v>
      </c>
      <c r="C857" s="104">
        <f>E857+D857+F857</f>
        <v>84.9</v>
      </c>
      <c r="D857" s="104">
        <f>IF(H857=0,0,ROUNDDOWN(J857*H857,1))</f>
        <v>84.9</v>
      </c>
      <c r="E857" s="104">
        <f>IF(H857=0,0,ROUNDDOWN(K857*H857,1))</f>
        <v>0</v>
      </c>
      <c r="F857" s="104">
        <f>IF(H857=0,0,ROUNDDOWN(L857*H857,1))</f>
        <v>0</v>
      </c>
      <c r="G857" s="17" t="s">
        <v>1621</v>
      </c>
      <c r="H857" s="109">
        <v>5.0000000009999999E-4</v>
      </c>
      <c r="I857" s="110">
        <f>K857+J857+L857</f>
        <v>169804</v>
      </c>
      <c r="J857" s="39">
        <f>노무비목록표!E11</f>
        <v>169804</v>
      </c>
      <c r="M857" s="35" t="s">
        <v>1018</v>
      </c>
      <c r="N857" s="35" t="s">
        <v>1247</v>
      </c>
      <c r="X857" s="111" t="str">
        <f>노무비목록표!B11&amp;" / "&amp;노무비목록표!C11</f>
        <v xml:space="preserve">보통인부 / </v>
      </c>
      <c r="Y857" s="3" t="str">
        <f ca="1">HYPERLINK("#"&amp;노무비목록표!G2&amp;"!A"&amp;ROW(노무비목록표!A11),"L00016 →")</f>
        <v>L00016 →</v>
      </c>
    </row>
    <row r="858" spans="1:25" ht="12.6" customHeight="1" x14ac:dyDescent="0.3">
      <c r="A858" s="78"/>
      <c r="B858" s="78"/>
      <c r="C858" s="78"/>
      <c r="D858" s="78"/>
      <c r="E858" s="78"/>
      <c r="F858" s="78"/>
      <c r="G858" s="17" t="s">
        <v>1229</v>
      </c>
    </row>
    <row r="859" spans="1:25" ht="12.6" customHeight="1" x14ac:dyDescent="0.3">
      <c r="A859" s="68"/>
      <c r="B859" s="77" t="s">
        <v>1246</v>
      </c>
      <c r="C859" s="105">
        <f>E859+D859+F859</f>
        <v>84.9</v>
      </c>
      <c r="D859" s="105">
        <f>SUMIF(N847:N858,M859,D847:D858)</f>
        <v>84.9</v>
      </c>
      <c r="E859" s="105">
        <f>SUMIF(N847:N858,M859,E847:E858)</f>
        <v>0</v>
      </c>
      <c r="F859" s="105">
        <f>SUMIF(N847:N858,M859,F847:F858)</f>
        <v>0</v>
      </c>
      <c r="G859" s="17" t="s">
        <v>1245</v>
      </c>
      <c r="M859" s="35" t="s">
        <v>1247</v>
      </c>
      <c r="N859" s="35" t="s">
        <v>1348</v>
      </c>
    </row>
    <row r="860" spans="1:25" ht="12.6" customHeight="1" x14ac:dyDescent="0.3">
      <c r="A860" s="78"/>
      <c r="B860" s="78"/>
      <c r="C860" s="103"/>
      <c r="D860" s="103"/>
      <c r="E860" s="103"/>
      <c r="F860" s="103"/>
      <c r="G860" s="17" t="s">
        <v>1229</v>
      </c>
    </row>
    <row r="861" spans="1:25" ht="12.6" customHeight="1" x14ac:dyDescent="0.3">
      <c r="A861" s="68"/>
      <c r="B861" s="77" t="s">
        <v>1623</v>
      </c>
      <c r="C861" s="78"/>
      <c r="D861" s="78"/>
      <c r="E861" s="78"/>
      <c r="F861" s="78"/>
      <c r="G861" s="17" t="s">
        <v>1622</v>
      </c>
    </row>
    <row r="862" spans="1:25" ht="12.6" customHeight="1" x14ac:dyDescent="0.3">
      <c r="A862" s="78"/>
      <c r="B862" s="78"/>
      <c r="C862" s="78"/>
      <c r="D862" s="78"/>
      <c r="E862" s="78"/>
      <c r="F862" s="78"/>
      <c r="G862" s="17" t="s">
        <v>1229</v>
      </c>
    </row>
    <row r="863" spans="1:25" ht="12.6" customHeight="1" x14ac:dyDescent="0.3">
      <c r="A863" s="68" t="s">
        <v>1270</v>
      </c>
      <c r="B863" s="102" t="str">
        <f>" 노 무 비 :  "&amp;TEXT(I863,"#,##0"&amp;IF(I863&lt;&gt;INT(I863),".###",""))&amp;" * B/100 = "&amp;TEXT(C863,"#,##0.0")&amp;""</f>
        <v xml:space="preserve"> 노 무 비 :  57,077 * B/100 = 399.5</v>
      </c>
      <c r="C863" s="104">
        <f>E863+D863+F863</f>
        <v>399.5</v>
      </c>
      <c r="D863" s="104">
        <f>IF(H863=0,0,ROUNDDOWN(J863*H863,1))</f>
        <v>399.5</v>
      </c>
      <c r="E863" s="104">
        <f>IF(H863=0,0,ROUNDDOWN(K863*H863,1))</f>
        <v>0</v>
      </c>
      <c r="F863" s="104">
        <f>IF(H863=0,0,ROUNDDOWN(L863*H863,1))</f>
        <v>0</v>
      </c>
      <c r="G863" s="17" t="s">
        <v>1624</v>
      </c>
      <c r="H863" s="109">
        <v>7.0000000001E-3</v>
      </c>
      <c r="I863" s="110">
        <f>K863+J863+L863</f>
        <v>57077</v>
      </c>
      <c r="J863" s="39">
        <f>중기목록표!F8</f>
        <v>57077</v>
      </c>
      <c r="M863" s="35" t="s">
        <v>1271</v>
      </c>
      <c r="N863" s="35" t="s">
        <v>1247</v>
      </c>
      <c r="X863" s="111" t="str">
        <f>중기목록표!B8&amp;" / "&amp;중기목록표!C8</f>
        <v>굴삭기(무한궤도) / 0.7㎥</v>
      </c>
      <c r="Y863" s="3" t="str">
        <f ca="1">HYPERLINK("#"&amp;중기목록표!J2&amp;"!A"&amp;ROW(중기목록표!A8),"X00022 →")</f>
        <v>X00022 →</v>
      </c>
    </row>
    <row r="864" spans="1:25" ht="12.6" customHeight="1" x14ac:dyDescent="0.3">
      <c r="A864" s="78"/>
      <c r="B864" s="78"/>
      <c r="C864" s="78"/>
      <c r="D864" s="78"/>
      <c r="E864" s="78"/>
      <c r="F864" s="78"/>
      <c r="G864" s="17" t="s">
        <v>1229</v>
      </c>
    </row>
    <row r="865" spans="1:25" ht="12.6" customHeight="1" x14ac:dyDescent="0.3">
      <c r="A865" s="68" t="s">
        <v>1273</v>
      </c>
      <c r="B865" s="102" t="str">
        <f>" 재 료 비 :  "&amp;TEXT(I865,"#,##0"&amp;IF(I865&lt;&gt;INT(I865),".###",""))&amp;" * B/100 = "&amp;TEXT(C865,"#,##0.0")&amp;""</f>
        <v xml:space="preserve"> 재 료 비 :  19,232 * B/100 = 134.6</v>
      </c>
      <c r="C865" s="104">
        <f>E865+D865+F865</f>
        <v>134.6</v>
      </c>
      <c r="D865" s="104">
        <f>IF(H865=0,0,ROUNDDOWN(J865*H865,1))</f>
        <v>0</v>
      </c>
      <c r="E865" s="104">
        <f>IF(H865=0,0,ROUNDDOWN(K865*H865,1))</f>
        <v>134.6</v>
      </c>
      <c r="F865" s="104">
        <f>IF(H865=0,0,ROUNDDOWN(L865*H865,1))</f>
        <v>0</v>
      </c>
      <c r="G865" s="17" t="s">
        <v>1625</v>
      </c>
      <c r="H865" s="109">
        <v>7.0000000001E-3</v>
      </c>
      <c r="I865" s="110">
        <f>K865+J865+L865</f>
        <v>19232</v>
      </c>
      <c r="K865" s="39">
        <f>중기목록표!G8</f>
        <v>19232</v>
      </c>
      <c r="M865" s="35" t="s">
        <v>1271</v>
      </c>
      <c r="N865" s="35" t="s">
        <v>1247</v>
      </c>
      <c r="X865" s="111" t="str">
        <f>중기목록표!B8&amp;" / "&amp;중기목록표!C8</f>
        <v>굴삭기(무한궤도) / 0.7㎥</v>
      </c>
      <c r="Y865" s="3" t="str">
        <f ca="1">HYPERLINK("#"&amp;중기목록표!J2&amp;"!A"&amp;ROW(중기목록표!A8),"X00022 →")</f>
        <v>X00022 →</v>
      </c>
    </row>
    <row r="866" spans="1:25" ht="12.6" customHeight="1" x14ac:dyDescent="0.3">
      <c r="A866" s="78"/>
      <c r="B866" s="78"/>
      <c r="C866" s="78"/>
      <c r="D866" s="78"/>
      <c r="E866" s="78"/>
      <c r="F866" s="78"/>
      <c r="G866" s="17" t="s">
        <v>1229</v>
      </c>
    </row>
    <row r="867" spans="1:25" ht="12.6" customHeight="1" x14ac:dyDescent="0.3">
      <c r="A867" s="68" t="s">
        <v>1275</v>
      </c>
      <c r="B867" s="102" t="str">
        <f>" 경    비 :  "&amp;TEXT(I867,"#,##0"&amp;IF(I867&lt;&gt;INT(I867),".###",""))&amp;" * B/100 = "&amp;TEXT(C867,"#,##0.0")&amp;""</f>
        <v xml:space="preserve"> 경    비 :  24,001 * B/100 = 168.0</v>
      </c>
      <c r="C867" s="104">
        <f>E867+D867+F867</f>
        <v>168</v>
      </c>
      <c r="D867" s="104">
        <f>IF(H867=0,0,ROUNDDOWN(J867*H867,1))</f>
        <v>0</v>
      </c>
      <c r="E867" s="104">
        <f>IF(H867=0,0,ROUNDDOWN(K867*H867,1))</f>
        <v>0</v>
      </c>
      <c r="F867" s="104">
        <f>IF(H867=0,0,ROUNDDOWN(L867*H867,1))</f>
        <v>168</v>
      </c>
      <c r="G867" s="17" t="s">
        <v>1626</v>
      </c>
      <c r="H867" s="109">
        <v>7.0000000001E-3</v>
      </c>
      <c r="I867" s="110">
        <f>K867+J867+L867</f>
        <v>24001</v>
      </c>
      <c r="L867" s="39">
        <f>중기목록표!H8</f>
        <v>24001</v>
      </c>
      <c r="M867" s="35" t="s">
        <v>1271</v>
      </c>
      <c r="N867" s="35" t="s">
        <v>1247</v>
      </c>
      <c r="X867" s="111" t="str">
        <f>중기목록표!B8&amp;" / "&amp;중기목록표!C8</f>
        <v>굴삭기(무한궤도) / 0.7㎥</v>
      </c>
      <c r="Y867" s="3" t="str">
        <f ca="1">HYPERLINK("#"&amp;중기목록표!J2&amp;"!A"&amp;ROW(중기목록표!A8),"X00022 →")</f>
        <v>X00022 →</v>
      </c>
    </row>
    <row r="868" spans="1:25" ht="12.6" customHeight="1" x14ac:dyDescent="0.3">
      <c r="A868" s="78"/>
      <c r="B868" s="78"/>
      <c r="C868" s="78"/>
      <c r="D868" s="78"/>
      <c r="E868" s="78"/>
      <c r="F868" s="78"/>
      <c r="G868" s="17" t="s">
        <v>1229</v>
      </c>
    </row>
    <row r="869" spans="1:25" ht="12.6" customHeight="1" x14ac:dyDescent="0.3">
      <c r="A869" s="68"/>
      <c r="B869" s="77" t="s">
        <v>1246</v>
      </c>
      <c r="C869" s="105">
        <f>E869+D869+F869</f>
        <v>702.1</v>
      </c>
      <c r="D869" s="105">
        <f>SUMIF(N860:N868,M869,D860:D868)</f>
        <v>399.5</v>
      </c>
      <c r="E869" s="105">
        <f>SUMIF(N860:N868,M869,E860:E868)</f>
        <v>134.6</v>
      </c>
      <c r="F869" s="105">
        <f>SUMIF(N860:N868,M869,F860:F868)</f>
        <v>168</v>
      </c>
      <c r="G869" s="17" t="s">
        <v>1245</v>
      </c>
      <c r="M869" s="35" t="s">
        <v>1247</v>
      </c>
      <c r="N869" s="35" t="s">
        <v>1348</v>
      </c>
    </row>
    <row r="870" spans="1:25" ht="12.6" customHeight="1" x14ac:dyDescent="0.3">
      <c r="A870" s="78"/>
      <c r="B870" s="78"/>
      <c r="C870" s="103"/>
      <c r="D870" s="103"/>
      <c r="E870" s="103"/>
      <c r="F870" s="103"/>
      <c r="G870" s="17" t="s">
        <v>1229</v>
      </c>
    </row>
    <row r="871" spans="1:25" ht="12.6" customHeight="1" x14ac:dyDescent="0.3">
      <c r="A871" s="68"/>
      <c r="B871" s="77" t="s">
        <v>1101</v>
      </c>
      <c r="C871" s="105">
        <f>E871+D871+F871</f>
        <v>787</v>
      </c>
      <c r="D871" s="105">
        <f>SUMIF(N847:N870,M871,D847:D870)</f>
        <v>484.4</v>
      </c>
      <c r="E871" s="105">
        <f>SUMIF(N847:N870,M871,E847:E870)</f>
        <v>134.6</v>
      </c>
      <c r="F871" s="105">
        <f>SUMIF(N847:N870,M871,F847:F870)</f>
        <v>168</v>
      </c>
      <c r="G871" s="17" t="s">
        <v>1347</v>
      </c>
      <c r="M871" s="35" t="s">
        <v>1348</v>
      </c>
      <c r="N871" s="35" t="s">
        <v>1011</v>
      </c>
    </row>
    <row r="872" spans="1:25" ht="12.6" customHeight="1" x14ac:dyDescent="0.3">
      <c r="A872" s="78"/>
      <c r="B872" s="78"/>
      <c r="C872" s="103"/>
      <c r="D872" s="103"/>
      <c r="E872" s="103"/>
      <c r="F872" s="103"/>
    </row>
    <row r="873" spans="1:25" ht="12.6" customHeight="1" x14ac:dyDescent="0.3">
      <c r="A873" s="78"/>
      <c r="B873" s="78"/>
      <c r="C873" s="78"/>
      <c r="D873" s="78"/>
      <c r="E873" s="78"/>
      <c r="F873" s="78"/>
    </row>
    <row r="874" spans="1:25" ht="12.6" customHeight="1" x14ac:dyDescent="0.3">
      <c r="A874" s="78"/>
      <c r="B874" s="78"/>
      <c r="C874" s="78"/>
      <c r="D874" s="78"/>
      <c r="E874" s="78"/>
      <c r="F874" s="78"/>
    </row>
    <row r="875" spans="1:25" ht="12.6" customHeight="1" x14ac:dyDescent="0.3">
      <c r="A875" s="78"/>
      <c r="B875" s="78"/>
      <c r="C875" s="78"/>
      <c r="D875" s="78"/>
      <c r="E875" s="78"/>
      <c r="F875" s="78"/>
    </row>
    <row r="876" spans="1:25" ht="12.6" customHeight="1" x14ac:dyDescent="0.3">
      <c r="A876" s="56"/>
      <c r="B876" s="56"/>
      <c r="C876" s="56"/>
      <c r="D876" s="56"/>
      <c r="E876" s="56"/>
      <c r="F876" s="56"/>
    </row>
    <row r="877" spans="1:25" ht="12.6" customHeight="1" x14ac:dyDescent="0.3">
      <c r="A877" s="143" t="s">
        <v>1101</v>
      </c>
      <c r="B877" s="144"/>
      <c r="C877" s="54">
        <f>E877+D877+F877</f>
        <v>786</v>
      </c>
      <c r="D877" s="52">
        <f>ROUNDDOWN(SUMIF(N847:N871,M877,D847:D871),0)</f>
        <v>484</v>
      </c>
      <c r="E877" s="64">
        <f>ROUNDDOWN(SUMIF(N847:N871,M877,E847:E871),0)</f>
        <v>134</v>
      </c>
      <c r="F877" s="54">
        <f>ROUNDDOWN(SUMIF(N847:N871,M877,F847:F871),0)</f>
        <v>168</v>
      </c>
      <c r="M877" s="35" t="s">
        <v>1011</v>
      </c>
      <c r="N877" s="35" t="s">
        <v>1102</v>
      </c>
    </row>
    <row r="878" spans="1:25" ht="12.6" customHeight="1" x14ac:dyDescent="0.3">
      <c r="A878" s="143" t="s">
        <v>1103</v>
      </c>
      <c r="B878" s="144"/>
      <c r="C878" s="54">
        <f>E878+D878+F878</f>
        <v>688</v>
      </c>
      <c r="D878" s="52">
        <f>ROUNDDOWN(D877*H878/100,0)</f>
        <v>424</v>
      </c>
      <c r="E878" s="64">
        <f>ROUNDDOWN(E877*H878/100,0)</f>
        <v>117</v>
      </c>
      <c r="F878" s="54">
        <f>ROUNDDOWN(F877*H878/100,0)</f>
        <v>147</v>
      </c>
      <c r="H878" s="37">
        <v>87.745000000000005</v>
      </c>
      <c r="M878" s="35" t="s">
        <v>1102</v>
      </c>
    </row>
    <row r="879" spans="1:25" ht="12.6" customHeight="1" x14ac:dyDescent="0.3">
      <c r="A879" s="100" t="s">
        <v>203</v>
      </c>
      <c r="B879" s="101" t="s">
        <v>105</v>
      </c>
      <c r="C879" s="150">
        <f>C912</f>
        <v>2156</v>
      </c>
      <c r="D879" s="150">
        <f>D912</f>
        <v>1228</v>
      </c>
      <c r="E879" s="150">
        <f>E912</f>
        <v>413</v>
      </c>
      <c r="F879" s="150">
        <f>F912</f>
        <v>515</v>
      </c>
      <c r="G879" s="97" t="str">
        <f>HYPERLINK("#G"&amp;ROW(G904),"_x0005_`BDCOD|D01477_x0007_`POSS|"&amp;ROW(G881)&amp;"_x0007_`POSE|"&amp;ROW(G904)&amp;"_x0007_`")</f>
        <v>_x0005_`BDCOD|D01477_x0007_`POSS|881_x0007_`POSE|904_x0007_`</v>
      </c>
    </row>
    <row r="880" spans="1:25" ht="12.6" customHeight="1" x14ac:dyDescent="0.3">
      <c r="A880" s="83"/>
      <c r="B880" s="101" t="s">
        <v>200</v>
      </c>
      <c r="C880" s="139"/>
      <c r="D880" s="139"/>
      <c r="E880" s="139"/>
      <c r="F880" s="139"/>
      <c r="M880" s="35" t="s">
        <v>203</v>
      </c>
    </row>
    <row r="881" spans="1:7" ht="12.6" customHeight="1" x14ac:dyDescent="0.3">
      <c r="A881" s="68"/>
      <c r="B881" s="77" t="s">
        <v>1628</v>
      </c>
      <c r="C881" s="103"/>
      <c r="D881" s="103"/>
      <c r="E881" s="103"/>
      <c r="F881" s="103"/>
      <c r="G881" s="17" t="s">
        <v>1627</v>
      </c>
    </row>
    <row r="882" spans="1:7" ht="12.6" customHeight="1" x14ac:dyDescent="0.3">
      <c r="A882" s="78"/>
      <c r="B882" s="78"/>
      <c r="C882" s="78"/>
      <c r="D882" s="78"/>
      <c r="E882" s="78"/>
      <c r="F882" s="78"/>
      <c r="G882" s="17" t="s">
        <v>1229</v>
      </c>
    </row>
    <row r="883" spans="1:7" ht="12.6" customHeight="1" x14ac:dyDescent="0.3">
      <c r="A883" s="68"/>
      <c r="B883" s="77" t="s">
        <v>1630</v>
      </c>
      <c r="C883" s="78"/>
      <c r="D883" s="78"/>
      <c r="E883" s="78"/>
      <c r="F883" s="78"/>
      <c r="G883" s="17" t="s">
        <v>1629</v>
      </c>
    </row>
    <row r="884" spans="1:7" ht="12.6" customHeight="1" x14ac:dyDescent="0.3">
      <c r="A884" s="78"/>
      <c r="B884" s="78"/>
      <c r="C884" s="78"/>
      <c r="D884" s="78"/>
      <c r="E884" s="78"/>
      <c r="F884" s="78"/>
      <c r="G884" s="17" t="s">
        <v>1229</v>
      </c>
    </row>
    <row r="885" spans="1:7" ht="12.6" customHeight="1" x14ac:dyDescent="0.3">
      <c r="A885" s="68"/>
      <c r="B885" s="77" t="s">
        <v>1632</v>
      </c>
      <c r="C885" s="78"/>
      <c r="D885" s="78"/>
      <c r="E885" s="78"/>
      <c r="F885" s="78"/>
      <c r="G885" s="17" t="s">
        <v>1631</v>
      </c>
    </row>
    <row r="886" spans="1:7" ht="12.6" customHeight="1" x14ac:dyDescent="0.3">
      <c r="A886" s="78"/>
      <c r="B886" s="78"/>
      <c r="C886" s="78"/>
      <c r="D886" s="78"/>
      <c r="E886" s="78"/>
      <c r="F886" s="78"/>
      <c r="G886" s="17" t="s">
        <v>1229</v>
      </c>
    </row>
    <row r="887" spans="1:7" ht="12.6" customHeight="1" x14ac:dyDescent="0.3">
      <c r="A887" s="68"/>
      <c r="B887" s="77" t="s">
        <v>1634</v>
      </c>
      <c r="C887" s="78"/>
      <c r="D887" s="78"/>
      <c r="E887" s="78"/>
      <c r="F887" s="78"/>
      <c r="G887" s="17" t="s">
        <v>1633</v>
      </c>
    </row>
    <row r="888" spans="1:7" ht="12.6" customHeight="1" x14ac:dyDescent="0.3">
      <c r="A888" s="78"/>
      <c r="B888" s="78"/>
      <c r="C888" s="78"/>
      <c r="D888" s="78"/>
      <c r="E888" s="78"/>
      <c r="F888" s="78"/>
      <c r="G888" s="17" t="s">
        <v>1229</v>
      </c>
    </row>
    <row r="889" spans="1:7" ht="12.6" customHeight="1" x14ac:dyDescent="0.3">
      <c r="A889" s="68"/>
      <c r="B889" s="77" t="s">
        <v>1636</v>
      </c>
      <c r="C889" s="78"/>
      <c r="D889" s="78"/>
      <c r="E889" s="78"/>
      <c r="F889" s="78"/>
      <c r="G889" s="17" t="s">
        <v>1635</v>
      </c>
    </row>
    <row r="890" spans="1:7" ht="12.6" customHeight="1" x14ac:dyDescent="0.3">
      <c r="A890" s="78"/>
      <c r="B890" s="78"/>
      <c r="C890" s="78"/>
      <c r="D890" s="78"/>
      <c r="E890" s="78"/>
      <c r="F890" s="78"/>
      <c r="G890" s="17" t="s">
        <v>1229</v>
      </c>
    </row>
    <row r="891" spans="1:7" ht="12.6" customHeight="1" x14ac:dyDescent="0.3">
      <c r="A891" s="68"/>
      <c r="B891" s="77" t="s">
        <v>1638</v>
      </c>
      <c r="C891" s="78"/>
      <c r="D891" s="78"/>
      <c r="E891" s="78"/>
      <c r="F891" s="78"/>
      <c r="G891" s="17" t="s">
        <v>1637</v>
      </c>
    </row>
    <row r="892" spans="1:7" ht="12.6" customHeight="1" x14ac:dyDescent="0.3">
      <c r="A892" s="78"/>
      <c r="B892" s="78"/>
      <c r="C892" s="78"/>
      <c r="D892" s="78"/>
      <c r="E892" s="78"/>
      <c r="F892" s="78"/>
      <c r="G892" s="17" t="s">
        <v>1229</v>
      </c>
    </row>
    <row r="893" spans="1:7" ht="12.6" customHeight="1" x14ac:dyDescent="0.3">
      <c r="A893" s="68"/>
      <c r="B893" s="77" t="s">
        <v>1640</v>
      </c>
      <c r="C893" s="78"/>
      <c r="D893" s="78"/>
      <c r="E893" s="78"/>
      <c r="F893" s="78"/>
      <c r="G893" s="17" t="s">
        <v>1639</v>
      </c>
    </row>
    <row r="894" spans="1:7" ht="12.6" customHeight="1" x14ac:dyDescent="0.3">
      <c r="A894" s="78"/>
      <c r="B894" s="78"/>
      <c r="C894" s="78"/>
      <c r="D894" s="78"/>
      <c r="E894" s="78"/>
      <c r="F894" s="78"/>
      <c r="G894" s="17" t="s">
        <v>1229</v>
      </c>
    </row>
    <row r="895" spans="1:7" ht="12.6" customHeight="1" x14ac:dyDescent="0.3">
      <c r="A895" s="68"/>
      <c r="B895" s="77" t="s">
        <v>1641</v>
      </c>
      <c r="C895" s="78"/>
      <c r="D895" s="78"/>
      <c r="E895" s="78"/>
      <c r="F895" s="78"/>
      <c r="G895" s="17" t="s">
        <v>1607</v>
      </c>
    </row>
    <row r="896" spans="1:7" ht="12.6" customHeight="1" x14ac:dyDescent="0.3">
      <c r="A896" s="78"/>
      <c r="B896" s="78"/>
      <c r="C896" s="78"/>
      <c r="D896" s="78"/>
      <c r="E896" s="78"/>
      <c r="F896" s="78"/>
      <c r="G896" s="17" t="s">
        <v>1496</v>
      </c>
    </row>
    <row r="897" spans="1:25" ht="12.6" customHeight="1" x14ac:dyDescent="0.3">
      <c r="A897" s="78"/>
      <c r="B897" s="78"/>
      <c r="C897" s="78"/>
      <c r="D897" s="78"/>
      <c r="E897" s="78"/>
      <c r="F897" s="78"/>
      <c r="G897" s="17" t="s">
        <v>1229</v>
      </c>
    </row>
    <row r="898" spans="1:25" ht="12.6" customHeight="1" x14ac:dyDescent="0.3">
      <c r="A898" s="68" t="s">
        <v>1270</v>
      </c>
      <c r="B898" s="102" t="str">
        <f>" 노 무 비  : "&amp;TEXT(I898,"#,##0"&amp;IF(I898&lt;&gt;INT(I898),".###",""))&amp;" / Q = "&amp;TEXT(C898,"#,##0.0")&amp;""</f>
        <v xml:space="preserve"> 노 무 비  : 57,077 / Q = 1,400.6</v>
      </c>
      <c r="C898" s="104">
        <f>E898+D898+F898</f>
        <v>1400.6</v>
      </c>
      <c r="D898" s="104">
        <f>IF(H898=0,0,ROUNDDOWN(J898*H898,1))</f>
        <v>1400.6</v>
      </c>
      <c r="E898" s="104">
        <f>IF(H898=0,0,ROUNDDOWN(K898*H898,1))</f>
        <v>0</v>
      </c>
      <c r="F898" s="104">
        <f>IF(H898=0,0,ROUNDDOWN(L898*H898,1))</f>
        <v>0</v>
      </c>
      <c r="G898" s="17" t="s">
        <v>1269</v>
      </c>
      <c r="H898" s="109">
        <v>2.4539877300800001E-2</v>
      </c>
      <c r="I898" s="110">
        <f>K898+J898+L898</f>
        <v>57077</v>
      </c>
      <c r="J898" s="39">
        <f>중기목록표!F8</f>
        <v>57077</v>
      </c>
      <c r="M898" s="35" t="s">
        <v>1271</v>
      </c>
      <c r="N898" s="35" t="s">
        <v>1247</v>
      </c>
      <c r="X898" s="111" t="str">
        <f>중기목록표!B8&amp;" / "&amp;중기목록표!C8</f>
        <v>굴삭기(무한궤도) / 0.7㎥</v>
      </c>
      <c r="Y898" s="3" t="str">
        <f ca="1">HYPERLINK("#"&amp;중기목록표!J2&amp;"!A"&amp;ROW(중기목록표!A8),"X00022 →")</f>
        <v>X00022 →</v>
      </c>
    </row>
    <row r="899" spans="1:25" ht="12.6" customHeight="1" x14ac:dyDescent="0.3">
      <c r="A899" s="78"/>
      <c r="B899" s="78"/>
      <c r="C899" s="78"/>
      <c r="D899" s="78"/>
      <c r="E899" s="78"/>
      <c r="F899" s="78"/>
      <c r="G899" s="17" t="s">
        <v>1229</v>
      </c>
    </row>
    <row r="900" spans="1:25" ht="12.6" customHeight="1" x14ac:dyDescent="0.3">
      <c r="A900" s="68" t="s">
        <v>1273</v>
      </c>
      <c r="B900" s="102" t="str">
        <f>" 재 료 비  : "&amp;TEXT(I900,"#,##0"&amp;IF(I900&lt;&gt;INT(I900),".###",""))&amp;" / Q = "&amp;TEXT(C900,"#,##0.0")&amp;""</f>
        <v xml:space="preserve"> 재 료 비  : 19,232 / Q = 471.9</v>
      </c>
      <c r="C900" s="104">
        <f>E900+D900+F900</f>
        <v>471.9</v>
      </c>
      <c r="D900" s="104">
        <f>IF(H900=0,0,ROUNDDOWN(J900*H900,1))</f>
        <v>0</v>
      </c>
      <c r="E900" s="104">
        <f>IF(H900=0,0,ROUNDDOWN(K900*H900,1))</f>
        <v>471.9</v>
      </c>
      <c r="F900" s="104">
        <f>IF(H900=0,0,ROUNDDOWN(L900*H900,1))</f>
        <v>0</v>
      </c>
      <c r="G900" s="17" t="s">
        <v>1272</v>
      </c>
      <c r="H900" s="109">
        <v>2.4539877300800001E-2</v>
      </c>
      <c r="I900" s="110">
        <f>K900+J900+L900</f>
        <v>19232</v>
      </c>
      <c r="K900" s="39">
        <f>중기목록표!G8</f>
        <v>19232</v>
      </c>
      <c r="M900" s="35" t="s">
        <v>1271</v>
      </c>
      <c r="N900" s="35" t="s">
        <v>1247</v>
      </c>
      <c r="X900" s="111" t="str">
        <f>중기목록표!B8&amp;" / "&amp;중기목록표!C8</f>
        <v>굴삭기(무한궤도) / 0.7㎥</v>
      </c>
      <c r="Y900" s="3" t="str">
        <f ca="1">HYPERLINK("#"&amp;중기목록표!J2&amp;"!A"&amp;ROW(중기목록표!A8),"X00022 →")</f>
        <v>X00022 →</v>
      </c>
    </row>
    <row r="901" spans="1:25" ht="12.6" customHeight="1" x14ac:dyDescent="0.3">
      <c r="A901" s="78"/>
      <c r="B901" s="78"/>
      <c r="C901" s="78"/>
      <c r="D901" s="78"/>
      <c r="E901" s="78"/>
      <c r="F901" s="78"/>
      <c r="G901" s="17" t="s">
        <v>1229</v>
      </c>
    </row>
    <row r="902" spans="1:25" ht="12.6" customHeight="1" x14ac:dyDescent="0.3">
      <c r="A902" s="68" t="s">
        <v>1275</v>
      </c>
      <c r="B902" s="102" t="str">
        <f>" 경    비  : "&amp;TEXT(I902,"#,##0"&amp;IF(I902&lt;&gt;INT(I902),".###",""))&amp;" / Q = "&amp;TEXT(C902,"#,##0.0")&amp;""</f>
        <v xml:space="preserve"> 경    비  : 24,001 / Q = 588.9</v>
      </c>
      <c r="C902" s="104">
        <f>E902+D902+F902</f>
        <v>588.9</v>
      </c>
      <c r="D902" s="104">
        <f>IF(H902=0,0,ROUNDDOWN(J902*H902,1))</f>
        <v>0</v>
      </c>
      <c r="E902" s="104">
        <f>IF(H902=0,0,ROUNDDOWN(K902*H902,1))</f>
        <v>0</v>
      </c>
      <c r="F902" s="104">
        <f>IF(H902=0,0,ROUNDDOWN(L902*H902,1))</f>
        <v>588.9</v>
      </c>
      <c r="G902" s="17" t="s">
        <v>1274</v>
      </c>
      <c r="H902" s="109">
        <v>2.4539877300800001E-2</v>
      </c>
      <c r="I902" s="110">
        <f>K902+J902+L902</f>
        <v>24001</v>
      </c>
      <c r="L902" s="39">
        <f>중기목록표!H8</f>
        <v>24001</v>
      </c>
      <c r="M902" s="35" t="s">
        <v>1271</v>
      </c>
      <c r="N902" s="35" t="s">
        <v>1247</v>
      </c>
      <c r="X902" s="111" t="str">
        <f>중기목록표!B8&amp;" / "&amp;중기목록표!C8</f>
        <v>굴삭기(무한궤도) / 0.7㎥</v>
      </c>
      <c r="Y902" s="3" t="str">
        <f ca="1">HYPERLINK("#"&amp;중기목록표!J2&amp;"!A"&amp;ROW(중기목록표!A8),"X00022 →")</f>
        <v>X00022 →</v>
      </c>
    </row>
    <row r="903" spans="1:25" ht="12.6" customHeight="1" x14ac:dyDescent="0.3">
      <c r="A903" s="78"/>
      <c r="B903" s="78"/>
      <c r="C903" s="78"/>
      <c r="D903" s="78"/>
      <c r="E903" s="78"/>
      <c r="F903" s="78"/>
      <c r="G903" s="17" t="s">
        <v>1229</v>
      </c>
    </row>
    <row r="904" spans="1:25" ht="12.6" customHeight="1" x14ac:dyDescent="0.3">
      <c r="A904" s="68"/>
      <c r="B904" s="77" t="s">
        <v>1246</v>
      </c>
      <c r="C904" s="105">
        <f>E904+D904+F904</f>
        <v>2461.4</v>
      </c>
      <c r="D904" s="105">
        <f>SUMIF(N881:N903,M904,D881:D903)</f>
        <v>1400.6</v>
      </c>
      <c r="E904" s="105">
        <f>SUMIF(N881:N903,M904,E881:E903)</f>
        <v>471.9</v>
      </c>
      <c r="F904" s="105">
        <f>SUMIF(N881:N903,M904,F881:F903)</f>
        <v>588.9</v>
      </c>
      <c r="G904" s="17" t="s">
        <v>1245</v>
      </c>
      <c r="M904" s="35" t="s">
        <v>1247</v>
      </c>
      <c r="N904" s="35" t="s">
        <v>1011</v>
      </c>
    </row>
    <row r="905" spans="1:25" ht="12.6" customHeight="1" x14ac:dyDescent="0.3">
      <c r="A905" s="78"/>
      <c r="B905" s="78"/>
      <c r="C905" s="103"/>
      <c r="D905" s="103"/>
      <c r="E905" s="103"/>
      <c r="F905" s="103"/>
    </row>
    <row r="906" spans="1:25" ht="12.6" customHeight="1" x14ac:dyDescent="0.3">
      <c r="A906" s="78"/>
      <c r="B906" s="78"/>
      <c r="C906" s="78"/>
      <c r="D906" s="78"/>
      <c r="E906" s="78"/>
      <c r="F906" s="78"/>
    </row>
    <row r="907" spans="1:25" ht="12.6" customHeight="1" x14ac:dyDescent="0.3">
      <c r="A907" s="78"/>
      <c r="B907" s="78"/>
      <c r="C907" s="78"/>
      <c r="D907" s="78"/>
      <c r="E907" s="78"/>
      <c r="F907" s="78"/>
    </row>
    <row r="908" spans="1:25" ht="12.6" customHeight="1" x14ac:dyDescent="0.3">
      <c r="A908" s="78"/>
      <c r="B908" s="78"/>
      <c r="C908" s="78"/>
      <c r="D908" s="78"/>
      <c r="E908" s="78"/>
      <c r="F908" s="78"/>
    </row>
    <row r="909" spans="1:25" ht="12.6" customHeight="1" x14ac:dyDescent="0.3">
      <c r="A909" s="78"/>
      <c r="B909" s="78"/>
      <c r="C909" s="78"/>
      <c r="D909" s="78"/>
      <c r="E909" s="78"/>
      <c r="F909" s="78"/>
    </row>
    <row r="910" spans="1:25" ht="12.6" customHeight="1" x14ac:dyDescent="0.3">
      <c r="A910" s="56"/>
      <c r="B910" s="56"/>
      <c r="C910" s="56"/>
      <c r="D910" s="56"/>
      <c r="E910" s="56"/>
      <c r="F910" s="56"/>
    </row>
    <row r="911" spans="1:25" ht="12.6" customHeight="1" x14ac:dyDescent="0.3">
      <c r="A911" s="143" t="s">
        <v>1101</v>
      </c>
      <c r="B911" s="144"/>
      <c r="C911" s="54">
        <f>E911+D911+F911</f>
        <v>2459</v>
      </c>
      <c r="D911" s="52">
        <f>ROUNDDOWN(SUMIF(N881:N904,M911,D881:D904),0)</f>
        <v>1400</v>
      </c>
      <c r="E911" s="64">
        <f>ROUNDDOWN(SUMIF(N881:N904,M911,E881:E904),0)</f>
        <v>471</v>
      </c>
      <c r="F911" s="54">
        <f>ROUNDDOWN(SUMIF(N881:N904,M911,F881:F904),0)</f>
        <v>588</v>
      </c>
      <c r="M911" s="35" t="s">
        <v>1011</v>
      </c>
      <c r="N911" s="35" t="s">
        <v>1102</v>
      </c>
    </row>
    <row r="912" spans="1:25" ht="12.6" customHeight="1" x14ac:dyDescent="0.3">
      <c r="A912" s="143" t="s">
        <v>1103</v>
      </c>
      <c r="B912" s="144"/>
      <c r="C912" s="54">
        <f>E912+D912+F912</f>
        <v>2156</v>
      </c>
      <c r="D912" s="52">
        <f>ROUNDDOWN(D911*H912/100,0)</f>
        <v>1228</v>
      </c>
      <c r="E912" s="64">
        <f>ROUNDDOWN(E911*H912/100,0)</f>
        <v>413</v>
      </c>
      <c r="F912" s="54">
        <f>ROUNDDOWN(F911*H912/100,0)</f>
        <v>515</v>
      </c>
      <c r="H912" s="37">
        <v>87.745000000000005</v>
      </c>
      <c r="M912" s="35" t="s">
        <v>1102</v>
      </c>
    </row>
    <row r="913" spans="1:25" ht="12.6" customHeight="1" x14ac:dyDescent="0.3">
      <c r="A913" s="100" t="s">
        <v>207</v>
      </c>
      <c r="B913" s="101" t="s">
        <v>109</v>
      </c>
      <c r="C913" s="150">
        <f>C981</f>
        <v>21679</v>
      </c>
      <c r="D913" s="150">
        <f>D981</f>
        <v>11147</v>
      </c>
      <c r="E913" s="150">
        <f>E981</f>
        <v>3589</v>
      </c>
      <c r="F913" s="150">
        <f>F981</f>
        <v>6943</v>
      </c>
      <c r="G913" s="97" t="str">
        <f>HYPERLINK("#G"&amp;ROW(G950),"_x0005_`BDCOD|D01478_x0007_`POSS|"&amp;ROW(G915)&amp;"_x0007_`POSE|"&amp;ROW(G950)&amp;"_x0007_`")</f>
        <v>_x0005_`BDCOD|D01478_x0007_`POSS|915_x0007_`POSE|950_x0007_`</v>
      </c>
    </row>
    <row r="914" spans="1:25" ht="12.6" customHeight="1" x14ac:dyDescent="0.3">
      <c r="A914" s="83"/>
      <c r="B914" s="101" t="s">
        <v>204</v>
      </c>
      <c r="C914" s="139"/>
      <c r="D914" s="139"/>
      <c r="E914" s="139"/>
      <c r="F914" s="139"/>
      <c r="M914" s="35" t="s">
        <v>207</v>
      </c>
    </row>
    <row r="915" spans="1:25" ht="12.6" customHeight="1" x14ac:dyDescent="0.3">
      <c r="A915" s="68"/>
      <c r="B915" s="77" t="s">
        <v>1643</v>
      </c>
      <c r="C915" s="103"/>
      <c r="D915" s="103"/>
      <c r="E915" s="103"/>
      <c r="F915" s="103"/>
      <c r="G915" s="17" t="s">
        <v>1642</v>
      </c>
    </row>
    <row r="916" spans="1:25" ht="12.6" customHeight="1" x14ac:dyDescent="0.3">
      <c r="A916" s="78"/>
      <c r="B916" s="78"/>
      <c r="C916" s="78"/>
      <c r="D916" s="78"/>
      <c r="E916" s="78"/>
      <c r="F916" s="78"/>
      <c r="G916" s="17" t="s">
        <v>1229</v>
      </c>
    </row>
    <row r="917" spans="1:25" ht="12.6" customHeight="1" x14ac:dyDescent="0.3">
      <c r="A917" s="68"/>
      <c r="B917" s="77" t="s">
        <v>1645</v>
      </c>
      <c r="C917" s="78"/>
      <c r="D917" s="78"/>
      <c r="E917" s="78"/>
      <c r="F917" s="78"/>
      <c r="G917" s="17" t="s">
        <v>1644</v>
      </c>
    </row>
    <row r="918" spans="1:25" ht="12.6" customHeight="1" x14ac:dyDescent="0.3">
      <c r="A918" s="78"/>
      <c r="B918" s="78"/>
      <c r="C918" s="78"/>
      <c r="D918" s="78"/>
      <c r="E918" s="78"/>
      <c r="F918" s="78"/>
      <c r="G918" s="17" t="s">
        <v>1229</v>
      </c>
    </row>
    <row r="919" spans="1:25" ht="12.6" customHeight="1" x14ac:dyDescent="0.3">
      <c r="A919" s="68" t="s">
        <v>1285</v>
      </c>
      <c r="B919" s="102" t="str">
        <f>" 노 무 비  :   "&amp;TEXT(I919,"#,##0"&amp;IF(I919&lt;&gt;INT(I919),".###",""))&amp;" / Q = "&amp;TEXT(C919,"#,##0.0")&amp;""</f>
        <v xml:space="preserve"> 노 무 비  :   57,077 / Q = 11,415.4</v>
      </c>
      <c r="C919" s="104">
        <f>E919+D919+F919</f>
        <v>11415.4</v>
      </c>
      <c r="D919" s="104">
        <f>IF(H919=0,0,ROUNDDOWN(J919*H919,1))</f>
        <v>11415.4</v>
      </c>
      <c r="E919" s="104">
        <f>IF(H919=0,0,ROUNDDOWN(K919*H919,1))</f>
        <v>0</v>
      </c>
      <c r="F919" s="104">
        <f>IF(H919=0,0,ROUNDDOWN(L919*H919,1))</f>
        <v>0</v>
      </c>
      <c r="G919" s="17" t="s">
        <v>1646</v>
      </c>
      <c r="H919" s="109">
        <v>0.20000000000009999</v>
      </c>
      <c r="I919" s="110">
        <f>K919+J919+L919</f>
        <v>57077</v>
      </c>
      <c r="J919" s="39">
        <f>중기목록표!F5</f>
        <v>57077</v>
      </c>
      <c r="M919" s="35" t="s">
        <v>1286</v>
      </c>
      <c r="N919" s="35" t="s">
        <v>1247</v>
      </c>
      <c r="X919" s="111" t="str">
        <f>중기목록표!B5&amp;" / "&amp;중기목록표!C5</f>
        <v xml:space="preserve">굴삭기+브레카(0.7m3) / </v>
      </c>
      <c r="Y919" s="3" t="str">
        <f ca="1">HYPERLINK("#"&amp;중기목록표!J2&amp;"!A"&amp;ROW(중기목록표!A5),"X00004 →")</f>
        <v>X00004 →</v>
      </c>
    </row>
    <row r="920" spans="1:25" ht="12.6" customHeight="1" x14ac:dyDescent="0.3">
      <c r="A920" s="68" t="s">
        <v>1288</v>
      </c>
      <c r="B920" s="102" t="str">
        <f>" 재 료 비  :   "&amp;TEXT(I920,"#,##0"&amp;IF(I920&lt;&gt;INT(I920),".###",""))&amp;" / Q = "&amp;TEXT(C920,"#,##0.0")&amp;""</f>
        <v xml:space="preserve"> 재 료 비  :   18,286 / Q = 3,657.2</v>
      </c>
      <c r="C920" s="104">
        <f>E920+D920+F920</f>
        <v>3657.2</v>
      </c>
      <c r="D920" s="104">
        <f>IF(H920=0,0,ROUNDDOWN(J920*H920,1))</f>
        <v>0</v>
      </c>
      <c r="E920" s="104">
        <f>IF(H920=0,0,ROUNDDOWN(K920*H920,1))</f>
        <v>3657.2</v>
      </c>
      <c r="F920" s="104">
        <f>IF(H920=0,0,ROUNDDOWN(L920*H920,1))</f>
        <v>0</v>
      </c>
      <c r="G920" s="17" t="s">
        <v>1647</v>
      </c>
      <c r="H920" s="109">
        <v>0.20000000000009999</v>
      </c>
      <c r="I920" s="110">
        <f>K920+J920+L920</f>
        <v>18286</v>
      </c>
      <c r="K920" s="39">
        <f>중기목록표!G5</f>
        <v>18286</v>
      </c>
      <c r="M920" s="35" t="s">
        <v>1286</v>
      </c>
      <c r="N920" s="35" t="s">
        <v>1247</v>
      </c>
      <c r="X920" s="111" t="str">
        <f>중기목록표!B5&amp;" / "&amp;중기목록표!C5</f>
        <v xml:space="preserve">굴삭기+브레카(0.7m3) / </v>
      </c>
      <c r="Y920" s="3" t="str">
        <f ca="1">HYPERLINK("#"&amp;중기목록표!J2&amp;"!A"&amp;ROW(중기목록표!A5),"X00004 →")</f>
        <v>X00004 →</v>
      </c>
    </row>
    <row r="921" spans="1:25" ht="12.6" customHeight="1" x14ac:dyDescent="0.3">
      <c r="A921" s="68" t="s">
        <v>1290</v>
      </c>
      <c r="B921" s="102" t="str">
        <f>" 경    비  :   "&amp;TEXT(I921,"#,##0"&amp;IF(I921&lt;&gt;INT(I921),".###",""))&amp;" / Q = "&amp;TEXT(C921,"#,##0.0")&amp;""</f>
        <v xml:space="preserve"> 경    비  :   35,102 / Q = 7,020.4</v>
      </c>
      <c r="C921" s="104">
        <f>E921+D921+F921</f>
        <v>7020.4</v>
      </c>
      <c r="D921" s="104">
        <f>IF(H921=0,0,ROUNDDOWN(J921*H921,1))</f>
        <v>0</v>
      </c>
      <c r="E921" s="104">
        <f>IF(H921=0,0,ROUNDDOWN(K921*H921,1))</f>
        <v>0</v>
      </c>
      <c r="F921" s="104">
        <f>IF(H921=0,0,ROUNDDOWN(L921*H921,1))</f>
        <v>7020.4</v>
      </c>
      <c r="G921" s="17" t="s">
        <v>1648</v>
      </c>
      <c r="H921" s="109">
        <v>0.20000000000009999</v>
      </c>
      <c r="I921" s="110">
        <f>K921+J921+L921</f>
        <v>35102</v>
      </c>
      <c r="L921" s="39">
        <f>중기목록표!H5</f>
        <v>35102</v>
      </c>
      <c r="M921" s="35" t="s">
        <v>1286</v>
      </c>
      <c r="N921" s="35" t="s">
        <v>1247</v>
      </c>
      <c r="X921" s="111" t="str">
        <f>중기목록표!B5&amp;" / "&amp;중기목록표!C5</f>
        <v xml:space="preserve">굴삭기+브레카(0.7m3) / </v>
      </c>
      <c r="Y921" s="3" t="str">
        <f ca="1">HYPERLINK("#"&amp;중기목록표!J2&amp;"!A"&amp;ROW(중기목록표!A5),"X00004 →")</f>
        <v>X00004 →</v>
      </c>
    </row>
    <row r="922" spans="1:25" ht="12.6" customHeight="1" x14ac:dyDescent="0.3">
      <c r="A922" s="78"/>
      <c r="B922" s="78"/>
      <c r="C922" s="78"/>
      <c r="D922" s="78"/>
      <c r="E922" s="78"/>
      <c r="F922" s="78"/>
      <c r="G922" s="17" t="s">
        <v>1229</v>
      </c>
    </row>
    <row r="923" spans="1:25" ht="12.6" customHeight="1" x14ac:dyDescent="0.3">
      <c r="A923" s="68"/>
      <c r="B923" s="77" t="s">
        <v>1246</v>
      </c>
      <c r="C923" s="105">
        <f>E923+D923+F923</f>
        <v>22093</v>
      </c>
      <c r="D923" s="105">
        <f>SUMIF(N915:N922,M923,D915:D922)</f>
        <v>11415.4</v>
      </c>
      <c r="E923" s="105">
        <f>SUMIF(N915:N922,M923,E915:E922)</f>
        <v>3657.2</v>
      </c>
      <c r="F923" s="105">
        <f>SUMIF(N915:N922,M923,F915:F922)</f>
        <v>7020.4</v>
      </c>
      <c r="G923" s="17" t="s">
        <v>1245</v>
      </c>
      <c r="M923" s="35" t="s">
        <v>1247</v>
      </c>
      <c r="N923" s="35" t="s">
        <v>1348</v>
      </c>
    </row>
    <row r="924" spans="1:25" ht="12.6" customHeight="1" x14ac:dyDescent="0.3">
      <c r="A924" s="78"/>
      <c r="B924" s="78"/>
      <c r="C924" s="103"/>
      <c r="D924" s="103"/>
      <c r="E924" s="103"/>
      <c r="F924" s="103"/>
      <c r="G924" s="17" t="s">
        <v>1229</v>
      </c>
    </row>
    <row r="925" spans="1:25" ht="12.6" customHeight="1" x14ac:dyDescent="0.3">
      <c r="A925" s="68"/>
      <c r="B925" s="77" t="s">
        <v>1650</v>
      </c>
      <c r="C925" s="78"/>
      <c r="D925" s="78"/>
      <c r="E925" s="78"/>
      <c r="F925" s="78"/>
      <c r="G925" s="17" t="s">
        <v>1649</v>
      </c>
    </row>
    <row r="926" spans="1:25" ht="12.6" customHeight="1" x14ac:dyDescent="0.3">
      <c r="A926" s="78"/>
      <c r="B926" s="78"/>
      <c r="C926" s="78"/>
      <c r="D926" s="78"/>
      <c r="E926" s="78"/>
      <c r="F926" s="78"/>
      <c r="G926" s="17" t="s">
        <v>1229</v>
      </c>
    </row>
    <row r="927" spans="1:25" ht="12.6" customHeight="1" x14ac:dyDescent="0.3">
      <c r="A927" s="68" t="s">
        <v>635</v>
      </c>
      <c r="B927" s="102" t="str">
        <f>"0.006 *("&amp;TEXT(I927,"#,##0"&amp;IF(I927&lt;&gt;INT(I927),".###",""))&amp;"*1000)/ Q= "&amp;TEXT(C927,"#,##0.0")&amp;" W/㎥ "</f>
        <v xml:space="preserve">0.006 *(223*1000)/ Q= 267.6 W/㎥ </v>
      </c>
      <c r="C927" s="104">
        <f>E927+D927+F927</f>
        <v>267.60000000000002</v>
      </c>
      <c r="D927" s="104">
        <f>IF(H927=0,0,ROUNDDOWN(J927*H927,1))</f>
        <v>0</v>
      </c>
      <c r="E927" s="104">
        <f>IF(H927=0,0,ROUNDDOWN(K927*H927,1))</f>
        <v>0</v>
      </c>
      <c r="F927" s="104">
        <f>IF(H927=0,0,ROUNDDOWN(L927*H927,1))</f>
        <v>267.60000000000002</v>
      </c>
      <c r="G927" s="17" t="s">
        <v>1293</v>
      </c>
      <c r="H927" s="109">
        <v>1.2000000000001001</v>
      </c>
      <c r="I927" s="110">
        <f>K927+J927+L927</f>
        <v>223</v>
      </c>
      <c r="L927" s="39">
        <f>경비목록표!E15</f>
        <v>223</v>
      </c>
      <c r="M927" s="35" t="s">
        <v>1294</v>
      </c>
      <c r="N927" s="35" t="s">
        <v>1247</v>
      </c>
      <c r="X927" s="111" t="str">
        <f>경비목록표!B15&amp;" / "&amp;경비목록표!C15</f>
        <v>대형브레이카용 치즐 / 0.7㎥</v>
      </c>
      <c r="Y927" s="3" t="str">
        <f ca="1">HYPERLINK("#"&amp;경비목록표!G2&amp;"!A"&amp;ROW(경비목록표!A15),"S00174 →")</f>
        <v>S00174 →</v>
      </c>
    </row>
    <row r="928" spans="1:25" ht="12.6" customHeight="1" x14ac:dyDescent="0.3">
      <c r="A928" s="78"/>
      <c r="B928" s="78"/>
      <c r="C928" s="78"/>
      <c r="D928" s="78"/>
      <c r="E928" s="78"/>
      <c r="F928" s="78"/>
      <c r="G928" s="17" t="s">
        <v>1229</v>
      </c>
    </row>
    <row r="929" spans="1:14" ht="12.6" customHeight="1" x14ac:dyDescent="0.3">
      <c r="A929" s="68"/>
      <c r="B929" s="77" t="s">
        <v>1246</v>
      </c>
      <c r="C929" s="105">
        <f>E929+D929+F929</f>
        <v>267.60000000000002</v>
      </c>
      <c r="D929" s="105">
        <f>SUMIF(N924:N928,M929,D924:D928)</f>
        <v>0</v>
      </c>
      <c r="E929" s="105">
        <f>SUMIF(N924:N928,M929,E924:E928)</f>
        <v>0</v>
      </c>
      <c r="F929" s="105">
        <f>SUMIF(N924:N928,M929,F924:F928)</f>
        <v>267.60000000000002</v>
      </c>
      <c r="G929" s="17" t="s">
        <v>1245</v>
      </c>
      <c r="M929" s="35" t="s">
        <v>1247</v>
      </c>
      <c r="N929" s="35" t="s">
        <v>1348</v>
      </c>
    </row>
    <row r="930" spans="1:14" ht="12.6" customHeight="1" x14ac:dyDescent="0.3">
      <c r="A930" s="78"/>
      <c r="B930" s="78"/>
      <c r="C930" s="103"/>
      <c r="D930" s="103"/>
      <c r="E930" s="103"/>
      <c r="F930" s="103"/>
      <c r="G930" s="17" t="s">
        <v>1229</v>
      </c>
    </row>
    <row r="931" spans="1:14" ht="12.6" customHeight="1" x14ac:dyDescent="0.3">
      <c r="A931" s="68"/>
      <c r="B931" s="77" t="s">
        <v>1652</v>
      </c>
      <c r="C931" s="78"/>
      <c r="D931" s="78"/>
      <c r="E931" s="78"/>
      <c r="F931" s="78"/>
      <c r="G931" s="17" t="s">
        <v>1651</v>
      </c>
    </row>
    <row r="932" spans="1:14" ht="12.6" customHeight="1" x14ac:dyDescent="0.3">
      <c r="A932" s="78"/>
      <c r="B932" s="78"/>
      <c r="C932" s="78"/>
      <c r="D932" s="78"/>
      <c r="E932" s="78"/>
      <c r="F932" s="78"/>
      <c r="G932" s="17" t="s">
        <v>1229</v>
      </c>
    </row>
    <row r="933" spans="1:14" ht="12.6" customHeight="1" x14ac:dyDescent="0.3">
      <c r="A933" s="68"/>
      <c r="B933" s="77" t="s">
        <v>1298</v>
      </c>
      <c r="C933" s="78"/>
      <c r="D933" s="78"/>
      <c r="E933" s="78"/>
      <c r="F933" s="78"/>
      <c r="G933" s="17" t="s">
        <v>1297</v>
      </c>
    </row>
    <row r="934" spans="1:14" ht="12.6" customHeight="1" x14ac:dyDescent="0.3">
      <c r="A934" s="78"/>
      <c r="B934" s="78"/>
      <c r="C934" s="78"/>
      <c r="D934" s="78"/>
      <c r="E934" s="78"/>
      <c r="F934" s="78"/>
      <c r="G934" s="17" t="s">
        <v>1229</v>
      </c>
    </row>
    <row r="935" spans="1:14" ht="12.6" customHeight="1" x14ac:dyDescent="0.3">
      <c r="A935" s="68"/>
      <c r="B935" s="77" t="s">
        <v>1300</v>
      </c>
      <c r="C935" s="78"/>
      <c r="D935" s="78"/>
      <c r="E935" s="78"/>
      <c r="F935" s="78"/>
      <c r="G935" s="17" t="s">
        <v>1299</v>
      </c>
    </row>
    <row r="936" spans="1:14" ht="12.6" customHeight="1" x14ac:dyDescent="0.3">
      <c r="A936" s="78"/>
      <c r="B936" s="78"/>
      <c r="C936" s="78"/>
      <c r="D936" s="78"/>
      <c r="E936" s="78"/>
      <c r="F936" s="78"/>
      <c r="G936" s="17" t="s">
        <v>1229</v>
      </c>
    </row>
    <row r="937" spans="1:14" ht="12.6" customHeight="1" x14ac:dyDescent="0.3">
      <c r="A937" s="68"/>
      <c r="B937" s="77" t="s">
        <v>1302</v>
      </c>
      <c r="C937" s="78"/>
      <c r="D937" s="78"/>
      <c r="E937" s="78"/>
      <c r="F937" s="78"/>
      <c r="G937" s="17" t="s">
        <v>1301</v>
      </c>
    </row>
    <row r="938" spans="1:14" ht="12.6" customHeight="1" x14ac:dyDescent="0.3">
      <c r="A938" s="78"/>
      <c r="B938" s="78"/>
      <c r="C938" s="78"/>
      <c r="D938" s="78"/>
      <c r="E938" s="78"/>
      <c r="F938" s="78"/>
      <c r="G938" s="17" t="s">
        <v>1229</v>
      </c>
    </row>
    <row r="939" spans="1:14" ht="12.6" customHeight="1" x14ac:dyDescent="0.3">
      <c r="A939" s="68"/>
      <c r="B939" s="77" t="s">
        <v>1526</v>
      </c>
      <c r="C939" s="78"/>
      <c r="D939" s="78"/>
      <c r="E939" s="78"/>
      <c r="F939" s="78"/>
      <c r="G939" s="17" t="s">
        <v>1525</v>
      </c>
    </row>
    <row r="940" spans="1:14" ht="12.6" customHeight="1" x14ac:dyDescent="0.3">
      <c r="A940" s="78"/>
      <c r="B940" s="78"/>
      <c r="C940" s="78"/>
      <c r="D940" s="78"/>
      <c r="E940" s="78"/>
      <c r="F940" s="78"/>
      <c r="G940" s="17" t="s">
        <v>1229</v>
      </c>
    </row>
    <row r="941" spans="1:14" ht="12.6" customHeight="1" x14ac:dyDescent="0.3">
      <c r="A941" s="68"/>
      <c r="B941" s="77" t="s">
        <v>1306</v>
      </c>
      <c r="C941" s="78"/>
      <c r="D941" s="78"/>
      <c r="E941" s="78"/>
      <c r="F941" s="78"/>
      <c r="G941" s="17" t="s">
        <v>1305</v>
      </c>
    </row>
    <row r="942" spans="1:14" ht="12.6" customHeight="1" x14ac:dyDescent="0.3">
      <c r="A942" s="78"/>
      <c r="B942" s="78"/>
      <c r="C942" s="78"/>
      <c r="D942" s="78"/>
      <c r="E942" s="78"/>
      <c r="F942" s="78"/>
      <c r="G942" s="17" t="s">
        <v>1229</v>
      </c>
    </row>
    <row r="943" spans="1:14" ht="12.6" customHeight="1" x14ac:dyDescent="0.3">
      <c r="A943" s="68"/>
      <c r="B943" s="77" t="s">
        <v>1653</v>
      </c>
      <c r="C943" s="78"/>
      <c r="D943" s="78"/>
      <c r="E943" s="78"/>
      <c r="F943" s="78"/>
      <c r="G943" s="17" t="s">
        <v>1307</v>
      </c>
    </row>
    <row r="944" spans="1:14" ht="12.6" customHeight="1" x14ac:dyDescent="0.3">
      <c r="A944" s="78"/>
      <c r="B944" s="78"/>
      <c r="C944" s="78"/>
      <c r="D944" s="78"/>
      <c r="E944" s="78"/>
      <c r="F944" s="78"/>
      <c r="G944" s="17" t="s">
        <v>1229</v>
      </c>
    </row>
    <row r="945" spans="1:25" ht="12.6" customHeight="1" x14ac:dyDescent="0.3">
      <c r="A945" s="68" t="s">
        <v>1310</v>
      </c>
      <c r="B945" s="102" t="str">
        <f>" 노 무 비  :   "&amp;TEXT(I945,"#,##0"&amp;IF(I945&lt;&gt;INT(I945),".###",""))&amp;" / Q1 *0.5 = "&amp;TEXT(C945,"#,##0.0")&amp;""</f>
        <v xml:space="preserve"> 노 무 비  :   57,077 / Q1 *0.5 = 1,289.0</v>
      </c>
      <c r="C945" s="104">
        <f>E945+D945+F945</f>
        <v>1289</v>
      </c>
      <c r="D945" s="104">
        <f>IF(H945=0,0,ROUNDDOWN(J945*H945,1))</f>
        <v>1289</v>
      </c>
      <c r="E945" s="104">
        <f>IF(H945=0,0,ROUNDDOWN(K945*H945,1))</f>
        <v>0</v>
      </c>
      <c r="F945" s="104">
        <f>IF(H945=0,0,ROUNDDOWN(L945*H945,1))</f>
        <v>0</v>
      </c>
      <c r="G945" s="17" t="s">
        <v>1654</v>
      </c>
      <c r="H945" s="109">
        <v>2.2583559169100001E-2</v>
      </c>
      <c r="I945" s="110">
        <f>K945+J945+L945</f>
        <v>57077</v>
      </c>
      <c r="J945" s="39">
        <f>중기목록표!F17</f>
        <v>57077</v>
      </c>
      <c r="M945" s="35" t="s">
        <v>1311</v>
      </c>
      <c r="N945" s="35" t="s">
        <v>1247</v>
      </c>
      <c r="X945" s="111" t="str">
        <f>중기목록표!B17&amp;" / "&amp;중기목록표!C17</f>
        <v>굴삭기(무한궤도) / 0.7㎥:할증120%</v>
      </c>
      <c r="Y945" s="3" t="str">
        <f ca="1">HYPERLINK("#"&amp;중기목록표!J2&amp;"!A"&amp;ROW(중기목록표!A17),"X00270 →")</f>
        <v>X00270 →</v>
      </c>
    </row>
    <row r="946" spans="1:25" ht="12.6" customHeight="1" x14ac:dyDescent="0.3">
      <c r="A946" s="68" t="s">
        <v>1313</v>
      </c>
      <c r="B946" s="102" t="str">
        <f>" 재 료 비  :   "&amp;TEXT(I946,"#,##0"&amp;IF(I946&lt;&gt;INT(I946),".###",""))&amp;" / Q1 *0.5 = "&amp;TEXT(C946,"#,##0.0")&amp;""</f>
        <v xml:space="preserve"> 재 료 비  :   19,232 / Q1 *0.5 = 434.3</v>
      </c>
      <c r="C946" s="104">
        <f>E946+D946+F946</f>
        <v>434.3</v>
      </c>
      <c r="D946" s="104">
        <f>IF(H946=0,0,ROUNDDOWN(J946*H946,1))</f>
        <v>0</v>
      </c>
      <c r="E946" s="104">
        <f>IF(H946=0,0,ROUNDDOWN(K946*H946,1))</f>
        <v>434.3</v>
      </c>
      <c r="F946" s="104">
        <f>IF(H946=0,0,ROUNDDOWN(L946*H946,1))</f>
        <v>0</v>
      </c>
      <c r="G946" s="17" t="s">
        <v>1655</v>
      </c>
      <c r="H946" s="109">
        <v>2.2583559169100001E-2</v>
      </c>
      <c r="I946" s="110">
        <f>K946+J946+L946</f>
        <v>19232</v>
      </c>
      <c r="K946" s="39">
        <f>중기목록표!G17</f>
        <v>19232</v>
      </c>
      <c r="M946" s="35" t="s">
        <v>1311</v>
      </c>
      <c r="N946" s="35" t="s">
        <v>1247</v>
      </c>
      <c r="X946" s="111" t="str">
        <f>중기목록표!B17&amp;" / "&amp;중기목록표!C17</f>
        <v>굴삭기(무한궤도) / 0.7㎥:할증120%</v>
      </c>
      <c r="Y946" s="3" t="str">
        <f ca="1">HYPERLINK("#"&amp;중기목록표!J2&amp;"!A"&amp;ROW(중기목록표!A17),"X00270 →")</f>
        <v>X00270 →</v>
      </c>
    </row>
    <row r="947" spans="1:25" ht="12.6" customHeight="1" x14ac:dyDescent="0.3">
      <c r="A947" s="68" t="s">
        <v>1315</v>
      </c>
      <c r="B947" s="102" t="str">
        <f>" 경    비  :   "&amp;TEXT(I947,"#,##0"&amp;IF(I947&lt;&gt;INT(I947),".###",""))&amp;" / Q1 *0.5 = "&amp;TEXT(C947,"#,##0.0")&amp;""</f>
        <v xml:space="preserve"> 경    비  :   27,685 / Q1 *0.5 = 625.2</v>
      </c>
      <c r="C947" s="104">
        <f>E947+D947+F947</f>
        <v>625.20000000000005</v>
      </c>
      <c r="D947" s="104">
        <f>IF(H947=0,0,ROUNDDOWN(J947*H947,1))</f>
        <v>0</v>
      </c>
      <c r="E947" s="104">
        <f>IF(H947=0,0,ROUNDDOWN(K947*H947,1))</f>
        <v>0</v>
      </c>
      <c r="F947" s="104">
        <f>IF(H947=0,0,ROUNDDOWN(L947*H947,1))</f>
        <v>625.20000000000005</v>
      </c>
      <c r="G947" s="17" t="s">
        <v>1656</v>
      </c>
      <c r="H947" s="109">
        <v>2.2583559169100001E-2</v>
      </c>
      <c r="I947" s="110">
        <f>K947+J947+L947</f>
        <v>27685</v>
      </c>
      <c r="L947" s="39">
        <f>중기목록표!H17</f>
        <v>27685</v>
      </c>
      <c r="M947" s="35" t="s">
        <v>1311</v>
      </c>
      <c r="N947" s="35" t="s">
        <v>1247</v>
      </c>
      <c r="X947" s="111" t="str">
        <f>중기목록표!B17&amp;" / "&amp;중기목록표!C17</f>
        <v>굴삭기(무한궤도) / 0.7㎥:할증120%</v>
      </c>
      <c r="Y947" s="3" t="str">
        <f ca="1">HYPERLINK("#"&amp;중기목록표!J2&amp;"!A"&amp;ROW(중기목록표!A17),"X00270 →")</f>
        <v>X00270 →</v>
      </c>
    </row>
    <row r="948" spans="1:25" ht="12.6" customHeight="1" x14ac:dyDescent="0.3">
      <c r="A948" s="78"/>
      <c r="B948" s="78"/>
      <c r="C948" s="78"/>
      <c r="D948" s="78"/>
      <c r="E948" s="78"/>
      <c r="F948" s="78"/>
      <c r="G948" s="17" t="s">
        <v>1229</v>
      </c>
    </row>
    <row r="949" spans="1:25" ht="12.6" customHeight="1" x14ac:dyDescent="0.3">
      <c r="A949" s="68"/>
      <c r="B949" s="77" t="s">
        <v>1246</v>
      </c>
      <c r="C949" s="105">
        <f>E949+D949+F949</f>
        <v>2348.5</v>
      </c>
      <c r="D949" s="105">
        <f>SUMIF(N930:N948,M949,D930:D948)</f>
        <v>1289</v>
      </c>
      <c r="E949" s="105">
        <f>SUMIF(N930:N948,M949,E930:E948)</f>
        <v>434.3</v>
      </c>
      <c r="F949" s="105">
        <f>SUMIF(N930:N948,M949,F930:F948)</f>
        <v>625.20000000000005</v>
      </c>
      <c r="G949" s="17" t="s">
        <v>1245</v>
      </c>
      <c r="M949" s="35" t="s">
        <v>1247</v>
      </c>
      <c r="N949" s="35" t="s">
        <v>1348</v>
      </c>
    </row>
    <row r="950" spans="1:25" ht="12.6" customHeight="1" x14ac:dyDescent="0.3">
      <c r="A950" s="68"/>
      <c r="B950" s="77" t="s">
        <v>1101</v>
      </c>
      <c r="C950" s="106">
        <f>E950+D950+F950</f>
        <v>24709.100000000002</v>
      </c>
      <c r="D950" s="106">
        <f>SUMIF(N915:N949,M950,D915:D949)</f>
        <v>12704.4</v>
      </c>
      <c r="E950" s="106">
        <f>SUMIF(N915:N949,M950,E915:E949)</f>
        <v>4091.5</v>
      </c>
      <c r="F950" s="106">
        <f>SUMIF(N915:N949,M950,F915:F949)</f>
        <v>7913.2</v>
      </c>
      <c r="G950" s="17" t="s">
        <v>1347</v>
      </c>
      <c r="M950" s="35" t="s">
        <v>1348</v>
      </c>
      <c r="N950" s="35" t="s">
        <v>1011</v>
      </c>
    </row>
    <row r="951" spans="1:25" ht="12.6" customHeight="1" x14ac:dyDescent="0.3">
      <c r="A951" s="78"/>
      <c r="B951" s="78"/>
      <c r="C951" s="103"/>
      <c r="D951" s="103"/>
      <c r="E951" s="103"/>
      <c r="F951" s="103"/>
    </row>
    <row r="952" spans="1:25" ht="12.6" customHeight="1" x14ac:dyDescent="0.3">
      <c r="A952" s="78"/>
      <c r="B952" s="78"/>
      <c r="C952" s="78"/>
      <c r="D952" s="78"/>
      <c r="E952" s="78"/>
      <c r="F952" s="78"/>
    </row>
    <row r="953" spans="1:25" ht="12.6" customHeight="1" x14ac:dyDescent="0.3">
      <c r="A953" s="78"/>
      <c r="B953" s="78"/>
      <c r="C953" s="78"/>
      <c r="D953" s="78"/>
      <c r="E953" s="78"/>
      <c r="F953" s="78"/>
    </row>
    <row r="954" spans="1:25" ht="12.6" customHeight="1" x14ac:dyDescent="0.3">
      <c r="A954" s="78"/>
      <c r="B954" s="78"/>
      <c r="C954" s="78"/>
      <c r="D954" s="78"/>
      <c r="E954" s="78"/>
      <c r="F954" s="78"/>
    </row>
    <row r="955" spans="1:25" ht="12.6" customHeight="1" x14ac:dyDescent="0.3">
      <c r="A955" s="78"/>
      <c r="B955" s="78"/>
      <c r="C955" s="78"/>
      <c r="D955" s="78"/>
      <c r="E955" s="78"/>
      <c r="F955" s="78"/>
    </row>
    <row r="956" spans="1:25" ht="12.6" customHeight="1" x14ac:dyDescent="0.3">
      <c r="A956" s="78"/>
      <c r="B956" s="78"/>
      <c r="C956" s="78"/>
      <c r="D956" s="78"/>
      <c r="E956" s="78"/>
      <c r="F956" s="78"/>
    </row>
    <row r="957" spans="1:25" ht="12.6" customHeight="1" x14ac:dyDescent="0.3">
      <c r="A957" s="78"/>
      <c r="B957" s="78"/>
      <c r="C957" s="78"/>
      <c r="D957" s="78"/>
      <c r="E957" s="78"/>
      <c r="F957" s="78"/>
    </row>
    <row r="958" spans="1:25" ht="12.6" customHeight="1" x14ac:dyDescent="0.3">
      <c r="A958" s="78"/>
      <c r="B958" s="78"/>
      <c r="C958" s="78"/>
      <c r="D958" s="78"/>
      <c r="E958" s="78"/>
      <c r="F958" s="78"/>
    </row>
    <row r="959" spans="1:25" ht="12.6" customHeight="1" x14ac:dyDescent="0.3">
      <c r="A959" s="78"/>
      <c r="B959" s="78"/>
      <c r="C959" s="78"/>
      <c r="D959" s="78"/>
      <c r="E959" s="78"/>
      <c r="F959" s="78"/>
    </row>
    <row r="960" spans="1:25" ht="12.6" customHeight="1" x14ac:dyDescent="0.3">
      <c r="A960" s="78"/>
      <c r="B960" s="78"/>
      <c r="C960" s="78"/>
      <c r="D960" s="78"/>
      <c r="E960" s="78"/>
      <c r="F960" s="78"/>
    </row>
    <row r="961" spans="1:6" ht="12.6" customHeight="1" x14ac:dyDescent="0.3">
      <c r="A961" s="78"/>
      <c r="B961" s="78"/>
      <c r="C961" s="78"/>
      <c r="D961" s="78"/>
      <c r="E961" s="78"/>
      <c r="F961" s="78"/>
    </row>
    <row r="962" spans="1:6" ht="12.6" customHeight="1" x14ac:dyDescent="0.3">
      <c r="A962" s="78"/>
      <c r="B962" s="78"/>
      <c r="C962" s="78"/>
      <c r="D962" s="78"/>
      <c r="E962" s="78"/>
      <c r="F962" s="78"/>
    </row>
    <row r="963" spans="1:6" ht="12.6" customHeight="1" x14ac:dyDescent="0.3">
      <c r="A963" s="78"/>
      <c r="B963" s="78"/>
      <c r="C963" s="78"/>
      <c r="D963" s="78"/>
      <c r="E963" s="78"/>
      <c r="F963" s="78"/>
    </row>
    <row r="964" spans="1:6" ht="12.6" customHeight="1" x14ac:dyDescent="0.3">
      <c r="A964" s="78"/>
      <c r="B964" s="78"/>
      <c r="C964" s="78"/>
      <c r="D964" s="78"/>
      <c r="E964" s="78"/>
      <c r="F964" s="78"/>
    </row>
    <row r="965" spans="1:6" ht="12.6" customHeight="1" x14ac:dyDescent="0.3">
      <c r="A965" s="78"/>
      <c r="B965" s="78"/>
      <c r="C965" s="78"/>
      <c r="D965" s="78"/>
      <c r="E965" s="78"/>
      <c r="F965" s="78"/>
    </row>
    <row r="966" spans="1:6" ht="12.6" customHeight="1" x14ac:dyDescent="0.3">
      <c r="A966" s="78"/>
      <c r="B966" s="78"/>
      <c r="C966" s="78"/>
      <c r="D966" s="78"/>
      <c r="E966" s="78"/>
      <c r="F966" s="78"/>
    </row>
    <row r="967" spans="1:6" ht="12.6" customHeight="1" x14ac:dyDescent="0.3">
      <c r="A967" s="78"/>
      <c r="B967" s="78"/>
      <c r="C967" s="78"/>
      <c r="D967" s="78"/>
      <c r="E967" s="78"/>
      <c r="F967" s="78"/>
    </row>
    <row r="968" spans="1:6" ht="12.6" customHeight="1" x14ac:dyDescent="0.3">
      <c r="A968" s="78"/>
      <c r="B968" s="78"/>
      <c r="C968" s="78"/>
      <c r="D968" s="78"/>
      <c r="E968" s="78"/>
      <c r="F968" s="78"/>
    </row>
    <row r="969" spans="1:6" ht="12.6" customHeight="1" x14ac:dyDescent="0.3">
      <c r="A969" s="78"/>
      <c r="B969" s="78"/>
      <c r="C969" s="78"/>
      <c r="D969" s="78"/>
      <c r="E969" s="78"/>
      <c r="F969" s="78"/>
    </row>
    <row r="970" spans="1:6" ht="12.6" customHeight="1" x14ac:dyDescent="0.3">
      <c r="A970" s="78"/>
      <c r="B970" s="78"/>
      <c r="C970" s="78"/>
      <c r="D970" s="78"/>
      <c r="E970" s="78"/>
      <c r="F970" s="78"/>
    </row>
    <row r="971" spans="1:6" ht="12.6" customHeight="1" x14ac:dyDescent="0.3">
      <c r="A971" s="78"/>
      <c r="B971" s="78"/>
      <c r="C971" s="78"/>
      <c r="D971" s="78"/>
      <c r="E971" s="78"/>
      <c r="F971" s="78"/>
    </row>
    <row r="972" spans="1:6" ht="12.6" customHeight="1" x14ac:dyDescent="0.3">
      <c r="A972" s="78"/>
      <c r="B972" s="78"/>
      <c r="C972" s="78"/>
      <c r="D972" s="78"/>
      <c r="E972" s="78"/>
      <c r="F972" s="78"/>
    </row>
    <row r="973" spans="1:6" ht="12.6" customHeight="1" x14ac:dyDescent="0.3">
      <c r="A973" s="78"/>
      <c r="B973" s="78"/>
      <c r="C973" s="78"/>
      <c r="D973" s="78"/>
      <c r="E973" s="78"/>
      <c r="F973" s="78"/>
    </row>
    <row r="974" spans="1:6" ht="12.6" customHeight="1" x14ac:dyDescent="0.3">
      <c r="A974" s="78"/>
      <c r="B974" s="78"/>
      <c r="C974" s="78"/>
      <c r="D974" s="78"/>
      <c r="E974" s="78"/>
      <c r="F974" s="78"/>
    </row>
    <row r="975" spans="1:6" ht="12.6" customHeight="1" x14ac:dyDescent="0.3">
      <c r="A975" s="78"/>
      <c r="B975" s="78"/>
      <c r="C975" s="78"/>
      <c r="D975" s="78"/>
      <c r="E975" s="78"/>
      <c r="F975" s="78"/>
    </row>
    <row r="976" spans="1:6" ht="12.6" customHeight="1" x14ac:dyDescent="0.3">
      <c r="A976" s="78"/>
      <c r="B976" s="78"/>
      <c r="C976" s="78"/>
      <c r="D976" s="78"/>
      <c r="E976" s="78"/>
      <c r="F976" s="78"/>
    </row>
    <row r="977" spans="1:14" ht="12.6" customHeight="1" x14ac:dyDescent="0.3">
      <c r="A977" s="78"/>
      <c r="B977" s="78"/>
      <c r="C977" s="78"/>
      <c r="D977" s="78"/>
      <c r="E977" s="78"/>
      <c r="F977" s="78"/>
    </row>
    <row r="978" spans="1:14" ht="12.6" customHeight="1" x14ac:dyDescent="0.3">
      <c r="A978" s="78"/>
      <c r="B978" s="78"/>
      <c r="C978" s="78"/>
      <c r="D978" s="78"/>
      <c r="E978" s="78"/>
      <c r="F978" s="78"/>
    </row>
    <row r="979" spans="1:14" ht="12.6" customHeight="1" x14ac:dyDescent="0.3">
      <c r="A979" s="56"/>
      <c r="B979" s="56"/>
      <c r="C979" s="56"/>
      <c r="D979" s="56"/>
      <c r="E979" s="56"/>
      <c r="F979" s="56"/>
    </row>
    <row r="980" spans="1:14" ht="12.6" customHeight="1" x14ac:dyDescent="0.3">
      <c r="A980" s="143" t="s">
        <v>1101</v>
      </c>
      <c r="B980" s="144"/>
      <c r="C980" s="54">
        <f>E980+D980+F980</f>
        <v>24708</v>
      </c>
      <c r="D980" s="52">
        <f>ROUNDDOWN(SUMIF(N915:N950,M980,D915:D950),0)</f>
        <v>12704</v>
      </c>
      <c r="E980" s="64">
        <f>ROUNDDOWN(SUMIF(N915:N950,M980,E915:E950),0)</f>
        <v>4091</v>
      </c>
      <c r="F980" s="54">
        <f>ROUNDDOWN(SUMIF(N915:N950,M980,F915:F950),0)</f>
        <v>7913</v>
      </c>
      <c r="M980" s="35" t="s">
        <v>1011</v>
      </c>
      <c r="N980" s="35" t="s">
        <v>1102</v>
      </c>
    </row>
    <row r="981" spans="1:14" ht="12.6" customHeight="1" x14ac:dyDescent="0.3">
      <c r="A981" s="143" t="s">
        <v>1103</v>
      </c>
      <c r="B981" s="144"/>
      <c r="C981" s="54">
        <f>E981+D981+F981</f>
        <v>21679</v>
      </c>
      <c r="D981" s="52">
        <f>ROUNDDOWN(D980*H981/100,0)</f>
        <v>11147</v>
      </c>
      <c r="E981" s="64">
        <f>ROUNDDOWN(E980*H981/100,0)</f>
        <v>3589</v>
      </c>
      <c r="F981" s="54">
        <f>ROUNDDOWN(F980*H981/100,0)</f>
        <v>6943</v>
      </c>
      <c r="H981" s="37">
        <v>87.745000000000005</v>
      </c>
      <c r="M981" s="35" t="s">
        <v>1102</v>
      </c>
    </row>
    <row r="982" spans="1:14" ht="12.6" customHeight="1" x14ac:dyDescent="0.3">
      <c r="A982" s="100" t="s">
        <v>211</v>
      </c>
      <c r="B982" s="101" t="s">
        <v>114</v>
      </c>
      <c r="C982" s="150">
        <f>C1015</f>
        <v>2837</v>
      </c>
      <c r="D982" s="150">
        <f>D1015</f>
        <v>1786</v>
      </c>
      <c r="E982" s="150">
        <f>E1015</f>
        <v>513</v>
      </c>
      <c r="F982" s="150">
        <f>F1015</f>
        <v>538</v>
      </c>
      <c r="G982" s="97" t="str">
        <f>HYPERLINK("#G"&amp;ROW(G1005),"_x0005_`BDCOD|D01479_x0007_`POSS|"&amp;ROW(G984)&amp;"_x0007_`POSE|"&amp;ROW(G1005)&amp;"_x0007_`")</f>
        <v>_x0005_`BDCOD|D01479_x0007_`POSS|984_x0007_`POSE|1005_x0007_`</v>
      </c>
    </row>
    <row r="983" spans="1:14" ht="12.6" customHeight="1" x14ac:dyDescent="0.3">
      <c r="A983" s="83"/>
      <c r="B983" s="101" t="s">
        <v>208</v>
      </c>
      <c r="C983" s="139"/>
      <c r="D983" s="139"/>
      <c r="E983" s="139"/>
      <c r="F983" s="139"/>
      <c r="M983" s="35" t="s">
        <v>211</v>
      </c>
    </row>
    <row r="984" spans="1:14" ht="12.6" customHeight="1" x14ac:dyDescent="0.3">
      <c r="A984" s="68"/>
      <c r="B984" s="77" t="s">
        <v>1658</v>
      </c>
      <c r="C984" s="103"/>
      <c r="D984" s="103"/>
      <c r="E984" s="103"/>
      <c r="F984" s="103"/>
      <c r="G984" s="17" t="s">
        <v>1657</v>
      </c>
    </row>
    <row r="985" spans="1:14" ht="12.6" customHeight="1" x14ac:dyDescent="0.3">
      <c r="A985" s="78"/>
      <c r="B985" s="78"/>
      <c r="C985" s="78"/>
      <c r="D985" s="78"/>
      <c r="E985" s="78"/>
      <c r="F985" s="78"/>
      <c r="G985" s="17" t="s">
        <v>1229</v>
      </c>
    </row>
    <row r="986" spans="1:14" ht="12.6" customHeight="1" x14ac:dyDescent="0.3">
      <c r="A986" s="68"/>
      <c r="B986" s="77" t="s">
        <v>1660</v>
      </c>
      <c r="C986" s="78"/>
      <c r="D986" s="78"/>
      <c r="E986" s="78"/>
      <c r="F986" s="78"/>
      <c r="G986" s="17" t="s">
        <v>1659</v>
      </c>
    </row>
    <row r="987" spans="1:14" ht="12.6" customHeight="1" x14ac:dyDescent="0.3">
      <c r="A987" s="78"/>
      <c r="B987" s="78"/>
      <c r="C987" s="78"/>
      <c r="D987" s="78"/>
      <c r="E987" s="78"/>
      <c r="F987" s="78"/>
      <c r="G987" s="17" t="s">
        <v>1229</v>
      </c>
    </row>
    <row r="988" spans="1:14" ht="12.6" customHeight="1" x14ac:dyDescent="0.3">
      <c r="A988" s="68"/>
      <c r="B988" s="77" t="s">
        <v>1662</v>
      </c>
      <c r="C988" s="78"/>
      <c r="D988" s="78"/>
      <c r="E988" s="78"/>
      <c r="F988" s="78"/>
      <c r="G988" s="17" t="s">
        <v>1661</v>
      </c>
    </row>
    <row r="989" spans="1:14" ht="12.6" customHeight="1" x14ac:dyDescent="0.3">
      <c r="A989" s="78"/>
      <c r="B989" s="78"/>
      <c r="C989" s="78"/>
      <c r="D989" s="78"/>
      <c r="E989" s="78"/>
      <c r="F989" s="78"/>
      <c r="G989" s="17" t="s">
        <v>1229</v>
      </c>
    </row>
    <row r="990" spans="1:14" ht="12.6" customHeight="1" x14ac:dyDescent="0.3">
      <c r="A990" s="68"/>
      <c r="B990" s="77" t="s">
        <v>1664</v>
      </c>
      <c r="C990" s="78"/>
      <c r="D990" s="78"/>
      <c r="E990" s="78"/>
      <c r="F990" s="78"/>
      <c r="G990" s="17" t="s">
        <v>1663</v>
      </c>
    </row>
    <row r="991" spans="1:14" ht="12.6" customHeight="1" x14ac:dyDescent="0.3">
      <c r="A991" s="78"/>
      <c r="B991" s="78"/>
      <c r="C991" s="78"/>
      <c r="D991" s="78"/>
      <c r="E991" s="78"/>
      <c r="F991" s="78"/>
      <c r="G991" s="17" t="s">
        <v>1229</v>
      </c>
    </row>
    <row r="992" spans="1:14" ht="12.6" customHeight="1" x14ac:dyDescent="0.3">
      <c r="A992" s="68"/>
      <c r="B992" s="77" t="s">
        <v>1666</v>
      </c>
      <c r="C992" s="78"/>
      <c r="D992" s="78"/>
      <c r="E992" s="78"/>
      <c r="F992" s="78"/>
      <c r="G992" s="17" t="s">
        <v>1665</v>
      </c>
    </row>
    <row r="993" spans="1:25" ht="12.6" customHeight="1" x14ac:dyDescent="0.3">
      <c r="A993" s="78"/>
      <c r="B993" s="78"/>
      <c r="C993" s="78"/>
      <c r="D993" s="78"/>
      <c r="E993" s="78"/>
      <c r="F993" s="78"/>
      <c r="G993" s="17" t="s">
        <v>1229</v>
      </c>
    </row>
    <row r="994" spans="1:25" ht="12.6" customHeight="1" x14ac:dyDescent="0.3">
      <c r="A994" s="68"/>
      <c r="B994" s="77" t="s">
        <v>1668</v>
      </c>
      <c r="C994" s="78"/>
      <c r="D994" s="78"/>
      <c r="E994" s="78"/>
      <c r="F994" s="78"/>
      <c r="G994" s="17" t="s">
        <v>1667</v>
      </c>
    </row>
    <row r="995" spans="1:25" ht="12.6" customHeight="1" x14ac:dyDescent="0.3">
      <c r="A995" s="78"/>
      <c r="B995" s="78"/>
      <c r="C995" s="78"/>
      <c r="D995" s="78"/>
      <c r="E995" s="78"/>
      <c r="F995" s="78"/>
      <c r="G995" s="17" t="s">
        <v>1229</v>
      </c>
    </row>
    <row r="996" spans="1:25" ht="12.6" customHeight="1" x14ac:dyDescent="0.3">
      <c r="A996" s="68"/>
      <c r="B996" s="77" t="s">
        <v>1670</v>
      </c>
      <c r="C996" s="78"/>
      <c r="D996" s="78"/>
      <c r="E996" s="78"/>
      <c r="F996" s="78"/>
      <c r="G996" s="17" t="s">
        <v>1669</v>
      </c>
    </row>
    <row r="997" spans="1:25" ht="12.6" customHeight="1" x14ac:dyDescent="0.3">
      <c r="A997" s="78"/>
      <c r="B997" s="78"/>
      <c r="C997" s="78"/>
      <c r="D997" s="78"/>
      <c r="E997" s="78"/>
      <c r="F997" s="78"/>
      <c r="G997" s="17" t="s">
        <v>1229</v>
      </c>
    </row>
    <row r="998" spans="1:25" ht="12.6" customHeight="1" x14ac:dyDescent="0.3">
      <c r="A998" s="78"/>
      <c r="B998" s="78"/>
      <c r="C998" s="78"/>
      <c r="D998" s="78"/>
      <c r="E998" s="78"/>
      <c r="F998" s="78"/>
      <c r="G998" s="17" t="s">
        <v>1229</v>
      </c>
    </row>
    <row r="999" spans="1:25" ht="12.6" customHeight="1" x14ac:dyDescent="0.3">
      <c r="A999" s="68" t="s">
        <v>1672</v>
      </c>
      <c r="B999" s="102" t="str">
        <f>" 노 무 비  : "&amp;TEXT(I999,"#,##0"&amp;IF(I999&lt;&gt;INT(I999),".###",""))&amp;" / Q  = "&amp;TEXT(C999,"#,##0.0")&amp;""</f>
        <v xml:space="preserve"> 노 무 비  : 57,077 / Q  = 2,036.2</v>
      </c>
      <c r="C999" s="104">
        <f>E999+D999+F999</f>
        <v>2036.2</v>
      </c>
      <c r="D999" s="104">
        <f>IF(H999=0,0,ROUNDDOWN(J999*H999,1))</f>
        <v>2036.2</v>
      </c>
      <c r="E999" s="104">
        <f>IF(H999=0,0,ROUNDDOWN(K999*H999,1))</f>
        <v>0</v>
      </c>
      <c r="F999" s="104">
        <f>IF(H999=0,0,ROUNDDOWN(L999*H999,1))</f>
        <v>0</v>
      </c>
      <c r="G999" s="17" t="s">
        <v>1671</v>
      </c>
      <c r="H999" s="109">
        <v>3.5676061363E-2</v>
      </c>
      <c r="I999" s="110">
        <f>K999+J999+L999</f>
        <v>57077</v>
      </c>
      <c r="J999" s="39">
        <f>중기목록표!F7</f>
        <v>57077</v>
      </c>
      <c r="M999" s="35" t="s">
        <v>1673</v>
      </c>
      <c r="N999" s="35" t="s">
        <v>1247</v>
      </c>
      <c r="X999" s="111" t="str">
        <f>중기목록표!B7&amp;" / "&amp;중기목록표!C7</f>
        <v>굴삭기(무한궤도) / 0.4㎥</v>
      </c>
      <c r="Y999" s="3" t="str">
        <f ca="1">HYPERLINK("#"&amp;중기목록표!J2&amp;"!A"&amp;ROW(중기목록표!A7),"X00021 →")</f>
        <v>X00021 →</v>
      </c>
    </row>
    <row r="1000" spans="1:25" ht="12.6" customHeight="1" x14ac:dyDescent="0.3">
      <c r="A1000" s="78"/>
      <c r="B1000" s="78"/>
      <c r="C1000" s="78"/>
      <c r="D1000" s="78"/>
      <c r="E1000" s="78"/>
      <c r="F1000" s="78"/>
      <c r="G1000" s="17" t="s">
        <v>1229</v>
      </c>
    </row>
    <row r="1001" spans="1:25" ht="12.6" customHeight="1" x14ac:dyDescent="0.3">
      <c r="A1001" s="68" t="s">
        <v>1675</v>
      </c>
      <c r="B1001" s="102" t="str">
        <f>" 재 료 비  : "&amp;TEXT(I1001,"#,##0"&amp;IF(I1001&lt;&gt;INT(I1001),".###",""))&amp;" / Q  = "&amp;TEXT(C1001,"#,##0.0")&amp;""</f>
        <v xml:space="preserve"> 재 료 비  : 16,414 / Q  = 585.5</v>
      </c>
      <c r="C1001" s="104">
        <f>E1001+D1001+F1001</f>
        <v>585.5</v>
      </c>
      <c r="D1001" s="104">
        <f>IF(H1001=0,0,ROUNDDOWN(J1001*H1001,1))</f>
        <v>0</v>
      </c>
      <c r="E1001" s="104">
        <f>IF(H1001=0,0,ROUNDDOWN(K1001*H1001,1))</f>
        <v>585.5</v>
      </c>
      <c r="F1001" s="104">
        <f>IF(H1001=0,0,ROUNDDOWN(L1001*H1001,1))</f>
        <v>0</v>
      </c>
      <c r="G1001" s="17" t="s">
        <v>1674</v>
      </c>
      <c r="H1001" s="109">
        <v>3.5676061363E-2</v>
      </c>
      <c r="I1001" s="110">
        <f>K1001+J1001+L1001</f>
        <v>16414</v>
      </c>
      <c r="K1001" s="39">
        <f>중기목록표!G7</f>
        <v>16414</v>
      </c>
      <c r="M1001" s="35" t="s">
        <v>1673</v>
      </c>
      <c r="N1001" s="35" t="s">
        <v>1247</v>
      </c>
      <c r="X1001" s="111" t="str">
        <f>중기목록표!B7&amp;" / "&amp;중기목록표!C7</f>
        <v>굴삭기(무한궤도) / 0.4㎥</v>
      </c>
      <c r="Y1001" s="3" t="str">
        <f ca="1">HYPERLINK("#"&amp;중기목록표!J2&amp;"!A"&amp;ROW(중기목록표!A7),"X00021 →")</f>
        <v>X00021 →</v>
      </c>
    </row>
    <row r="1002" spans="1:25" ht="12.6" customHeight="1" x14ac:dyDescent="0.3">
      <c r="A1002" s="78"/>
      <c r="B1002" s="78"/>
      <c r="C1002" s="78"/>
      <c r="D1002" s="78"/>
      <c r="E1002" s="78"/>
      <c r="F1002" s="78"/>
      <c r="G1002" s="17" t="s">
        <v>1229</v>
      </c>
    </row>
    <row r="1003" spans="1:25" ht="12.6" customHeight="1" x14ac:dyDescent="0.3">
      <c r="A1003" s="68" t="s">
        <v>1677</v>
      </c>
      <c r="B1003" s="102" t="str">
        <f>" 경    비  : "&amp;TEXT(I1003,"#,##0"&amp;IF(I1003&lt;&gt;INT(I1003),".###",""))&amp;" / Q  = "&amp;TEXT(C1003,"#,##0.0")&amp;""</f>
        <v xml:space="preserve"> 경    비  : 17,227 / Q  = 614.5</v>
      </c>
      <c r="C1003" s="104">
        <f>E1003+D1003+F1003</f>
        <v>614.5</v>
      </c>
      <c r="D1003" s="104">
        <f>IF(H1003=0,0,ROUNDDOWN(J1003*H1003,1))</f>
        <v>0</v>
      </c>
      <c r="E1003" s="104">
        <f>IF(H1003=0,0,ROUNDDOWN(K1003*H1003,1))</f>
        <v>0</v>
      </c>
      <c r="F1003" s="104">
        <f>IF(H1003=0,0,ROUNDDOWN(L1003*H1003,1))</f>
        <v>614.5</v>
      </c>
      <c r="G1003" s="17" t="s">
        <v>1676</v>
      </c>
      <c r="H1003" s="109">
        <v>3.5676061363E-2</v>
      </c>
      <c r="I1003" s="110">
        <f>K1003+J1003+L1003</f>
        <v>17227</v>
      </c>
      <c r="L1003" s="39">
        <f>중기목록표!H7</f>
        <v>17227</v>
      </c>
      <c r="M1003" s="35" t="s">
        <v>1673</v>
      </c>
      <c r="N1003" s="35" t="s">
        <v>1247</v>
      </c>
      <c r="X1003" s="111" t="str">
        <f>중기목록표!B7&amp;" / "&amp;중기목록표!C7</f>
        <v>굴삭기(무한궤도) / 0.4㎥</v>
      </c>
      <c r="Y1003" s="3" t="str">
        <f ca="1">HYPERLINK("#"&amp;중기목록표!J2&amp;"!A"&amp;ROW(중기목록표!A7),"X00021 →")</f>
        <v>X00021 →</v>
      </c>
    </row>
    <row r="1004" spans="1:25" ht="12.6" customHeight="1" x14ac:dyDescent="0.3">
      <c r="A1004" s="78"/>
      <c r="B1004" s="78"/>
      <c r="C1004" s="78"/>
      <c r="D1004" s="78"/>
      <c r="E1004" s="78"/>
      <c r="F1004" s="78"/>
      <c r="G1004" s="17" t="s">
        <v>1229</v>
      </c>
    </row>
    <row r="1005" spans="1:25" ht="12.6" customHeight="1" x14ac:dyDescent="0.3">
      <c r="A1005" s="68"/>
      <c r="B1005" s="77" t="s">
        <v>1246</v>
      </c>
      <c r="C1005" s="105">
        <f>E1005+D1005+F1005</f>
        <v>3236.2</v>
      </c>
      <c r="D1005" s="105">
        <f>SUMIF(N984:N1004,M1005,D984:D1004)</f>
        <v>2036.2</v>
      </c>
      <c r="E1005" s="105">
        <f>SUMIF(N984:N1004,M1005,E984:E1004)</f>
        <v>585.5</v>
      </c>
      <c r="F1005" s="105">
        <f>SUMIF(N984:N1004,M1005,F984:F1004)</f>
        <v>614.5</v>
      </c>
      <c r="G1005" s="17" t="s">
        <v>1245</v>
      </c>
      <c r="M1005" s="35" t="s">
        <v>1247</v>
      </c>
      <c r="N1005" s="35" t="s">
        <v>1011</v>
      </c>
    </row>
    <row r="1006" spans="1:25" ht="12.6" customHeight="1" x14ac:dyDescent="0.3">
      <c r="A1006" s="78"/>
      <c r="B1006" s="78"/>
      <c r="C1006" s="103"/>
      <c r="D1006" s="103"/>
      <c r="E1006" s="103"/>
      <c r="F1006" s="103"/>
    </row>
    <row r="1007" spans="1:25" ht="12.6" customHeight="1" x14ac:dyDescent="0.3">
      <c r="A1007" s="78"/>
      <c r="B1007" s="78"/>
      <c r="C1007" s="78"/>
      <c r="D1007" s="78"/>
      <c r="E1007" s="78"/>
      <c r="F1007" s="78"/>
    </row>
    <row r="1008" spans="1:25" ht="12.6" customHeight="1" x14ac:dyDescent="0.3">
      <c r="A1008" s="78"/>
      <c r="B1008" s="78"/>
      <c r="C1008" s="78"/>
      <c r="D1008" s="78"/>
      <c r="E1008" s="78"/>
      <c r="F1008" s="78"/>
    </row>
    <row r="1009" spans="1:14" ht="12.6" customHeight="1" x14ac:dyDescent="0.3">
      <c r="A1009" s="78"/>
      <c r="B1009" s="78"/>
      <c r="C1009" s="78"/>
      <c r="D1009" s="78"/>
      <c r="E1009" s="78"/>
      <c r="F1009" s="78"/>
    </row>
    <row r="1010" spans="1:14" ht="12.6" customHeight="1" x14ac:dyDescent="0.3">
      <c r="A1010" s="78"/>
      <c r="B1010" s="78"/>
      <c r="C1010" s="78"/>
      <c r="D1010" s="78"/>
      <c r="E1010" s="78"/>
      <c r="F1010" s="78"/>
    </row>
    <row r="1011" spans="1:14" ht="12.6" customHeight="1" x14ac:dyDescent="0.3">
      <c r="A1011" s="78"/>
      <c r="B1011" s="78"/>
      <c r="C1011" s="78"/>
      <c r="D1011" s="78"/>
      <c r="E1011" s="78"/>
      <c r="F1011" s="78"/>
    </row>
    <row r="1012" spans="1:14" ht="12.6" customHeight="1" x14ac:dyDescent="0.3">
      <c r="A1012" s="78"/>
      <c r="B1012" s="78"/>
      <c r="C1012" s="78"/>
      <c r="D1012" s="78"/>
      <c r="E1012" s="78"/>
      <c r="F1012" s="78"/>
    </row>
    <row r="1013" spans="1:14" ht="12.6" customHeight="1" x14ac:dyDescent="0.3">
      <c r="A1013" s="56"/>
      <c r="B1013" s="56"/>
      <c r="C1013" s="56"/>
      <c r="D1013" s="56"/>
      <c r="E1013" s="56"/>
      <c r="F1013" s="56"/>
    </row>
    <row r="1014" spans="1:14" ht="12.6" customHeight="1" x14ac:dyDescent="0.3">
      <c r="A1014" s="143" t="s">
        <v>1101</v>
      </c>
      <c r="B1014" s="144"/>
      <c r="C1014" s="54">
        <f>E1014+D1014+F1014</f>
        <v>3235</v>
      </c>
      <c r="D1014" s="52">
        <f>ROUNDDOWN(SUMIF(N984:N1005,M1014,D984:D1005),0)</f>
        <v>2036</v>
      </c>
      <c r="E1014" s="64">
        <f>ROUNDDOWN(SUMIF(N984:N1005,M1014,E984:E1005),0)</f>
        <v>585</v>
      </c>
      <c r="F1014" s="54">
        <f>ROUNDDOWN(SUMIF(N984:N1005,M1014,F984:F1005),0)</f>
        <v>614</v>
      </c>
      <c r="M1014" s="35" t="s">
        <v>1011</v>
      </c>
      <c r="N1014" s="35" t="s">
        <v>1102</v>
      </c>
    </row>
    <row r="1015" spans="1:14" ht="12.6" customHeight="1" x14ac:dyDescent="0.3">
      <c r="A1015" s="143" t="s">
        <v>1103</v>
      </c>
      <c r="B1015" s="144"/>
      <c r="C1015" s="54">
        <f>E1015+D1015+F1015</f>
        <v>2837</v>
      </c>
      <c r="D1015" s="52">
        <f>ROUNDDOWN(D1014*H1015/100,0)</f>
        <v>1786</v>
      </c>
      <c r="E1015" s="64">
        <f>ROUNDDOWN(E1014*H1015/100,0)</f>
        <v>513</v>
      </c>
      <c r="F1015" s="54">
        <f>ROUNDDOWN(F1014*H1015/100,0)</f>
        <v>538</v>
      </c>
      <c r="H1015" s="37">
        <v>87.745000000000005</v>
      </c>
      <c r="M1015" s="35" t="s">
        <v>1102</v>
      </c>
    </row>
    <row r="1016" spans="1:14" ht="12.6" customHeight="1" x14ac:dyDescent="0.3">
      <c r="A1016" s="100" t="s">
        <v>215</v>
      </c>
      <c r="B1016" s="101" t="s">
        <v>119</v>
      </c>
      <c r="C1016" s="150">
        <f>C1084</f>
        <v>33688</v>
      </c>
      <c r="D1016" s="150">
        <f>D1084</f>
        <v>17871</v>
      </c>
      <c r="E1016" s="150">
        <f>E1084</f>
        <v>5607</v>
      </c>
      <c r="F1016" s="150">
        <f>F1084</f>
        <v>10210</v>
      </c>
      <c r="G1016" s="97" t="str">
        <f>HYPERLINK("#G"&amp;ROW(G1067),"_x0005_`BDCOD|D01480_x0007_`POSS|"&amp;ROW(G1018)&amp;"_x0007_`POSE|"&amp;ROW(G1067)&amp;"_x0007_`")</f>
        <v>_x0005_`BDCOD|D01480_x0007_`POSS|1018_x0007_`POSE|1067_x0007_`</v>
      </c>
    </row>
    <row r="1017" spans="1:14" ht="12.6" customHeight="1" x14ac:dyDescent="0.3">
      <c r="A1017" s="83"/>
      <c r="B1017" s="101" t="s">
        <v>212</v>
      </c>
      <c r="C1017" s="139"/>
      <c r="D1017" s="139"/>
      <c r="E1017" s="139"/>
      <c r="F1017" s="139"/>
      <c r="M1017" s="35" t="s">
        <v>215</v>
      </c>
    </row>
    <row r="1018" spans="1:14" ht="12.6" customHeight="1" x14ac:dyDescent="0.3">
      <c r="A1018" s="78"/>
      <c r="B1018" s="78"/>
      <c r="C1018" s="103"/>
      <c r="D1018" s="103"/>
      <c r="E1018" s="103"/>
      <c r="F1018" s="103"/>
      <c r="G1018" s="17" t="s">
        <v>1229</v>
      </c>
    </row>
    <row r="1019" spans="1:14" ht="12.6" customHeight="1" x14ac:dyDescent="0.3">
      <c r="A1019" s="68"/>
      <c r="B1019" s="77" t="s">
        <v>1679</v>
      </c>
      <c r="C1019" s="78"/>
      <c r="D1019" s="78"/>
      <c r="E1019" s="78"/>
      <c r="F1019" s="78"/>
      <c r="G1019" s="17" t="s">
        <v>1678</v>
      </c>
    </row>
    <row r="1020" spans="1:14" ht="12.6" customHeight="1" x14ac:dyDescent="0.3">
      <c r="A1020" s="78"/>
      <c r="B1020" s="78"/>
      <c r="C1020" s="78"/>
      <c r="D1020" s="78"/>
      <c r="E1020" s="78"/>
      <c r="F1020" s="78"/>
      <c r="G1020" s="17" t="s">
        <v>1229</v>
      </c>
    </row>
    <row r="1021" spans="1:14" ht="12.6" customHeight="1" x14ac:dyDescent="0.3">
      <c r="A1021" s="68"/>
      <c r="B1021" s="77" t="s">
        <v>1681</v>
      </c>
      <c r="C1021" s="78"/>
      <c r="D1021" s="78"/>
      <c r="E1021" s="78"/>
      <c r="F1021" s="78"/>
      <c r="G1021" s="17" t="s">
        <v>1680</v>
      </c>
    </row>
    <row r="1022" spans="1:14" ht="12.6" customHeight="1" x14ac:dyDescent="0.3">
      <c r="A1022" s="78"/>
      <c r="B1022" s="78"/>
      <c r="C1022" s="78"/>
      <c r="D1022" s="78"/>
      <c r="E1022" s="78"/>
      <c r="F1022" s="78"/>
      <c r="G1022" s="17" t="s">
        <v>1229</v>
      </c>
    </row>
    <row r="1023" spans="1:14" ht="12.6" customHeight="1" x14ac:dyDescent="0.3">
      <c r="A1023" s="68"/>
      <c r="B1023" s="77" t="s">
        <v>1683</v>
      </c>
      <c r="C1023" s="78"/>
      <c r="D1023" s="78"/>
      <c r="E1023" s="78"/>
      <c r="F1023" s="78"/>
      <c r="G1023" s="17" t="s">
        <v>1682</v>
      </c>
    </row>
    <row r="1024" spans="1:14" ht="12.6" customHeight="1" x14ac:dyDescent="0.3">
      <c r="A1024" s="78"/>
      <c r="B1024" s="78"/>
      <c r="C1024" s="78"/>
      <c r="D1024" s="78"/>
      <c r="E1024" s="78"/>
      <c r="F1024" s="78"/>
      <c r="G1024" s="17" t="s">
        <v>1229</v>
      </c>
    </row>
    <row r="1025" spans="1:25" ht="12.6" customHeight="1" x14ac:dyDescent="0.3">
      <c r="A1025" s="78"/>
      <c r="B1025" s="78"/>
      <c r="C1025" s="78"/>
      <c r="D1025" s="78"/>
      <c r="E1025" s="78"/>
      <c r="F1025" s="78"/>
      <c r="G1025" s="17" t="s">
        <v>1229</v>
      </c>
    </row>
    <row r="1026" spans="1:25" ht="12.6" customHeight="1" x14ac:dyDescent="0.3">
      <c r="A1026" s="68" t="s">
        <v>1285</v>
      </c>
      <c r="B1026" s="102" t="str">
        <f>" 노 무 비  :   "&amp;TEXT(I1026,"#,##0"&amp;IF(I1026&lt;&gt;INT(I1026),".###",""))&amp;" / Q = "&amp;TEXT(C1026,"#,##0.0")&amp;""</f>
        <v xml:space="preserve"> 노 무 비  :   57,077 / Q = 16,307.7</v>
      </c>
      <c r="C1026" s="104">
        <f>E1026+D1026+F1026</f>
        <v>16307.7</v>
      </c>
      <c r="D1026" s="104">
        <f>IF(H1026=0,0,ROUNDDOWN(J1026*H1026,1))</f>
        <v>16307.7</v>
      </c>
      <c r="E1026" s="104">
        <f>IF(H1026=0,0,ROUNDDOWN(K1026*H1026,1))</f>
        <v>0</v>
      </c>
      <c r="F1026" s="104">
        <f>IF(H1026=0,0,ROUNDDOWN(L1026*H1026,1))</f>
        <v>0</v>
      </c>
      <c r="G1026" s="17" t="s">
        <v>1646</v>
      </c>
      <c r="H1026" s="109">
        <v>0.28571428571450003</v>
      </c>
      <c r="I1026" s="110">
        <f>K1026+J1026+L1026</f>
        <v>57077</v>
      </c>
      <c r="J1026" s="39">
        <f>중기목록표!F5</f>
        <v>57077</v>
      </c>
      <c r="M1026" s="35" t="s">
        <v>1286</v>
      </c>
      <c r="N1026" s="35" t="s">
        <v>1247</v>
      </c>
      <c r="X1026" s="111" t="str">
        <f>중기목록표!B5&amp;" / "&amp;중기목록표!C5</f>
        <v xml:space="preserve">굴삭기+브레카(0.7m3) / </v>
      </c>
      <c r="Y1026" s="3" t="str">
        <f ca="1">HYPERLINK("#"&amp;중기목록표!J2&amp;"!A"&amp;ROW(중기목록표!A5),"X00004 →")</f>
        <v>X00004 →</v>
      </c>
    </row>
    <row r="1027" spans="1:25" ht="12.6" customHeight="1" x14ac:dyDescent="0.3">
      <c r="A1027" s="78"/>
      <c r="B1027" s="78"/>
      <c r="C1027" s="78"/>
      <c r="D1027" s="78"/>
      <c r="E1027" s="78"/>
      <c r="F1027" s="78"/>
      <c r="G1027" s="17" t="s">
        <v>1229</v>
      </c>
    </row>
    <row r="1028" spans="1:25" ht="12.6" customHeight="1" x14ac:dyDescent="0.3">
      <c r="A1028" s="68" t="s">
        <v>1288</v>
      </c>
      <c r="B1028" s="102" t="str">
        <f>" 재 료 비  :   "&amp;TEXT(I1028,"#,##0"&amp;IF(I1028&lt;&gt;INT(I1028),".###",""))&amp;" / Q = "&amp;TEXT(C1028,"#,##0.0")&amp;""</f>
        <v xml:space="preserve"> 재 료 비  :   18,286 / Q = 5,224.5</v>
      </c>
      <c r="C1028" s="104">
        <f>E1028+D1028+F1028</f>
        <v>5224.5</v>
      </c>
      <c r="D1028" s="104">
        <f>IF(H1028=0,0,ROUNDDOWN(J1028*H1028,1))</f>
        <v>0</v>
      </c>
      <c r="E1028" s="104">
        <f>IF(H1028=0,0,ROUNDDOWN(K1028*H1028,1))</f>
        <v>5224.5</v>
      </c>
      <c r="F1028" s="104">
        <f>IF(H1028=0,0,ROUNDDOWN(L1028*H1028,1))</f>
        <v>0</v>
      </c>
      <c r="G1028" s="17" t="s">
        <v>1647</v>
      </c>
      <c r="H1028" s="109">
        <v>0.28571428571450003</v>
      </c>
      <c r="I1028" s="110">
        <f>K1028+J1028+L1028</f>
        <v>18286</v>
      </c>
      <c r="K1028" s="39">
        <f>중기목록표!G5</f>
        <v>18286</v>
      </c>
      <c r="M1028" s="35" t="s">
        <v>1286</v>
      </c>
      <c r="N1028" s="35" t="s">
        <v>1247</v>
      </c>
      <c r="X1028" s="111" t="str">
        <f>중기목록표!B5&amp;" / "&amp;중기목록표!C5</f>
        <v xml:space="preserve">굴삭기+브레카(0.7m3) / </v>
      </c>
      <c r="Y1028" s="3" t="str">
        <f ca="1">HYPERLINK("#"&amp;중기목록표!J2&amp;"!A"&amp;ROW(중기목록표!A5),"X00004 →")</f>
        <v>X00004 →</v>
      </c>
    </row>
    <row r="1029" spans="1:25" ht="12.6" customHeight="1" x14ac:dyDescent="0.3">
      <c r="A1029" s="78"/>
      <c r="B1029" s="78"/>
      <c r="C1029" s="78"/>
      <c r="D1029" s="78"/>
      <c r="E1029" s="78"/>
      <c r="F1029" s="78"/>
      <c r="G1029" s="17" t="s">
        <v>1229</v>
      </c>
    </row>
    <row r="1030" spans="1:25" ht="12.6" customHeight="1" x14ac:dyDescent="0.3">
      <c r="A1030" s="68" t="s">
        <v>1290</v>
      </c>
      <c r="B1030" s="102" t="str">
        <f>" 경    비  :   "&amp;TEXT(I1030,"#,##0"&amp;IF(I1030&lt;&gt;INT(I1030),".###",""))&amp;" / Q = "&amp;TEXT(C1030,"#,##0.0")&amp;""</f>
        <v xml:space="preserve"> 경    비  :   35,102 / Q = 10,029.1</v>
      </c>
      <c r="C1030" s="104">
        <f>E1030+D1030+F1030</f>
        <v>10029.1</v>
      </c>
      <c r="D1030" s="104">
        <f>IF(H1030=0,0,ROUNDDOWN(J1030*H1030,1))</f>
        <v>0</v>
      </c>
      <c r="E1030" s="104">
        <f>IF(H1030=0,0,ROUNDDOWN(K1030*H1030,1))</f>
        <v>0</v>
      </c>
      <c r="F1030" s="104">
        <f>IF(H1030=0,0,ROUNDDOWN(L1030*H1030,1))</f>
        <v>10029.1</v>
      </c>
      <c r="G1030" s="17" t="s">
        <v>1648</v>
      </c>
      <c r="H1030" s="109">
        <v>0.28571428571450003</v>
      </c>
      <c r="I1030" s="110">
        <f>K1030+J1030+L1030</f>
        <v>35102</v>
      </c>
      <c r="L1030" s="39">
        <f>중기목록표!H5</f>
        <v>35102</v>
      </c>
      <c r="M1030" s="35" t="s">
        <v>1286</v>
      </c>
      <c r="N1030" s="35" t="s">
        <v>1247</v>
      </c>
      <c r="X1030" s="111" t="str">
        <f>중기목록표!B5&amp;" / "&amp;중기목록표!C5</f>
        <v xml:space="preserve">굴삭기+브레카(0.7m3) / </v>
      </c>
      <c r="Y1030" s="3" t="str">
        <f ca="1">HYPERLINK("#"&amp;중기목록표!J2&amp;"!A"&amp;ROW(중기목록표!A5),"X00004 →")</f>
        <v>X00004 →</v>
      </c>
    </row>
    <row r="1031" spans="1:25" ht="12.6" customHeight="1" x14ac:dyDescent="0.3">
      <c r="A1031" s="78"/>
      <c r="B1031" s="78"/>
      <c r="C1031" s="78"/>
      <c r="D1031" s="78"/>
      <c r="E1031" s="78"/>
      <c r="F1031" s="78"/>
      <c r="G1031" s="17" t="s">
        <v>1229</v>
      </c>
    </row>
    <row r="1032" spans="1:25" ht="12.6" customHeight="1" x14ac:dyDescent="0.3">
      <c r="A1032" s="68"/>
      <c r="B1032" s="77" t="s">
        <v>1246</v>
      </c>
      <c r="C1032" s="105">
        <f>E1032+D1032+F1032</f>
        <v>31561.300000000003</v>
      </c>
      <c r="D1032" s="105">
        <f>SUMIF(N1018:N1031,M1032,D1018:D1031)</f>
        <v>16307.7</v>
      </c>
      <c r="E1032" s="105">
        <f>SUMIF(N1018:N1031,M1032,E1018:E1031)</f>
        <v>5224.5</v>
      </c>
      <c r="F1032" s="105">
        <f>SUMIF(N1018:N1031,M1032,F1018:F1031)</f>
        <v>10029.1</v>
      </c>
      <c r="G1032" s="17" t="s">
        <v>1245</v>
      </c>
      <c r="M1032" s="35" t="s">
        <v>1247</v>
      </c>
      <c r="N1032" s="35" t="s">
        <v>1348</v>
      </c>
    </row>
    <row r="1033" spans="1:25" ht="12.6" customHeight="1" x14ac:dyDescent="0.3">
      <c r="A1033" s="78"/>
      <c r="B1033" s="78"/>
      <c r="C1033" s="103"/>
      <c r="D1033" s="103"/>
      <c r="E1033" s="103"/>
      <c r="F1033" s="103"/>
      <c r="G1033" s="17" t="s">
        <v>1229</v>
      </c>
    </row>
    <row r="1034" spans="1:25" ht="12.6" customHeight="1" x14ac:dyDescent="0.3">
      <c r="A1034" s="68"/>
      <c r="B1034" s="77" t="s">
        <v>1650</v>
      </c>
      <c r="C1034" s="78"/>
      <c r="D1034" s="78"/>
      <c r="E1034" s="78"/>
      <c r="F1034" s="78"/>
      <c r="G1034" s="17" t="s">
        <v>1649</v>
      </c>
    </row>
    <row r="1035" spans="1:25" ht="12.6" customHeight="1" x14ac:dyDescent="0.3">
      <c r="A1035" s="78"/>
      <c r="B1035" s="78"/>
      <c r="C1035" s="78"/>
      <c r="D1035" s="78"/>
      <c r="E1035" s="78"/>
      <c r="F1035" s="78"/>
      <c r="G1035" s="17" t="s">
        <v>1229</v>
      </c>
    </row>
    <row r="1036" spans="1:25" ht="12.6" customHeight="1" x14ac:dyDescent="0.3">
      <c r="A1036" s="68"/>
      <c r="B1036" s="77" t="s">
        <v>1685</v>
      </c>
      <c r="C1036" s="78"/>
      <c r="D1036" s="78"/>
      <c r="E1036" s="78"/>
      <c r="F1036" s="78"/>
      <c r="G1036" s="17" t="s">
        <v>1684</v>
      </c>
    </row>
    <row r="1037" spans="1:25" ht="12.6" customHeight="1" x14ac:dyDescent="0.3">
      <c r="A1037" s="78"/>
      <c r="B1037" s="78"/>
      <c r="C1037" s="78"/>
      <c r="D1037" s="78"/>
      <c r="E1037" s="78"/>
      <c r="F1037" s="78"/>
      <c r="G1037" s="17" t="s">
        <v>1229</v>
      </c>
    </row>
    <row r="1038" spans="1:25" ht="12.6" customHeight="1" x14ac:dyDescent="0.3">
      <c r="A1038" s="68" t="s">
        <v>635</v>
      </c>
      <c r="B1038" s="102" t="str">
        <f>"  S*("&amp;TEXT(I1038,"#,##0"&amp;IF(I1038&lt;&gt;INT(I1038),".###",""))&amp;"*1000)/ Q = "&amp;TEXT(C1038,"#,##0.0")&amp;" W/㎥ "</f>
        <v xml:space="preserve">  S*(223*1000)/ Q = 382.2 W/㎥ </v>
      </c>
      <c r="C1038" s="104">
        <f>E1038+D1038+F1038</f>
        <v>382.2</v>
      </c>
      <c r="D1038" s="104">
        <f>IF(H1038=0,0,ROUNDDOWN(J1038*H1038,1))</f>
        <v>0</v>
      </c>
      <c r="E1038" s="104">
        <f>IF(H1038=0,0,ROUNDDOWN(K1038*H1038,1))</f>
        <v>0</v>
      </c>
      <c r="F1038" s="104">
        <f>IF(H1038=0,0,ROUNDDOWN(L1038*H1038,1))</f>
        <v>382.2</v>
      </c>
      <c r="G1038" s="17" t="s">
        <v>1686</v>
      </c>
      <c r="H1038" s="109">
        <v>1.7142857142957999</v>
      </c>
      <c r="I1038" s="110">
        <f>K1038+J1038+L1038</f>
        <v>223</v>
      </c>
      <c r="L1038" s="39">
        <f>경비목록표!E15</f>
        <v>223</v>
      </c>
      <c r="M1038" s="35" t="s">
        <v>1294</v>
      </c>
      <c r="N1038" s="35" t="s">
        <v>1247</v>
      </c>
      <c r="X1038" s="111" t="str">
        <f>경비목록표!B15&amp;" / "&amp;경비목록표!C15</f>
        <v>대형브레이카용 치즐 / 0.7㎥</v>
      </c>
      <c r="Y1038" s="3" t="str">
        <f ca="1">HYPERLINK("#"&amp;경비목록표!G2&amp;"!A"&amp;ROW(경비목록표!A15),"S00174 →")</f>
        <v>S00174 →</v>
      </c>
    </row>
    <row r="1039" spans="1:25" ht="12.6" customHeight="1" x14ac:dyDescent="0.3">
      <c r="A1039" s="78"/>
      <c r="B1039" s="78"/>
      <c r="C1039" s="78"/>
      <c r="D1039" s="78"/>
      <c r="E1039" s="78"/>
      <c r="F1039" s="78"/>
      <c r="G1039" s="17" t="s">
        <v>1229</v>
      </c>
    </row>
    <row r="1040" spans="1:25" ht="12.6" customHeight="1" x14ac:dyDescent="0.3">
      <c r="A1040" s="68"/>
      <c r="B1040" s="77" t="s">
        <v>1246</v>
      </c>
      <c r="C1040" s="105">
        <f>E1040+D1040+F1040</f>
        <v>382.2</v>
      </c>
      <c r="D1040" s="105">
        <f>SUMIF(N1033:N1039,M1040,D1033:D1039)</f>
        <v>0</v>
      </c>
      <c r="E1040" s="105">
        <f>SUMIF(N1033:N1039,M1040,E1033:E1039)</f>
        <v>0</v>
      </c>
      <c r="F1040" s="105">
        <f>SUMIF(N1033:N1039,M1040,F1033:F1039)</f>
        <v>382.2</v>
      </c>
      <c r="G1040" s="17" t="s">
        <v>1245</v>
      </c>
      <c r="M1040" s="35" t="s">
        <v>1247</v>
      </c>
      <c r="N1040" s="35" t="s">
        <v>1348</v>
      </c>
    </row>
    <row r="1041" spans="1:7" ht="12.6" customHeight="1" x14ac:dyDescent="0.3">
      <c r="A1041" s="78"/>
      <c r="B1041" s="78"/>
      <c r="C1041" s="103"/>
      <c r="D1041" s="103"/>
      <c r="E1041" s="103"/>
      <c r="F1041" s="103"/>
      <c r="G1041" s="17" t="s">
        <v>1229</v>
      </c>
    </row>
    <row r="1042" spans="1:7" ht="12.6" customHeight="1" x14ac:dyDescent="0.3">
      <c r="A1042" s="78"/>
      <c r="B1042" s="78"/>
      <c r="C1042" s="78"/>
      <c r="D1042" s="78"/>
      <c r="E1042" s="78"/>
      <c r="F1042" s="78"/>
      <c r="G1042" s="17" t="s">
        <v>1229</v>
      </c>
    </row>
    <row r="1043" spans="1:7" ht="12.6" customHeight="1" x14ac:dyDescent="0.3">
      <c r="A1043" s="68"/>
      <c r="B1043" s="77" t="s">
        <v>1688</v>
      </c>
      <c r="C1043" s="78"/>
      <c r="D1043" s="78"/>
      <c r="E1043" s="78"/>
      <c r="F1043" s="78"/>
      <c r="G1043" s="17" t="s">
        <v>1687</v>
      </c>
    </row>
    <row r="1044" spans="1:7" ht="12.6" customHeight="1" x14ac:dyDescent="0.3">
      <c r="A1044" s="78"/>
      <c r="B1044" s="78"/>
      <c r="C1044" s="78"/>
      <c r="D1044" s="78"/>
      <c r="E1044" s="78"/>
      <c r="F1044" s="78"/>
      <c r="G1044" s="17" t="s">
        <v>1229</v>
      </c>
    </row>
    <row r="1045" spans="1:7" ht="12.6" customHeight="1" x14ac:dyDescent="0.3">
      <c r="A1045" s="68"/>
      <c r="B1045" s="77" t="s">
        <v>1690</v>
      </c>
      <c r="C1045" s="78"/>
      <c r="D1045" s="78"/>
      <c r="E1045" s="78"/>
      <c r="F1045" s="78"/>
      <c r="G1045" s="17" t="s">
        <v>1689</v>
      </c>
    </row>
    <row r="1046" spans="1:7" ht="12.6" customHeight="1" x14ac:dyDescent="0.3">
      <c r="A1046" s="78"/>
      <c r="B1046" s="78"/>
      <c r="C1046" s="78"/>
      <c r="D1046" s="78"/>
      <c r="E1046" s="78"/>
      <c r="F1046" s="78"/>
      <c r="G1046" s="17" t="s">
        <v>1229</v>
      </c>
    </row>
    <row r="1047" spans="1:7" ht="12.6" customHeight="1" x14ac:dyDescent="0.3">
      <c r="A1047" s="68"/>
      <c r="B1047" s="77" t="s">
        <v>1660</v>
      </c>
      <c r="C1047" s="78"/>
      <c r="D1047" s="78"/>
      <c r="E1047" s="78"/>
      <c r="F1047" s="78"/>
      <c r="G1047" s="17" t="s">
        <v>1659</v>
      </c>
    </row>
    <row r="1048" spans="1:7" ht="12.6" customHeight="1" x14ac:dyDescent="0.3">
      <c r="A1048" s="78"/>
      <c r="B1048" s="78"/>
      <c r="C1048" s="78"/>
      <c r="D1048" s="78"/>
      <c r="E1048" s="78"/>
      <c r="F1048" s="78"/>
      <c r="G1048" s="17" t="s">
        <v>1229</v>
      </c>
    </row>
    <row r="1049" spans="1:7" ht="12.6" customHeight="1" x14ac:dyDescent="0.3">
      <c r="A1049" s="68"/>
      <c r="B1049" s="77" t="s">
        <v>1692</v>
      </c>
      <c r="C1049" s="78"/>
      <c r="D1049" s="78"/>
      <c r="E1049" s="78"/>
      <c r="F1049" s="78"/>
      <c r="G1049" s="17" t="s">
        <v>1691</v>
      </c>
    </row>
    <row r="1050" spans="1:7" ht="12.6" customHeight="1" x14ac:dyDescent="0.3">
      <c r="A1050" s="78"/>
      <c r="B1050" s="78"/>
      <c r="C1050" s="78"/>
      <c r="D1050" s="78"/>
      <c r="E1050" s="78"/>
      <c r="F1050" s="78"/>
      <c r="G1050" s="17" t="s">
        <v>1229</v>
      </c>
    </row>
    <row r="1051" spans="1:7" ht="12.6" customHeight="1" x14ac:dyDescent="0.3">
      <c r="A1051" s="68"/>
      <c r="B1051" s="77" t="s">
        <v>1302</v>
      </c>
      <c r="C1051" s="78"/>
      <c r="D1051" s="78"/>
      <c r="E1051" s="78"/>
      <c r="F1051" s="78"/>
      <c r="G1051" s="17" t="s">
        <v>1301</v>
      </c>
    </row>
    <row r="1052" spans="1:7" ht="12.6" customHeight="1" x14ac:dyDescent="0.3">
      <c r="A1052" s="78"/>
      <c r="B1052" s="78"/>
      <c r="C1052" s="78"/>
      <c r="D1052" s="78"/>
      <c r="E1052" s="78"/>
      <c r="F1052" s="78"/>
      <c r="G1052" s="17" t="s">
        <v>1229</v>
      </c>
    </row>
    <row r="1053" spans="1:7" ht="12.6" customHeight="1" x14ac:dyDescent="0.3">
      <c r="A1053" s="68"/>
      <c r="B1053" s="77" t="s">
        <v>1694</v>
      </c>
      <c r="C1053" s="78"/>
      <c r="D1053" s="78"/>
      <c r="E1053" s="78"/>
      <c r="F1053" s="78"/>
      <c r="G1053" s="17" t="s">
        <v>1693</v>
      </c>
    </row>
    <row r="1054" spans="1:7" ht="12.6" customHeight="1" x14ac:dyDescent="0.3">
      <c r="A1054" s="78"/>
      <c r="B1054" s="78"/>
      <c r="C1054" s="78"/>
      <c r="D1054" s="78"/>
      <c r="E1054" s="78"/>
      <c r="F1054" s="78"/>
      <c r="G1054" s="17" t="s">
        <v>1229</v>
      </c>
    </row>
    <row r="1055" spans="1:7" ht="12.6" customHeight="1" x14ac:dyDescent="0.3">
      <c r="A1055" s="68"/>
      <c r="B1055" s="77" t="s">
        <v>1306</v>
      </c>
      <c r="C1055" s="78"/>
      <c r="D1055" s="78"/>
      <c r="E1055" s="78"/>
      <c r="F1055" s="78"/>
      <c r="G1055" s="17" t="s">
        <v>1305</v>
      </c>
    </row>
    <row r="1056" spans="1:7" ht="12.6" customHeight="1" x14ac:dyDescent="0.3">
      <c r="A1056" s="78"/>
      <c r="B1056" s="78"/>
      <c r="C1056" s="78"/>
      <c r="D1056" s="78"/>
      <c r="E1056" s="78"/>
      <c r="F1056" s="78"/>
      <c r="G1056" s="17" t="s">
        <v>1229</v>
      </c>
    </row>
    <row r="1057" spans="1:25" ht="12.6" customHeight="1" x14ac:dyDescent="0.3">
      <c r="A1057" s="68"/>
      <c r="B1057" s="77" t="s">
        <v>1695</v>
      </c>
      <c r="C1057" s="78"/>
      <c r="D1057" s="78"/>
      <c r="E1057" s="78"/>
      <c r="F1057" s="78"/>
      <c r="G1057" s="17" t="s">
        <v>1307</v>
      </c>
    </row>
    <row r="1058" spans="1:25" ht="12.6" customHeight="1" x14ac:dyDescent="0.3">
      <c r="A1058" s="78"/>
      <c r="B1058" s="78"/>
      <c r="C1058" s="78"/>
      <c r="D1058" s="78"/>
      <c r="E1058" s="78"/>
      <c r="F1058" s="78"/>
      <c r="G1058" s="17" t="s">
        <v>1229</v>
      </c>
    </row>
    <row r="1059" spans="1:25" ht="12.6" customHeight="1" x14ac:dyDescent="0.3">
      <c r="A1059" s="68" t="s">
        <v>1672</v>
      </c>
      <c r="B1059" s="102" t="str">
        <f>" 노 무 비  :   "&amp;TEXT(I1059,"#,##0"&amp;IF(I1059&lt;&gt;INT(I1059),".###",""))&amp;" / Q1  = "&amp;TEXT(C1059,"#,##0.0")&amp;""</f>
        <v xml:space="preserve"> 노 무 비  :   57,077 / Q1  = 4,059.5</v>
      </c>
      <c r="C1059" s="104">
        <f>E1059+D1059+F1059</f>
        <v>4059.5</v>
      </c>
      <c r="D1059" s="104">
        <f>IF(H1059=0,0,ROUNDDOWN(J1059*H1059,1))</f>
        <v>4059.5</v>
      </c>
      <c r="E1059" s="104">
        <f>IF(H1059=0,0,ROUNDDOWN(K1059*H1059,1))</f>
        <v>0</v>
      </c>
      <c r="F1059" s="104">
        <f>IF(H1059=0,0,ROUNDDOWN(L1059*H1059,1))</f>
        <v>0</v>
      </c>
      <c r="G1059" s="17" t="s">
        <v>1696</v>
      </c>
      <c r="H1059" s="109">
        <v>7.1123755334499994E-2</v>
      </c>
      <c r="I1059" s="110">
        <f>K1059+J1059+L1059</f>
        <v>57077</v>
      </c>
      <c r="J1059" s="39">
        <f>중기목록표!F7</f>
        <v>57077</v>
      </c>
      <c r="M1059" s="35" t="s">
        <v>1673</v>
      </c>
      <c r="N1059" s="35" t="s">
        <v>1247</v>
      </c>
      <c r="X1059" s="111" t="str">
        <f>중기목록표!B7&amp;" / "&amp;중기목록표!C7</f>
        <v>굴삭기(무한궤도) / 0.4㎥</v>
      </c>
      <c r="Y1059" s="3" t="str">
        <f ca="1">HYPERLINK("#"&amp;중기목록표!J2&amp;"!A"&amp;ROW(중기목록표!A7),"X00021 →")</f>
        <v>X00021 →</v>
      </c>
    </row>
    <row r="1060" spans="1:25" ht="12.6" customHeight="1" x14ac:dyDescent="0.3">
      <c r="A1060" s="78"/>
      <c r="B1060" s="78"/>
      <c r="C1060" s="78"/>
      <c r="D1060" s="78"/>
      <c r="E1060" s="78"/>
      <c r="F1060" s="78"/>
      <c r="G1060" s="17" t="s">
        <v>1229</v>
      </c>
    </row>
    <row r="1061" spans="1:25" ht="12.6" customHeight="1" x14ac:dyDescent="0.3">
      <c r="A1061" s="68" t="s">
        <v>1675</v>
      </c>
      <c r="B1061" s="102" t="str">
        <f>" 재 료 비  :   "&amp;TEXT(I1061,"#,##0"&amp;IF(I1061&lt;&gt;INT(I1061),".###",""))&amp;" / Q1  = "&amp;TEXT(C1061,"#,##0.0")&amp;""</f>
        <v xml:space="preserve"> 재 료 비  :   16,414 / Q1  = 1,167.4</v>
      </c>
      <c r="C1061" s="104">
        <f>E1061+D1061+F1061</f>
        <v>1167.4000000000001</v>
      </c>
      <c r="D1061" s="104">
        <f>IF(H1061=0,0,ROUNDDOWN(J1061*H1061,1))</f>
        <v>0</v>
      </c>
      <c r="E1061" s="104">
        <f>IF(H1061=0,0,ROUNDDOWN(K1061*H1061,1))</f>
        <v>1167.4000000000001</v>
      </c>
      <c r="F1061" s="104">
        <f>IF(H1061=0,0,ROUNDDOWN(L1061*H1061,1))</f>
        <v>0</v>
      </c>
      <c r="G1061" s="17" t="s">
        <v>1697</v>
      </c>
      <c r="H1061" s="109">
        <v>7.1123755334499994E-2</v>
      </c>
      <c r="I1061" s="110">
        <f>K1061+J1061+L1061</f>
        <v>16414</v>
      </c>
      <c r="K1061" s="39">
        <f>중기목록표!G7</f>
        <v>16414</v>
      </c>
      <c r="M1061" s="35" t="s">
        <v>1673</v>
      </c>
      <c r="N1061" s="35" t="s">
        <v>1247</v>
      </c>
      <c r="X1061" s="111" t="str">
        <f>중기목록표!B7&amp;" / "&amp;중기목록표!C7</f>
        <v>굴삭기(무한궤도) / 0.4㎥</v>
      </c>
      <c r="Y1061" s="3" t="str">
        <f ca="1">HYPERLINK("#"&amp;중기목록표!J2&amp;"!A"&amp;ROW(중기목록표!A7),"X00021 →")</f>
        <v>X00021 →</v>
      </c>
    </row>
    <row r="1062" spans="1:25" ht="12.6" customHeight="1" x14ac:dyDescent="0.3">
      <c r="A1062" s="78"/>
      <c r="B1062" s="78"/>
      <c r="C1062" s="78"/>
      <c r="D1062" s="78"/>
      <c r="E1062" s="78"/>
      <c r="F1062" s="78"/>
      <c r="G1062" s="17" t="s">
        <v>1229</v>
      </c>
    </row>
    <row r="1063" spans="1:25" ht="12.6" customHeight="1" x14ac:dyDescent="0.3">
      <c r="A1063" s="68" t="s">
        <v>1677</v>
      </c>
      <c r="B1063" s="102" t="str">
        <f>" 경    비  :   "&amp;TEXT(I1063,"#,##0"&amp;IF(I1063&lt;&gt;INT(I1063),".###",""))&amp;" / Q1  = "&amp;TEXT(C1063,"#,##0.0")&amp;""</f>
        <v xml:space="preserve"> 경    비  :   17,227 / Q1  = 1,225.2</v>
      </c>
      <c r="C1063" s="104">
        <f>E1063+D1063+F1063</f>
        <v>1225.2</v>
      </c>
      <c r="D1063" s="104">
        <f>IF(H1063=0,0,ROUNDDOWN(J1063*H1063,1))</f>
        <v>0</v>
      </c>
      <c r="E1063" s="104">
        <f>IF(H1063=0,0,ROUNDDOWN(K1063*H1063,1))</f>
        <v>0</v>
      </c>
      <c r="F1063" s="104">
        <f>IF(H1063=0,0,ROUNDDOWN(L1063*H1063,1))</f>
        <v>1225.2</v>
      </c>
      <c r="G1063" s="17" t="s">
        <v>1698</v>
      </c>
      <c r="H1063" s="109">
        <v>7.1123755334499994E-2</v>
      </c>
      <c r="I1063" s="110">
        <f>K1063+J1063+L1063</f>
        <v>17227</v>
      </c>
      <c r="L1063" s="39">
        <f>중기목록표!H7</f>
        <v>17227</v>
      </c>
      <c r="M1063" s="35" t="s">
        <v>1673</v>
      </c>
      <c r="N1063" s="35" t="s">
        <v>1247</v>
      </c>
      <c r="X1063" s="111" t="str">
        <f>중기목록표!B7&amp;" / "&amp;중기목록표!C7</f>
        <v>굴삭기(무한궤도) / 0.4㎥</v>
      </c>
      <c r="Y1063" s="3" t="str">
        <f ca="1">HYPERLINK("#"&amp;중기목록표!J2&amp;"!A"&amp;ROW(중기목록표!A7),"X00021 →")</f>
        <v>X00021 →</v>
      </c>
    </row>
    <row r="1064" spans="1:25" ht="12.6" customHeight="1" x14ac:dyDescent="0.3">
      <c r="A1064" s="78"/>
      <c r="B1064" s="78"/>
      <c r="C1064" s="78"/>
      <c r="D1064" s="78"/>
      <c r="E1064" s="78"/>
      <c r="F1064" s="78"/>
      <c r="G1064" s="17" t="s">
        <v>1229</v>
      </c>
    </row>
    <row r="1065" spans="1:25" ht="12.6" customHeight="1" x14ac:dyDescent="0.3">
      <c r="A1065" s="68"/>
      <c r="B1065" s="77" t="s">
        <v>1246</v>
      </c>
      <c r="C1065" s="105">
        <f>E1065+D1065+F1065</f>
        <v>6452.0999999999995</v>
      </c>
      <c r="D1065" s="105">
        <f>SUMIF(N1041:N1064,M1065,D1041:D1064)</f>
        <v>4059.5</v>
      </c>
      <c r="E1065" s="105">
        <f>SUMIF(N1041:N1064,M1065,E1041:E1064)</f>
        <v>1167.4000000000001</v>
      </c>
      <c r="F1065" s="105">
        <f>SUMIF(N1041:N1064,M1065,F1041:F1064)</f>
        <v>1225.2</v>
      </c>
      <c r="G1065" s="17" t="s">
        <v>1245</v>
      </c>
      <c r="M1065" s="35" t="s">
        <v>1247</v>
      </c>
      <c r="N1065" s="35" t="s">
        <v>1348</v>
      </c>
    </row>
    <row r="1066" spans="1:25" ht="12.6" customHeight="1" x14ac:dyDescent="0.3">
      <c r="A1066" s="78"/>
      <c r="B1066" s="78"/>
      <c r="C1066" s="103"/>
      <c r="D1066" s="103"/>
      <c r="E1066" s="103"/>
      <c r="F1066" s="103"/>
      <c r="G1066" s="17" t="s">
        <v>1229</v>
      </c>
    </row>
    <row r="1067" spans="1:25" ht="12.6" customHeight="1" x14ac:dyDescent="0.3">
      <c r="A1067" s="68"/>
      <c r="B1067" s="77" t="s">
        <v>1101</v>
      </c>
      <c r="C1067" s="105">
        <f>E1067+D1067+F1067</f>
        <v>38395.599999999999</v>
      </c>
      <c r="D1067" s="105">
        <f>SUMIF(N1018:N1066,M1067,D1018:D1066)</f>
        <v>20367.2</v>
      </c>
      <c r="E1067" s="105">
        <f>SUMIF(N1018:N1066,M1067,E1018:E1066)</f>
        <v>6391.9</v>
      </c>
      <c r="F1067" s="105">
        <f>SUMIF(N1018:N1066,M1067,F1018:F1066)</f>
        <v>11636.500000000002</v>
      </c>
      <c r="G1067" s="17" t="s">
        <v>1347</v>
      </c>
      <c r="M1067" s="35" t="s">
        <v>1348</v>
      </c>
      <c r="N1067" s="35" t="s">
        <v>1011</v>
      </c>
    </row>
    <row r="1068" spans="1:25" ht="12.6" customHeight="1" x14ac:dyDescent="0.3">
      <c r="A1068" s="78"/>
      <c r="B1068" s="78"/>
      <c r="C1068" s="103"/>
      <c r="D1068" s="103"/>
      <c r="E1068" s="103"/>
      <c r="F1068" s="103"/>
    </row>
    <row r="1069" spans="1:25" ht="12.6" customHeight="1" x14ac:dyDescent="0.3">
      <c r="A1069" s="78"/>
      <c r="B1069" s="78"/>
      <c r="C1069" s="78"/>
      <c r="D1069" s="78"/>
      <c r="E1069" s="78"/>
      <c r="F1069" s="78"/>
    </row>
    <row r="1070" spans="1:25" ht="12.6" customHeight="1" x14ac:dyDescent="0.3">
      <c r="A1070" s="78"/>
      <c r="B1070" s="78"/>
      <c r="C1070" s="78"/>
      <c r="D1070" s="78"/>
      <c r="E1070" s="78"/>
      <c r="F1070" s="78"/>
    </row>
    <row r="1071" spans="1:25" ht="12.6" customHeight="1" x14ac:dyDescent="0.3">
      <c r="A1071" s="78"/>
      <c r="B1071" s="78"/>
      <c r="C1071" s="78"/>
      <c r="D1071" s="78"/>
      <c r="E1071" s="78"/>
      <c r="F1071" s="78"/>
    </row>
    <row r="1072" spans="1:25" ht="12.6" customHeight="1" x14ac:dyDescent="0.3">
      <c r="A1072" s="78"/>
      <c r="B1072" s="78"/>
      <c r="C1072" s="78"/>
      <c r="D1072" s="78"/>
      <c r="E1072" s="78"/>
      <c r="F1072" s="78"/>
    </row>
    <row r="1073" spans="1:14" ht="12.6" customHeight="1" x14ac:dyDescent="0.3">
      <c r="A1073" s="78"/>
      <c r="B1073" s="78"/>
      <c r="C1073" s="78"/>
      <c r="D1073" s="78"/>
      <c r="E1073" s="78"/>
      <c r="F1073" s="78"/>
    </row>
    <row r="1074" spans="1:14" ht="12.6" customHeight="1" x14ac:dyDescent="0.3">
      <c r="A1074" s="78"/>
      <c r="B1074" s="78"/>
      <c r="C1074" s="78"/>
      <c r="D1074" s="78"/>
      <c r="E1074" s="78"/>
      <c r="F1074" s="78"/>
    </row>
    <row r="1075" spans="1:14" ht="12.6" customHeight="1" x14ac:dyDescent="0.3">
      <c r="A1075" s="78"/>
      <c r="B1075" s="78"/>
      <c r="C1075" s="78"/>
      <c r="D1075" s="78"/>
      <c r="E1075" s="78"/>
      <c r="F1075" s="78"/>
    </row>
    <row r="1076" spans="1:14" ht="12.6" customHeight="1" x14ac:dyDescent="0.3">
      <c r="A1076" s="78"/>
      <c r="B1076" s="78"/>
      <c r="C1076" s="78"/>
      <c r="D1076" s="78"/>
      <c r="E1076" s="78"/>
      <c r="F1076" s="78"/>
    </row>
    <row r="1077" spans="1:14" ht="12.6" customHeight="1" x14ac:dyDescent="0.3">
      <c r="A1077" s="78"/>
      <c r="B1077" s="78"/>
      <c r="C1077" s="78"/>
      <c r="D1077" s="78"/>
      <c r="E1077" s="78"/>
      <c r="F1077" s="78"/>
    </row>
    <row r="1078" spans="1:14" ht="12.6" customHeight="1" x14ac:dyDescent="0.3">
      <c r="A1078" s="78"/>
      <c r="B1078" s="78"/>
      <c r="C1078" s="78"/>
      <c r="D1078" s="78"/>
      <c r="E1078" s="78"/>
      <c r="F1078" s="78"/>
    </row>
    <row r="1079" spans="1:14" ht="12.6" customHeight="1" x14ac:dyDescent="0.3">
      <c r="A1079" s="78"/>
      <c r="B1079" s="78"/>
      <c r="C1079" s="78"/>
      <c r="D1079" s="78"/>
      <c r="E1079" s="78"/>
      <c r="F1079" s="78"/>
    </row>
    <row r="1080" spans="1:14" ht="12.6" customHeight="1" x14ac:dyDescent="0.3">
      <c r="A1080" s="78"/>
      <c r="B1080" s="78"/>
      <c r="C1080" s="78"/>
      <c r="D1080" s="78"/>
      <c r="E1080" s="78"/>
      <c r="F1080" s="78"/>
    </row>
    <row r="1081" spans="1:14" ht="12.6" customHeight="1" x14ac:dyDescent="0.3">
      <c r="A1081" s="78"/>
      <c r="B1081" s="78"/>
      <c r="C1081" s="78"/>
      <c r="D1081" s="78"/>
      <c r="E1081" s="78"/>
      <c r="F1081" s="78"/>
    </row>
    <row r="1082" spans="1:14" ht="12.6" customHeight="1" x14ac:dyDescent="0.3">
      <c r="A1082" s="56"/>
      <c r="B1082" s="56"/>
      <c r="C1082" s="56"/>
      <c r="D1082" s="56"/>
      <c r="E1082" s="56"/>
      <c r="F1082" s="56"/>
    </row>
    <row r="1083" spans="1:14" ht="12.6" customHeight="1" x14ac:dyDescent="0.3">
      <c r="A1083" s="143" t="s">
        <v>1101</v>
      </c>
      <c r="B1083" s="144"/>
      <c r="C1083" s="54">
        <f>E1083+D1083+F1083</f>
        <v>38394</v>
      </c>
      <c r="D1083" s="52">
        <f>ROUNDDOWN(SUMIF(N1018:N1067,M1083,D1018:D1067),0)</f>
        <v>20367</v>
      </c>
      <c r="E1083" s="64">
        <f>ROUNDDOWN(SUMIF(N1018:N1067,M1083,E1018:E1067),0)</f>
        <v>6391</v>
      </c>
      <c r="F1083" s="54">
        <f>ROUNDDOWN(SUMIF(N1018:N1067,M1083,F1018:F1067),0)</f>
        <v>11636</v>
      </c>
      <c r="M1083" s="35" t="s">
        <v>1011</v>
      </c>
      <c r="N1083" s="35" t="s">
        <v>1102</v>
      </c>
    </row>
    <row r="1084" spans="1:14" ht="12.6" customHeight="1" x14ac:dyDescent="0.3">
      <c r="A1084" s="143" t="s">
        <v>1103</v>
      </c>
      <c r="B1084" s="144"/>
      <c r="C1084" s="54">
        <f>E1084+D1084+F1084</f>
        <v>33688</v>
      </c>
      <c r="D1084" s="52">
        <f>ROUNDDOWN(D1083*H1084/100,0)</f>
        <v>17871</v>
      </c>
      <c r="E1084" s="64">
        <f>ROUNDDOWN(E1083*H1084/100,0)</f>
        <v>5607</v>
      </c>
      <c r="F1084" s="54">
        <f>ROUNDDOWN(F1083*H1084/100,0)</f>
        <v>10210</v>
      </c>
      <c r="H1084" s="37">
        <v>87.745000000000005</v>
      </c>
      <c r="M1084" s="35" t="s">
        <v>1102</v>
      </c>
    </row>
    <row r="1085" spans="1:14" ht="12.6" customHeight="1" x14ac:dyDescent="0.3">
      <c r="A1085" s="100" t="s">
        <v>219</v>
      </c>
      <c r="B1085" s="101" t="s">
        <v>124</v>
      </c>
      <c r="C1085" s="150">
        <f>C1153</f>
        <v>1592</v>
      </c>
      <c r="D1085" s="150">
        <f>D1153</f>
        <v>695</v>
      </c>
      <c r="E1085" s="150">
        <f>E1153</f>
        <v>480</v>
      </c>
      <c r="F1085" s="150">
        <f>F1153</f>
        <v>417</v>
      </c>
      <c r="G1085" s="97" t="str">
        <f>HYPERLINK("#G"&amp;ROW(G1118),"_x0005_`BDCOD|D01481_x0007_`POSS|"&amp;ROW(G1087)&amp;"_x0007_`POSE|"&amp;ROW(G1118)&amp;"_x0007_`")</f>
        <v>_x0005_`BDCOD|D01481_x0007_`POSS|1087_x0007_`POSE|1118_x0007_`</v>
      </c>
    </row>
    <row r="1086" spans="1:14" ht="12.6" customHeight="1" x14ac:dyDescent="0.3">
      <c r="A1086" s="83"/>
      <c r="B1086" s="101" t="s">
        <v>216</v>
      </c>
      <c r="C1086" s="139"/>
      <c r="D1086" s="139"/>
      <c r="E1086" s="139"/>
      <c r="F1086" s="139"/>
      <c r="M1086" s="35" t="s">
        <v>219</v>
      </c>
    </row>
    <row r="1087" spans="1:14" ht="12.6" customHeight="1" x14ac:dyDescent="0.3">
      <c r="A1087" s="78"/>
      <c r="B1087" s="78"/>
      <c r="C1087" s="103"/>
      <c r="D1087" s="103"/>
      <c r="E1087" s="103"/>
      <c r="F1087" s="103"/>
      <c r="G1087" s="17" t="s">
        <v>1229</v>
      </c>
    </row>
    <row r="1088" spans="1:14" ht="12.6" customHeight="1" x14ac:dyDescent="0.3">
      <c r="A1088" s="68"/>
      <c r="B1088" s="77" t="s">
        <v>1700</v>
      </c>
      <c r="C1088" s="78"/>
      <c r="D1088" s="78"/>
      <c r="E1088" s="78"/>
      <c r="F1088" s="78"/>
      <c r="G1088" s="17" t="s">
        <v>1699</v>
      </c>
    </row>
    <row r="1089" spans="1:7" ht="12.6" customHeight="1" x14ac:dyDescent="0.3">
      <c r="A1089" s="78"/>
      <c r="B1089" s="78"/>
      <c r="C1089" s="78"/>
      <c r="D1089" s="78"/>
      <c r="E1089" s="78"/>
      <c r="F1089" s="78"/>
      <c r="G1089" s="17" t="s">
        <v>1229</v>
      </c>
    </row>
    <row r="1090" spans="1:7" ht="12.6" customHeight="1" x14ac:dyDescent="0.3">
      <c r="A1090" s="68"/>
      <c r="B1090" s="77" t="s">
        <v>1702</v>
      </c>
      <c r="C1090" s="78"/>
      <c r="D1090" s="78"/>
      <c r="E1090" s="78"/>
      <c r="F1090" s="78"/>
      <c r="G1090" s="17" t="s">
        <v>1701</v>
      </c>
    </row>
    <row r="1091" spans="1:7" ht="12.6" customHeight="1" x14ac:dyDescent="0.3">
      <c r="A1091" s="78"/>
      <c r="B1091" s="78"/>
      <c r="C1091" s="78"/>
      <c r="D1091" s="78"/>
      <c r="E1091" s="78"/>
      <c r="F1091" s="78"/>
      <c r="G1091" s="17" t="s">
        <v>1229</v>
      </c>
    </row>
    <row r="1092" spans="1:7" ht="12.6" customHeight="1" x14ac:dyDescent="0.3">
      <c r="A1092" s="68"/>
      <c r="B1092" s="77" t="s">
        <v>1704</v>
      </c>
      <c r="C1092" s="78"/>
      <c r="D1092" s="78"/>
      <c r="E1092" s="78"/>
      <c r="F1092" s="78"/>
      <c r="G1092" s="17" t="s">
        <v>1703</v>
      </c>
    </row>
    <row r="1093" spans="1:7" ht="12.6" customHeight="1" x14ac:dyDescent="0.3">
      <c r="A1093" s="78"/>
      <c r="B1093" s="78"/>
      <c r="C1093" s="78"/>
      <c r="D1093" s="78"/>
      <c r="E1093" s="78"/>
      <c r="F1093" s="78"/>
      <c r="G1093" s="17" t="s">
        <v>1229</v>
      </c>
    </row>
    <row r="1094" spans="1:7" ht="12.6" customHeight="1" x14ac:dyDescent="0.3">
      <c r="A1094" s="68"/>
      <c r="B1094" s="77" t="s">
        <v>1706</v>
      </c>
      <c r="C1094" s="78"/>
      <c r="D1094" s="78"/>
      <c r="E1094" s="78"/>
      <c r="F1094" s="78"/>
      <c r="G1094" s="17" t="s">
        <v>1705</v>
      </c>
    </row>
    <row r="1095" spans="1:7" ht="12.6" customHeight="1" x14ac:dyDescent="0.3">
      <c r="A1095" s="78"/>
      <c r="B1095" s="78"/>
      <c r="C1095" s="78"/>
      <c r="D1095" s="78"/>
      <c r="E1095" s="78"/>
      <c r="F1095" s="78"/>
      <c r="G1095" s="17" t="s">
        <v>1229</v>
      </c>
    </row>
    <row r="1096" spans="1:7" ht="12.6" customHeight="1" x14ac:dyDescent="0.3">
      <c r="A1096" s="68"/>
      <c r="B1096" s="77" t="s">
        <v>1708</v>
      </c>
      <c r="C1096" s="78"/>
      <c r="D1096" s="78"/>
      <c r="E1096" s="78"/>
      <c r="F1096" s="78"/>
      <c r="G1096" s="17" t="s">
        <v>1707</v>
      </c>
    </row>
    <row r="1097" spans="1:7" ht="12.6" customHeight="1" x14ac:dyDescent="0.3">
      <c r="A1097" s="78"/>
      <c r="B1097" s="78"/>
      <c r="C1097" s="78"/>
      <c r="D1097" s="78"/>
      <c r="E1097" s="78"/>
      <c r="F1097" s="78"/>
      <c r="G1097" s="17" t="s">
        <v>1229</v>
      </c>
    </row>
    <row r="1098" spans="1:7" ht="12.6" customHeight="1" x14ac:dyDescent="0.3">
      <c r="A1098" s="68"/>
      <c r="B1098" s="77" t="s">
        <v>1710</v>
      </c>
      <c r="C1098" s="78"/>
      <c r="D1098" s="78"/>
      <c r="E1098" s="78"/>
      <c r="F1098" s="78"/>
      <c r="G1098" s="17" t="s">
        <v>1709</v>
      </c>
    </row>
    <row r="1099" spans="1:7" ht="12.6" customHeight="1" x14ac:dyDescent="0.3">
      <c r="A1099" s="78"/>
      <c r="B1099" s="78"/>
      <c r="C1099" s="78"/>
      <c r="D1099" s="78"/>
      <c r="E1099" s="78"/>
      <c r="F1099" s="78"/>
      <c r="G1099" s="17" t="s">
        <v>1229</v>
      </c>
    </row>
    <row r="1100" spans="1:7" ht="12.6" customHeight="1" x14ac:dyDescent="0.3">
      <c r="A1100" s="68"/>
      <c r="B1100" s="77" t="s">
        <v>1712</v>
      </c>
      <c r="C1100" s="78"/>
      <c r="D1100" s="78"/>
      <c r="E1100" s="78"/>
      <c r="F1100" s="78"/>
      <c r="G1100" s="17" t="s">
        <v>1711</v>
      </c>
    </row>
    <row r="1101" spans="1:7" ht="12.6" customHeight="1" x14ac:dyDescent="0.3">
      <c r="A1101" s="78"/>
      <c r="B1101" s="78"/>
      <c r="C1101" s="78"/>
      <c r="D1101" s="78"/>
      <c r="E1101" s="78"/>
      <c r="F1101" s="78"/>
      <c r="G1101" s="17" t="s">
        <v>1229</v>
      </c>
    </row>
    <row r="1102" spans="1:7" ht="12.6" customHeight="1" x14ac:dyDescent="0.3">
      <c r="A1102" s="78"/>
      <c r="B1102" s="78"/>
      <c r="C1102" s="78"/>
      <c r="D1102" s="78"/>
      <c r="E1102" s="78"/>
      <c r="F1102" s="78"/>
      <c r="G1102" s="17" t="s">
        <v>1229</v>
      </c>
    </row>
    <row r="1103" spans="1:7" ht="12.6" customHeight="1" x14ac:dyDescent="0.3">
      <c r="A1103" s="68"/>
      <c r="B1103" s="77" t="s">
        <v>1714</v>
      </c>
      <c r="C1103" s="78"/>
      <c r="D1103" s="78"/>
      <c r="E1103" s="78"/>
      <c r="F1103" s="78"/>
      <c r="G1103" s="17" t="s">
        <v>1713</v>
      </c>
    </row>
    <row r="1104" spans="1:7" ht="12.6" customHeight="1" x14ac:dyDescent="0.3">
      <c r="A1104" s="78"/>
      <c r="B1104" s="78"/>
      <c r="C1104" s="78"/>
      <c r="D1104" s="78"/>
      <c r="E1104" s="78"/>
      <c r="F1104" s="78"/>
      <c r="G1104" s="17" t="s">
        <v>1229</v>
      </c>
    </row>
    <row r="1105" spans="1:25" ht="12.6" customHeight="1" x14ac:dyDescent="0.3">
      <c r="A1105" s="68"/>
      <c r="B1105" s="77" t="s">
        <v>1716</v>
      </c>
      <c r="C1105" s="78"/>
      <c r="D1105" s="78"/>
      <c r="E1105" s="78"/>
      <c r="F1105" s="78"/>
      <c r="G1105" s="17" t="s">
        <v>1715</v>
      </c>
    </row>
    <row r="1106" spans="1:25" ht="12.6" customHeight="1" x14ac:dyDescent="0.3">
      <c r="A1106" s="78"/>
      <c r="B1106" s="78"/>
      <c r="C1106" s="78"/>
      <c r="D1106" s="78"/>
      <c r="E1106" s="78"/>
      <c r="F1106" s="78"/>
      <c r="G1106" s="17" t="s">
        <v>1229</v>
      </c>
    </row>
    <row r="1107" spans="1:25" ht="12.6" customHeight="1" x14ac:dyDescent="0.3">
      <c r="A1107" s="68"/>
      <c r="B1107" s="77" t="s">
        <v>1718</v>
      </c>
      <c r="C1107" s="78"/>
      <c r="D1107" s="78"/>
      <c r="E1107" s="78"/>
      <c r="F1107" s="78"/>
      <c r="G1107" s="17" t="s">
        <v>1717</v>
      </c>
    </row>
    <row r="1108" spans="1:25" ht="12.6" customHeight="1" x14ac:dyDescent="0.3">
      <c r="A1108" s="78"/>
      <c r="B1108" s="78"/>
      <c r="C1108" s="78"/>
      <c r="D1108" s="78"/>
      <c r="E1108" s="78"/>
      <c r="F1108" s="78"/>
      <c r="G1108" s="17" t="s">
        <v>1229</v>
      </c>
    </row>
    <row r="1109" spans="1:25" ht="12.6" customHeight="1" x14ac:dyDescent="0.3">
      <c r="A1109" s="68"/>
      <c r="B1109" s="77" t="s">
        <v>1720</v>
      </c>
      <c r="C1109" s="78"/>
      <c r="D1109" s="78"/>
      <c r="E1109" s="78"/>
      <c r="F1109" s="78"/>
      <c r="G1109" s="17" t="s">
        <v>1719</v>
      </c>
    </row>
    <row r="1110" spans="1:25" ht="12.6" customHeight="1" x14ac:dyDescent="0.3">
      <c r="A1110" s="78"/>
      <c r="B1110" s="78"/>
      <c r="C1110" s="78"/>
      <c r="D1110" s="78"/>
      <c r="E1110" s="78"/>
      <c r="F1110" s="78"/>
      <c r="G1110" s="17" t="s">
        <v>1496</v>
      </c>
    </row>
    <row r="1111" spans="1:25" ht="12.6" customHeight="1" x14ac:dyDescent="0.3">
      <c r="A1111" s="78"/>
      <c r="B1111" s="78"/>
      <c r="C1111" s="78"/>
      <c r="D1111" s="78"/>
      <c r="E1111" s="78"/>
      <c r="F1111" s="78"/>
      <c r="G1111" s="17" t="s">
        <v>1229</v>
      </c>
    </row>
    <row r="1112" spans="1:25" ht="12.6" customHeight="1" x14ac:dyDescent="0.3">
      <c r="A1112" s="68" t="s">
        <v>1722</v>
      </c>
      <c r="B1112" s="102" t="str">
        <f>" 노 무 비  :   "&amp;TEXT(I1112,"#,##0"&amp;IF(I1112&lt;&gt;INT(I1112),".###",""))&amp;" / Q = "&amp;TEXT(C1112,"#,##0.0")&amp;""</f>
        <v xml:space="preserve"> 노 무 비  :   57,077 / Q = 793.9</v>
      </c>
      <c r="C1112" s="104">
        <f>E1112+D1112+F1112</f>
        <v>793.9</v>
      </c>
      <c r="D1112" s="104">
        <f>IF(H1112=0,0,ROUNDDOWN(J1112*H1112,1))</f>
        <v>793.9</v>
      </c>
      <c r="E1112" s="104">
        <f>IF(H1112=0,0,ROUNDDOWN(K1112*H1112,1))</f>
        <v>0</v>
      </c>
      <c r="F1112" s="104">
        <f>IF(H1112=0,0,ROUNDDOWN(L1112*H1112,1))</f>
        <v>0</v>
      </c>
      <c r="G1112" s="17" t="s">
        <v>1721</v>
      </c>
      <c r="H1112" s="109">
        <v>1.39101404926E-2</v>
      </c>
      <c r="I1112" s="110">
        <f>K1112+J1112+L1112</f>
        <v>57077</v>
      </c>
      <c r="J1112" s="39">
        <f>중기목록표!F6</f>
        <v>57077</v>
      </c>
      <c r="M1112" s="35" t="s">
        <v>1723</v>
      </c>
      <c r="N1112" s="35" t="s">
        <v>1247</v>
      </c>
      <c r="X1112" s="111" t="str">
        <f>중기목록표!B6&amp;" / "&amp;중기목록표!C6</f>
        <v>불도저(무한궤도) / 19톤</v>
      </c>
      <c r="Y1112" s="3" t="str">
        <f ca="1">HYPERLINK("#"&amp;중기목록표!J2&amp;"!A"&amp;ROW(중기목록표!A6),"X00008 →")</f>
        <v>X00008 →</v>
      </c>
    </row>
    <row r="1113" spans="1:25" ht="12.6" customHeight="1" x14ac:dyDescent="0.3">
      <c r="A1113" s="78"/>
      <c r="B1113" s="78"/>
      <c r="C1113" s="78"/>
      <c r="D1113" s="78"/>
      <c r="E1113" s="78"/>
      <c r="F1113" s="78"/>
      <c r="G1113" s="17" t="s">
        <v>1229</v>
      </c>
    </row>
    <row r="1114" spans="1:25" ht="12.6" customHeight="1" x14ac:dyDescent="0.3">
      <c r="A1114" s="68" t="s">
        <v>1725</v>
      </c>
      <c r="B1114" s="102" t="str">
        <f>" 재 료 비  :   "&amp;TEXT(I1114,"#,##0"&amp;IF(I1114&lt;&gt;INT(I1114),".###",""))&amp;" / Q = "&amp;TEXT(C1114,"#,##0.0")&amp;""</f>
        <v xml:space="preserve"> 재 료 비  :   39,411 / Q = 548.2</v>
      </c>
      <c r="C1114" s="104">
        <f>E1114+D1114+F1114</f>
        <v>548.20000000000005</v>
      </c>
      <c r="D1114" s="104">
        <f>IF(H1114=0,0,ROUNDDOWN(J1114*H1114,1))</f>
        <v>0</v>
      </c>
      <c r="E1114" s="104">
        <f>IF(H1114=0,0,ROUNDDOWN(K1114*H1114,1))</f>
        <v>548.20000000000005</v>
      </c>
      <c r="F1114" s="104">
        <f>IF(H1114=0,0,ROUNDDOWN(L1114*H1114,1))</f>
        <v>0</v>
      </c>
      <c r="G1114" s="17" t="s">
        <v>1724</v>
      </c>
      <c r="H1114" s="109">
        <v>1.39101404926E-2</v>
      </c>
      <c r="I1114" s="110">
        <f>K1114+J1114+L1114</f>
        <v>39411</v>
      </c>
      <c r="K1114" s="39">
        <f>중기목록표!G6</f>
        <v>39411</v>
      </c>
      <c r="M1114" s="35" t="s">
        <v>1723</v>
      </c>
      <c r="N1114" s="35" t="s">
        <v>1247</v>
      </c>
      <c r="X1114" s="111" t="str">
        <f>중기목록표!B6&amp;" / "&amp;중기목록표!C6</f>
        <v>불도저(무한궤도) / 19톤</v>
      </c>
      <c r="Y1114" s="3" t="str">
        <f ca="1">HYPERLINK("#"&amp;중기목록표!J2&amp;"!A"&amp;ROW(중기목록표!A6),"X00008 →")</f>
        <v>X00008 →</v>
      </c>
    </row>
    <row r="1115" spans="1:25" ht="12.6" customHeight="1" x14ac:dyDescent="0.3">
      <c r="A1115" s="78"/>
      <c r="B1115" s="78"/>
      <c r="C1115" s="78"/>
      <c r="D1115" s="78"/>
      <c r="E1115" s="78"/>
      <c r="F1115" s="78"/>
      <c r="G1115" s="17" t="s">
        <v>1229</v>
      </c>
    </row>
    <row r="1116" spans="1:25" ht="12.6" customHeight="1" x14ac:dyDescent="0.3">
      <c r="A1116" s="68" t="s">
        <v>1727</v>
      </c>
      <c r="B1116" s="102" t="str">
        <f>" 경    비  :   "&amp;TEXT(I1116,"#,##0"&amp;IF(I1116&lt;&gt;INT(I1116),".###",""))&amp;" / Q = "&amp;TEXT(C1116,"#,##0.0")&amp;""</f>
        <v xml:space="preserve"> 경    비  :   34,288 / Q = 476.9</v>
      </c>
      <c r="C1116" s="104">
        <f>E1116+D1116+F1116</f>
        <v>476.9</v>
      </c>
      <c r="D1116" s="104">
        <f>IF(H1116=0,0,ROUNDDOWN(J1116*H1116,1))</f>
        <v>0</v>
      </c>
      <c r="E1116" s="104">
        <f>IF(H1116=0,0,ROUNDDOWN(K1116*H1116,1))</f>
        <v>0</v>
      </c>
      <c r="F1116" s="104">
        <f>IF(H1116=0,0,ROUNDDOWN(L1116*H1116,1))</f>
        <v>476.9</v>
      </c>
      <c r="G1116" s="17" t="s">
        <v>1726</v>
      </c>
      <c r="H1116" s="109">
        <v>1.39101404926E-2</v>
      </c>
      <c r="I1116" s="110">
        <f>K1116+J1116+L1116</f>
        <v>34288</v>
      </c>
      <c r="L1116" s="39">
        <f>중기목록표!H6</f>
        <v>34288</v>
      </c>
      <c r="M1116" s="35" t="s">
        <v>1723</v>
      </c>
      <c r="N1116" s="35" t="s">
        <v>1247</v>
      </c>
      <c r="X1116" s="111" t="str">
        <f>중기목록표!B6&amp;" / "&amp;중기목록표!C6</f>
        <v>불도저(무한궤도) / 19톤</v>
      </c>
      <c r="Y1116" s="3" t="str">
        <f ca="1">HYPERLINK("#"&amp;중기목록표!J2&amp;"!A"&amp;ROW(중기목록표!A6),"X00008 →")</f>
        <v>X00008 →</v>
      </c>
    </row>
    <row r="1117" spans="1:25" ht="12.6" customHeight="1" x14ac:dyDescent="0.3">
      <c r="A1117" s="78"/>
      <c r="B1117" s="78"/>
      <c r="C1117" s="78"/>
      <c r="D1117" s="78"/>
      <c r="E1117" s="78"/>
      <c r="F1117" s="78"/>
      <c r="G1117" s="17" t="s">
        <v>1229</v>
      </c>
    </row>
    <row r="1118" spans="1:25" ht="12.6" customHeight="1" x14ac:dyDescent="0.3">
      <c r="A1118" s="68"/>
      <c r="B1118" s="77" t="s">
        <v>1246</v>
      </c>
      <c r="C1118" s="105">
        <f>E1118+D1118+F1118</f>
        <v>1819</v>
      </c>
      <c r="D1118" s="105">
        <f>SUMIF(N1087:N1117,M1118,D1087:D1117)</f>
        <v>793.9</v>
      </c>
      <c r="E1118" s="105">
        <f>SUMIF(N1087:N1117,M1118,E1087:E1117)</f>
        <v>548.20000000000005</v>
      </c>
      <c r="F1118" s="105">
        <f>SUMIF(N1087:N1117,M1118,F1087:F1117)</f>
        <v>476.9</v>
      </c>
      <c r="G1118" s="17" t="s">
        <v>1245</v>
      </c>
      <c r="M1118" s="35" t="s">
        <v>1247</v>
      </c>
      <c r="N1118" s="35" t="s">
        <v>1011</v>
      </c>
    </row>
    <row r="1119" spans="1:25" ht="12.6" customHeight="1" x14ac:dyDescent="0.3">
      <c r="A1119" s="78"/>
      <c r="B1119" s="78"/>
      <c r="C1119" s="103"/>
      <c r="D1119" s="103"/>
      <c r="E1119" s="103"/>
      <c r="F1119" s="103"/>
    </row>
    <row r="1120" spans="1:25" ht="12.6" customHeight="1" x14ac:dyDescent="0.3">
      <c r="A1120" s="78"/>
      <c r="B1120" s="78"/>
      <c r="C1120" s="78"/>
      <c r="D1120" s="78"/>
      <c r="E1120" s="78"/>
      <c r="F1120" s="78"/>
    </row>
    <row r="1121" spans="1:6" ht="12.6" customHeight="1" x14ac:dyDescent="0.3">
      <c r="A1121" s="78"/>
      <c r="B1121" s="78"/>
      <c r="C1121" s="78"/>
      <c r="D1121" s="78"/>
      <c r="E1121" s="78"/>
      <c r="F1121" s="78"/>
    </row>
    <row r="1122" spans="1:6" ht="12.6" customHeight="1" x14ac:dyDescent="0.3">
      <c r="A1122" s="78"/>
      <c r="B1122" s="78"/>
      <c r="C1122" s="78"/>
      <c r="D1122" s="78"/>
      <c r="E1122" s="78"/>
      <c r="F1122" s="78"/>
    </row>
    <row r="1123" spans="1:6" ht="12.6" customHeight="1" x14ac:dyDescent="0.3">
      <c r="A1123" s="78"/>
      <c r="B1123" s="78"/>
      <c r="C1123" s="78"/>
      <c r="D1123" s="78"/>
      <c r="E1123" s="78"/>
      <c r="F1123" s="78"/>
    </row>
    <row r="1124" spans="1:6" ht="12.6" customHeight="1" x14ac:dyDescent="0.3">
      <c r="A1124" s="78"/>
      <c r="B1124" s="78"/>
      <c r="C1124" s="78"/>
      <c r="D1124" s="78"/>
      <c r="E1124" s="78"/>
      <c r="F1124" s="78"/>
    </row>
    <row r="1125" spans="1:6" ht="12.6" customHeight="1" x14ac:dyDescent="0.3">
      <c r="A1125" s="78"/>
      <c r="B1125" s="78"/>
      <c r="C1125" s="78"/>
      <c r="D1125" s="78"/>
      <c r="E1125" s="78"/>
      <c r="F1125" s="78"/>
    </row>
    <row r="1126" spans="1:6" ht="12.6" customHeight="1" x14ac:dyDescent="0.3">
      <c r="A1126" s="78"/>
      <c r="B1126" s="78"/>
      <c r="C1126" s="78"/>
      <c r="D1126" s="78"/>
      <c r="E1126" s="78"/>
      <c r="F1126" s="78"/>
    </row>
    <row r="1127" spans="1:6" ht="12.6" customHeight="1" x14ac:dyDescent="0.3">
      <c r="A1127" s="78"/>
      <c r="B1127" s="78"/>
      <c r="C1127" s="78"/>
      <c r="D1127" s="78"/>
      <c r="E1127" s="78"/>
      <c r="F1127" s="78"/>
    </row>
    <row r="1128" spans="1:6" ht="12.6" customHeight="1" x14ac:dyDescent="0.3">
      <c r="A1128" s="78"/>
      <c r="B1128" s="78"/>
      <c r="C1128" s="78"/>
      <c r="D1128" s="78"/>
      <c r="E1128" s="78"/>
      <c r="F1128" s="78"/>
    </row>
    <row r="1129" spans="1:6" ht="12.6" customHeight="1" x14ac:dyDescent="0.3">
      <c r="A1129" s="78"/>
      <c r="B1129" s="78"/>
      <c r="C1129" s="78"/>
      <c r="D1129" s="78"/>
      <c r="E1129" s="78"/>
      <c r="F1129" s="78"/>
    </row>
    <row r="1130" spans="1:6" ht="12.6" customHeight="1" x14ac:dyDescent="0.3">
      <c r="A1130" s="78"/>
      <c r="B1130" s="78"/>
      <c r="C1130" s="78"/>
      <c r="D1130" s="78"/>
      <c r="E1130" s="78"/>
      <c r="F1130" s="78"/>
    </row>
    <row r="1131" spans="1:6" ht="12.6" customHeight="1" x14ac:dyDescent="0.3">
      <c r="A1131" s="78"/>
      <c r="B1131" s="78"/>
      <c r="C1131" s="78"/>
      <c r="D1131" s="78"/>
      <c r="E1131" s="78"/>
      <c r="F1131" s="78"/>
    </row>
    <row r="1132" spans="1:6" ht="12.6" customHeight="1" x14ac:dyDescent="0.3">
      <c r="A1132" s="78"/>
      <c r="B1132" s="78"/>
      <c r="C1132" s="78"/>
      <c r="D1132" s="78"/>
      <c r="E1132" s="78"/>
      <c r="F1132" s="78"/>
    </row>
    <row r="1133" spans="1:6" ht="12.6" customHeight="1" x14ac:dyDescent="0.3">
      <c r="A1133" s="78"/>
      <c r="B1133" s="78"/>
      <c r="C1133" s="78"/>
      <c r="D1133" s="78"/>
      <c r="E1133" s="78"/>
      <c r="F1133" s="78"/>
    </row>
    <row r="1134" spans="1:6" ht="12.6" customHeight="1" x14ac:dyDescent="0.3">
      <c r="A1134" s="78"/>
      <c r="B1134" s="78"/>
      <c r="C1134" s="78"/>
      <c r="D1134" s="78"/>
      <c r="E1134" s="78"/>
      <c r="F1134" s="78"/>
    </row>
    <row r="1135" spans="1:6" ht="12.6" customHeight="1" x14ac:dyDescent="0.3">
      <c r="A1135" s="78"/>
      <c r="B1135" s="78"/>
      <c r="C1135" s="78"/>
      <c r="D1135" s="78"/>
      <c r="E1135" s="78"/>
      <c r="F1135" s="78"/>
    </row>
    <row r="1136" spans="1:6" ht="12.6" customHeight="1" x14ac:dyDescent="0.3">
      <c r="A1136" s="78"/>
      <c r="B1136" s="78"/>
      <c r="C1136" s="78"/>
      <c r="D1136" s="78"/>
      <c r="E1136" s="78"/>
      <c r="F1136" s="78"/>
    </row>
    <row r="1137" spans="1:14" ht="12.6" customHeight="1" x14ac:dyDescent="0.3">
      <c r="A1137" s="78"/>
      <c r="B1137" s="78"/>
      <c r="C1137" s="78"/>
      <c r="D1137" s="78"/>
      <c r="E1137" s="78"/>
      <c r="F1137" s="78"/>
    </row>
    <row r="1138" spans="1:14" ht="12.6" customHeight="1" x14ac:dyDescent="0.3">
      <c r="A1138" s="78"/>
      <c r="B1138" s="78"/>
      <c r="C1138" s="78"/>
      <c r="D1138" s="78"/>
      <c r="E1138" s="78"/>
      <c r="F1138" s="78"/>
    </row>
    <row r="1139" spans="1:14" ht="12.6" customHeight="1" x14ac:dyDescent="0.3">
      <c r="A1139" s="78"/>
      <c r="B1139" s="78"/>
      <c r="C1139" s="78"/>
      <c r="D1139" s="78"/>
      <c r="E1139" s="78"/>
      <c r="F1139" s="78"/>
    </row>
    <row r="1140" spans="1:14" ht="12.6" customHeight="1" x14ac:dyDescent="0.3">
      <c r="A1140" s="78"/>
      <c r="B1140" s="78"/>
      <c r="C1140" s="78"/>
      <c r="D1140" s="78"/>
      <c r="E1140" s="78"/>
      <c r="F1140" s="78"/>
    </row>
    <row r="1141" spans="1:14" ht="12.6" customHeight="1" x14ac:dyDescent="0.3">
      <c r="A1141" s="78"/>
      <c r="B1141" s="78"/>
      <c r="C1141" s="78"/>
      <c r="D1141" s="78"/>
      <c r="E1141" s="78"/>
      <c r="F1141" s="78"/>
    </row>
    <row r="1142" spans="1:14" ht="12.6" customHeight="1" x14ac:dyDescent="0.3">
      <c r="A1142" s="78"/>
      <c r="B1142" s="78"/>
      <c r="C1142" s="78"/>
      <c r="D1142" s="78"/>
      <c r="E1142" s="78"/>
      <c r="F1142" s="78"/>
    </row>
    <row r="1143" spans="1:14" ht="12.6" customHeight="1" x14ac:dyDescent="0.3">
      <c r="A1143" s="78"/>
      <c r="B1143" s="78"/>
      <c r="C1143" s="78"/>
      <c r="D1143" s="78"/>
      <c r="E1143" s="78"/>
      <c r="F1143" s="78"/>
    </row>
    <row r="1144" spans="1:14" ht="12.6" customHeight="1" x14ac:dyDescent="0.3">
      <c r="A1144" s="78"/>
      <c r="B1144" s="78"/>
      <c r="C1144" s="78"/>
      <c r="D1144" s="78"/>
      <c r="E1144" s="78"/>
      <c r="F1144" s="78"/>
    </row>
    <row r="1145" spans="1:14" ht="12.6" customHeight="1" x14ac:dyDescent="0.3">
      <c r="A1145" s="78"/>
      <c r="B1145" s="78"/>
      <c r="C1145" s="78"/>
      <c r="D1145" s="78"/>
      <c r="E1145" s="78"/>
      <c r="F1145" s="78"/>
    </row>
    <row r="1146" spans="1:14" ht="12.6" customHeight="1" x14ac:dyDescent="0.3">
      <c r="A1146" s="78"/>
      <c r="B1146" s="78"/>
      <c r="C1146" s="78"/>
      <c r="D1146" s="78"/>
      <c r="E1146" s="78"/>
      <c r="F1146" s="78"/>
    </row>
    <row r="1147" spans="1:14" ht="12.6" customHeight="1" x14ac:dyDescent="0.3">
      <c r="A1147" s="78"/>
      <c r="B1147" s="78"/>
      <c r="C1147" s="78"/>
      <c r="D1147" s="78"/>
      <c r="E1147" s="78"/>
      <c r="F1147" s="78"/>
    </row>
    <row r="1148" spans="1:14" ht="12.6" customHeight="1" x14ac:dyDescent="0.3">
      <c r="A1148" s="78"/>
      <c r="B1148" s="78"/>
      <c r="C1148" s="78"/>
      <c r="D1148" s="78"/>
      <c r="E1148" s="78"/>
      <c r="F1148" s="78"/>
    </row>
    <row r="1149" spans="1:14" ht="12.6" customHeight="1" x14ac:dyDescent="0.3">
      <c r="A1149" s="78"/>
      <c r="B1149" s="78"/>
      <c r="C1149" s="78"/>
      <c r="D1149" s="78"/>
      <c r="E1149" s="78"/>
      <c r="F1149" s="78"/>
    </row>
    <row r="1150" spans="1:14" ht="12.6" customHeight="1" x14ac:dyDescent="0.3">
      <c r="A1150" s="78"/>
      <c r="B1150" s="78"/>
      <c r="C1150" s="78"/>
      <c r="D1150" s="78"/>
      <c r="E1150" s="78"/>
      <c r="F1150" s="78"/>
    </row>
    <row r="1151" spans="1:14" ht="12.6" customHeight="1" x14ac:dyDescent="0.3">
      <c r="A1151" s="56"/>
      <c r="B1151" s="56"/>
      <c r="C1151" s="56"/>
      <c r="D1151" s="56"/>
      <c r="E1151" s="56"/>
      <c r="F1151" s="56"/>
    </row>
    <row r="1152" spans="1:14" ht="12.6" customHeight="1" x14ac:dyDescent="0.3">
      <c r="A1152" s="143" t="s">
        <v>1101</v>
      </c>
      <c r="B1152" s="144"/>
      <c r="C1152" s="54">
        <f>E1152+D1152+F1152</f>
        <v>1817</v>
      </c>
      <c r="D1152" s="52">
        <f>ROUNDDOWN(SUMIF(N1087:N1118,M1152,D1087:D1118),0)</f>
        <v>793</v>
      </c>
      <c r="E1152" s="64">
        <f>ROUNDDOWN(SUMIF(N1087:N1118,M1152,E1087:E1118),0)</f>
        <v>548</v>
      </c>
      <c r="F1152" s="54">
        <f>ROUNDDOWN(SUMIF(N1087:N1118,M1152,F1087:F1118),0)</f>
        <v>476</v>
      </c>
      <c r="M1152" s="35" t="s">
        <v>1011</v>
      </c>
      <c r="N1152" s="35" t="s">
        <v>1102</v>
      </c>
    </row>
    <row r="1153" spans="1:13" ht="12.6" customHeight="1" x14ac:dyDescent="0.3">
      <c r="A1153" s="143" t="s">
        <v>1103</v>
      </c>
      <c r="B1153" s="144"/>
      <c r="C1153" s="54">
        <f>E1153+D1153+F1153</f>
        <v>1592</v>
      </c>
      <c r="D1153" s="52">
        <f>ROUNDDOWN(D1152*H1153/100,0)</f>
        <v>695</v>
      </c>
      <c r="E1153" s="64">
        <f>ROUNDDOWN(E1152*H1153/100,0)</f>
        <v>480</v>
      </c>
      <c r="F1153" s="54">
        <f>ROUNDDOWN(F1152*H1153/100,0)</f>
        <v>417</v>
      </c>
      <c r="H1153" s="37">
        <v>87.745000000000005</v>
      </c>
      <c r="M1153" s="35" t="s">
        <v>1102</v>
      </c>
    </row>
    <row r="1154" spans="1:13" ht="12.6" customHeight="1" x14ac:dyDescent="0.3">
      <c r="A1154" s="100" t="s">
        <v>223</v>
      </c>
      <c r="B1154" s="101" t="s">
        <v>128</v>
      </c>
      <c r="C1154" s="150">
        <f>C1188</f>
        <v>2400</v>
      </c>
      <c r="D1154" s="150">
        <f>D1188</f>
        <v>1048</v>
      </c>
      <c r="E1154" s="150">
        <f>E1188</f>
        <v>723</v>
      </c>
      <c r="F1154" s="150">
        <f>F1188</f>
        <v>629</v>
      </c>
      <c r="G1154" s="97" t="str">
        <f>HYPERLINK("#G"&amp;ROW(G1185),"_x0005_`BDCOD|D01482_x0007_`POSS|"&amp;ROW(G1156)&amp;"_x0007_`POSE|"&amp;ROW(G1185)&amp;"_x0007_`")</f>
        <v>_x0005_`BDCOD|D01482_x0007_`POSS|1156_x0007_`POSE|1185_x0007_`</v>
      </c>
    </row>
    <row r="1155" spans="1:13" ht="12.6" customHeight="1" x14ac:dyDescent="0.3">
      <c r="A1155" s="83"/>
      <c r="B1155" s="101" t="s">
        <v>220</v>
      </c>
      <c r="C1155" s="139"/>
      <c r="D1155" s="139"/>
      <c r="E1155" s="139"/>
      <c r="F1155" s="139"/>
      <c r="M1155" s="35" t="s">
        <v>223</v>
      </c>
    </row>
    <row r="1156" spans="1:13" ht="12.6" customHeight="1" x14ac:dyDescent="0.3">
      <c r="A1156" s="78"/>
      <c r="B1156" s="78"/>
      <c r="C1156" s="103"/>
      <c r="D1156" s="103"/>
      <c r="E1156" s="103"/>
      <c r="F1156" s="103"/>
      <c r="G1156" s="17" t="s">
        <v>1229</v>
      </c>
    </row>
    <row r="1157" spans="1:13" ht="12.6" customHeight="1" x14ac:dyDescent="0.3">
      <c r="A1157" s="68"/>
      <c r="B1157" s="77" t="s">
        <v>1729</v>
      </c>
      <c r="C1157" s="78"/>
      <c r="D1157" s="78"/>
      <c r="E1157" s="78"/>
      <c r="F1157" s="78"/>
      <c r="G1157" s="17" t="s">
        <v>1728</v>
      </c>
    </row>
    <row r="1158" spans="1:13" ht="12.6" customHeight="1" x14ac:dyDescent="0.3">
      <c r="A1158" s="78"/>
      <c r="B1158" s="78"/>
      <c r="C1158" s="78"/>
      <c r="D1158" s="78"/>
      <c r="E1158" s="78"/>
      <c r="F1158" s="78"/>
      <c r="G1158" s="17" t="s">
        <v>1229</v>
      </c>
    </row>
    <row r="1159" spans="1:13" ht="12.6" customHeight="1" x14ac:dyDescent="0.3">
      <c r="A1159" s="68"/>
      <c r="B1159" s="77" t="s">
        <v>1702</v>
      </c>
      <c r="C1159" s="78"/>
      <c r="D1159" s="78"/>
      <c r="E1159" s="78"/>
      <c r="F1159" s="78"/>
      <c r="G1159" s="17" t="s">
        <v>1701</v>
      </c>
    </row>
    <row r="1160" spans="1:13" ht="12.6" customHeight="1" x14ac:dyDescent="0.3">
      <c r="A1160" s="78"/>
      <c r="B1160" s="78"/>
      <c r="C1160" s="78"/>
      <c r="D1160" s="78"/>
      <c r="E1160" s="78"/>
      <c r="F1160" s="78"/>
      <c r="G1160" s="17" t="s">
        <v>1229</v>
      </c>
    </row>
    <row r="1161" spans="1:13" ht="12.6" customHeight="1" x14ac:dyDescent="0.3">
      <c r="A1161" s="68"/>
      <c r="B1161" s="77" t="s">
        <v>1731</v>
      </c>
      <c r="C1161" s="78"/>
      <c r="D1161" s="78"/>
      <c r="E1161" s="78"/>
      <c r="F1161" s="78"/>
      <c r="G1161" s="17" t="s">
        <v>1730</v>
      </c>
    </row>
    <row r="1162" spans="1:13" ht="12.6" customHeight="1" x14ac:dyDescent="0.3">
      <c r="A1162" s="78"/>
      <c r="B1162" s="78"/>
      <c r="C1162" s="78"/>
      <c r="D1162" s="78"/>
      <c r="E1162" s="78"/>
      <c r="F1162" s="78"/>
      <c r="G1162" s="17" t="s">
        <v>1229</v>
      </c>
    </row>
    <row r="1163" spans="1:13" ht="12.6" customHeight="1" x14ac:dyDescent="0.3">
      <c r="A1163" s="68"/>
      <c r="B1163" s="77" t="s">
        <v>1733</v>
      </c>
      <c r="C1163" s="78"/>
      <c r="D1163" s="78"/>
      <c r="E1163" s="78"/>
      <c r="F1163" s="78"/>
      <c r="G1163" s="17" t="s">
        <v>1732</v>
      </c>
    </row>
    <row r="1164" spans="1:13" ht="12.6" customHeight="1" x14ac:dyDescent="0.3">
      <c r="A1164" s="78"/>
      <c r="B1164" s="78"/>
      <c r="C1164" s="78"/>
      <c r="D1164" s="78"/>
      <c r="E1164" s="78"/>
      <c r="F1164" s="78"/>
      <c r="G1164" s="17" t="s">
        <v>1229</v>
      </c>
    </row>
    <row r="1165" spans="1:13" ht="12.6" customHeight="1" x14ac:dyDescent="0.3">
      <c r="A1165" s="68"/>
      <c r="B1165" s="77" t="s">
        <v>1735</v>
      </c>
      <c r="C1165" s="78"/>
      <c r="D1165" s="78"/>
      <c r="E1165" s="78"/>
      <c r="F1165" s="78"/>
      <c r="G1165" s="17" t="s">
        <v>1734</v>
      </c>
    </row>
    <row r="1166" spans="1:13" ht="12.6" customHeight="1" x14ac:dyDescent="0.3">
      <c r="A1166" s="78"/>
      <c r="B1166" s="78"/>
      <c r="C1166" s="78"/>
      <c r="D1166" s="78"/>
      <c r="E1166" s="78"/>
      <c r="F1166" s="78"/>
      <c r="G1166" s="17" t="s">
        <v>1229</v>
      </c>
    </row>
    <row r="1167" spans="1:13" ht="12.6" customHeight="1" x14ac:dyDescent="0.3">
      <c r="A1167" s="68"/>
      <c r="B1167" s="77" t="s">
        <v>1710</v>
      </c>
      <c r="C1167" s="78"/>
      <c r="D1167" s="78"/>
      <c r="E1167" s="78"/>
      <c r="F1167" s="78"/>
      <c r="G1167" s="17" t="s">
        <v>1709</v>
      </c>
    </row>
    <row r="1168" spans="1:13" ht="12.6" customHeight="1" x14ac:dyDescent="0.3">
      <c r="A1168" s="78"/>
      <c r="B1168" s="78"/>
      <c r="C1168" s="78"/>
      <c r="D1168" s="78"/>
      <c r="E1168" s="78"/>
      <c r="F1168" s="78"/>
      <c r="G1168" s="17" t="s">
        <v>1229</v>
      </c>
    </row>
    <row r="1169" spans="1:25" ht="12.6" customHeight="1" x14ac:dyDescent="0.3">
      <c r="A1169" s="68"/>
      <c r="B1169" s="77" t="s">
        <v>1712</v>
      </c>
      <c r="C1169" s="78"/>
      <c r="D1169" s="78"/>
      <c r="E1169" s="78"/>
      <c r="F1169" s="78"/>
      <c r="G1169" s="17" t="s">
        <v>1711</v>
      </c>
    </row>
    <row r="1170" spans="1:25" ht="12.6" customHeight="1" x14ac:dyDescent="0.3">
      <c r="A1170" s="78"/>
      <c r="B1170" s="78"/>
      <c r="C1170" s="78"/>
      <c r="D1170" s="78"/>
      <c r="E1170" s="78"/>
      <c r="F1170" s="78"/>
      <c r="G1170" s="17" t="s">
        <v>1229</v>
      </c>
    </row>
    <row r="1171" spans="1:25" ht="12.6" customHeight="1" x14ac:dyDescent="0.3">
      <c r="A1171" s="68"/>
      <c r="B1171" s="77" t="s">
        <v>1714</v>
      </c>
      <c r="C1171" s="78"/>
      <c r="D1171" s="78"/>
      <c r="E1171" s="78"/>
      <c r="F1171" s="78"/>
      <c r="G1171" s="17" t="s">
        <v>1713</v>
      </c>
    </row>
    <row r="1172" spans="1:25" ht="12.6" customHeight="1" x14ac:dyDescent="0.3">
      <c r="A1172" s="78"/>
      <c r="B1172" s="78"/>
      <c r="C1172" s="78"/>
      <c r="D1172" s="78"/>
      <c r="E1172" s="78"/>
      <c r="F1172" s="78"/>
      <c r="G1172" s="17" t="s">
        <v>1229</v>
      </c>
    </row>
    <row r="1173" spans="1:25" ht="12.6" customHeight="1" x14ac:dyDescent="0.3">
      <c r="A1173" s="68"/>
      <c r="B1173" s="77" t="s">
        <v>1716</v>
      </c>
      <c r="C1173" s="78"/>
      <c r="D1173" s="78"/>
      <c r="E1173" s="78"/>
      <c r="F1173" s="78"/>
      <c r="G1173" s="17" t="s">
        <v>1715</v>
      </c>
    </row>
    <row r="1174" spans="1:25" ht="12.6" customHeight="1" x14ac:dyDescent="0.3">
      <c r="A1174" s="78"/>
      <c r="B1174" s="78"/>
      <c r="C1174" s="78"/>
      <c r="D1174" s="78"/>
      <c r="E1174" s="78"/>
      <c r="F1174" s="78"/>
      <c r="G1174" s="17" t="s">
        <v>1229</v>
      </c>
    </row>
    <row r="1175" spans="1:25" ht="12.6" customHeight="1" x14ac:dyDescent="0.3">
      <c r="A1175" s="68"/>
      <c r="B1175" s="77" t="s">
        <v>1718</v>
      </c>
      <c r="C1175" s="78"/>
      <c r="D1175" s="78"/>
      <c r="E1175" s="78"/>
      <c r="F1175" s="78"/>
      <c r="G1175" s="17" t="s">
        <v>1717</v>
      </c>
    </row>
    <row r="1176" spans="1:25" ht="12.6" customHeight="1" x14ac:dyDescent="0.3">
      <c r="A1176" s="78"/>
      <c r="B1176" s="78"/>
      <c r="C1176" s="78"/>
      <c r="D1176" s="78"/>
      <c r="E1176" s="78"/>
      <c r="F1176" s="78"/>
      <c r="G1176" s="17" t="s">
        <v>1229</v>
      </c>
    </row>
    <row r="1177" spans="1:25" ht="12.6" customHeight="1" x14ac:dyDescent="0.3">
      <c r="A1177" s="68"/>
      <c r="B1177" s="77" t="s">
        <v>1736</v>
      </c>
      <c r="C1177" s="78"/>
      <c r="D1177" s="78"/>
      <c r="E1177" s="78"/>
      <c r="F1177" s="78"/>
      <c r="G1177" s="17" t="s">
        <v>1719</v>
      </c>
    </row>
    <row r="1178" spans="1:25" ht="12.6" customHeight="1" x14ac:dyDescent="0.3">
      <c r="A1178" s="78"/>
      <c r="B1178" s="78"/>
      <c r="C1178" s="78"/>
      <c r="D1178" s="78"/>
      <c r="E1178" s="78"/>
      <c r="F1178" s="78"/>
      <c r="G1178" s="17" t="s">
        <v>1229</v>
      </c>
    </row>
    <row r="1179" spans="1:25" ht="12.6" customHeight="1" x14ac:dyDescent="0.3">
      <c r="A1179" s="68" t="s">
        <v>1722</v>
      </c>
      <c r="B1179" s="102" t="str">
        <f>" 노 무 비  :   "&amp;TEXT(I1179,"#,##0"&amp;IF(I1179&lt;&gt;INT(I1179),".###",""))&amp;" / Q = "&amp;TEXT(C1179,"#,##0.0")&amp;""</f>
        <v xml:space="preserve"> 노 무 비  :   57,077 / Q = 1,195.0</v>
      </c>
      <c r="C1179" s="104">
        <f>E1179+D1179+F1179</f>
        <v>1195</v>
      </c>
      <c r="D1179" s="104">
        <f>IF(H1179=0,0,ROUNDDOWN(J1179*H1179,1))</f>
        <v>1195</v>
      </c>
      <c r="E1179" s="104">
        <f>IF(H1179=0,0,ROUNDDOWN(K1179*H1179,1))</f>
        <v>0</v>
      </c>
      <c r="F1179" s="104">
        <f>IF(H1179=0,0,ROUNDDOWN(L1179*H1179,1))</f>
        <v>0</v>
      </c>
      <c r="G1179" s="17" t="s">
        <v>1721</v>
      </c>
      <c r="H1179" s="109">
        <v>2.0938023450800002E-2</v>
      </c>
      <c r="I1179" s="110">
        <f>K1179+J1179+L1179</f>
        <v>57077</v>
      </c>
      <c r="J1179" s="39">
        <f>중기목록표!F6</f>
        <v>57077</v>
      </c>
      <c r="M1179" s="35" t="s">
        <v>1723</v>
      </c>
      <c r="N1179" s="35" t="s">
        <v>1247</v>
      </c>
      <c r="X1179" s="111" t="str">
        <f>중기목록표!B6&amp;" / "&amp;중기목록표!C6</f>
        <v>불도저(무한궤도) / 19톤</v>
      </c>
      <c r="Y1179" s="3" t="str">
        <f ca="1">HYPERLINK("#"&amp;중기목록표!J2&amp;"!A"&amp;ROW(중기목록표!A6),"X00008 →")</f>
        <v>X00008 →</v>
      </c>
    </row>
    <row r="1180" spans="1:25" ht="12.6" customHeight="1" x14ac:dyDescent="0.3">
      <c r="A1180" s="78"/>
      <c r="B1180" s="78"/>
      <c r="C1180" s="78"/>
      <c r="D1180" s="78"/>
      <c r="E1180" s="78"/>
      <c r="F1180" s="78"/>
      <c r="G1180" s="17" t="s">
        <v>1229</v>
      </c>
    </row>
    <row r="1181" spans="1:25" ht="12.6" customHeight="1" x14ac:dyDescent="0.3">
      <c r="A1181" s="68" t="s">
        <v>1725</v>
      </c>
      <c r="B1181" s="102" t="str">
        <f>" 재 료 비  :   "&amp;TEXT(I1181,"#,##0"&amp;IF(I1181&lt;&gt;INT(I1181),".###",""))&amp;" / Q = "&amp;TEXT(C1181,"#,##0.0")&amp;""</f>
        <v xml:space="preserve"> 재 료 비  :   39,411 / Q = 825.1</v>
      </c>
      <c r="C1181" s="104">
        <f>E1181+D1181+F1181</f>
        <v>825.1</v>
      </c>
      <c r="D1181" s="104">
        <f>IF(H1181=0,0,ROUNDDOWN(J1181*H1181,1))</f>
        <v>0</v>
      </c>
      <c r="E1181" s="104">
        <f>IF(H1181=0,0,ROUNDDOWN(K1181*H1181,1))</f>
        <v>825.1</v>
      </c>
      <c r="F1181" s="104">
        <f>IF(H1181=0,0,ROUNDDOWN(L1181*H1181,1))</f>
        <v>0</v>
      </c>
      <c r="G1181" s="17" t="s">
        <v>1724</v>
      </c>
      <c r="H1181" s="109">
        <v>2.0938023450800002E-2</v>
      </c>
      <c r="I1181" s="110">
        <f>K1181+J1181+L1181</f>
        <v>39411</v>
      </c>
      <c r="K1181" s="39">
        <f>중기목록표!G6</f>
        <v>39411</v>
      </c>
      <c r="M1181" s="35" t="s">
        <v>1723</v>
      </c>
      <c r="N1181" s="35" t="s">
        <v>1247</v>
      </c>
      <c r="X1181" s="111" t="str">
        <f>중기목록표!B6&amp;" / "&amp;중기목록표!C6</f>
        <v>불도저(무한궤도) / 19톤</v>
      </c>
      <c r="Y1181" s="3" t="str">
        <f ca="1">HYPERLINK("#"&amp;중기목록표!J2&amp;"!A"&amp;ROW(중기목록표!A6),"X00008 →")</f>
        <v>X00008 →</v>
      </c>
    </row>
    <row r="1182" spans="1:25" ht="12.6" customHeight="1" x14ac:dyDescent="0.3">
      <c r="A1182" s="78"/>
      <c r="B1182" s="78"/>
      <c r="C1182" s="78"/>
      <c r="D1182" s="78"/>
      <c r="E1182" s="78"/>
      <c r="F1182" s="78"/>
      <c r="G1182" s="17" t="s">
        <v>1229</v>
      </c>
    </row>
    <row r="1183" spans="1:25" ht="12.6" customHeight="1" x14ac:dyDescent="0.3">
      <c r="A1183" s="68" t="s">
        <v>1727</v>
      </c>
      <c r="B1183" s="102" t="str">
        <f>" 경    비  :   "&amp;TEXT(I1183,"#,##0"&amp;IF(I1183&lt;&gt;INT(I1183),".###",""))&amp;" / Q = "&amp;TEXT(C1183,"#,##0.0")&amp;""</f>
        <v xml:space="preserve"> 경    비  :   34,288 / Q = 717.9</v>
      </c>
      <c r="C1183" s="104">
        <f>E1183+D1183+F1183</f>
        <v>717.9</v>
      </c>
      <c r="D1183" s="104">
        <f>IF(H1183=0,0,ROUNDDOWN(J1183*H1183,1))</f>
        <v>0</v>
      </c>
      <c r="E1183" s="104">
        <f>IF(H1183=0,0,ROUNDDOWN(K1183*H1183,1))</f>
        <v>0</v>
      </c>
      <c r="F1183" s="104">
        <f>IF(H1183=0,0,ROUNDDOWN(L1183*H1183,1))</f>
        <v>717.9</v>
      </c>
      <c r="G1183" s="17" t="s">
        <v>1726</v>
      </c>
      <c r="H1183" s="109">
        <v>2.0938023450800002E-2</v>
      </c>
      <c r="I1183" s="110">
        <f>K1183+J1183+L1183</f>
        <v>34288</v>
      </c>
      <c r="L1183" s="39">
        <f>중기목록표!H6</f>
        <v>34288</v>
      </c>
      <c r="M1183" s="35" t="s">
        <v>1723</v>
      </c>
      <c r="N1183" s="35" t="s">
        <v>1247</v>
      </c>
      <c r="X1183" s="111" t="str">
        <f>중기목록표!B6&amp;" / "&amp;중기목록표!C6</f>
        <v>불도저(무한궤도) / 19톤</v>
      </c>
      <c r="Y1183" s="3" t="str">
        <f ca="1">HYPERLINK("#"&amp;중기목록표!J2&amp;"!A"&amp;ROW(중기목록표!A6),"X00008 →")</f>
        <v>X00008 →</v>
      </c>
    </row>
    <row r="1184" spans="1:25" ht="12.6" customHeight="1" x14ac:dyDescent="0.3">
      <c r="A1184" s="78"/>
      <c r="B1184" s="78"/>
      <c r="C1184" s="78"/>
      <c r="D1184" s="78"/>
      <c r="E1184" s="78"/>
      <c r="F1184" s="78"/>
      <c r="G1184" s="17" t="s">
        <v>1229</v>
      </c>
    </row>
    <row r="1185" spans="1:14" ht="12.6" customHeight="1" x14ac:dyDescent="0.3">
      <c r="A1185" s="68"/>
      <c r="B1185" s="77" t="s">
        <v>1246</v>
      </c>
      <c r="C1185" s="105">
        <f>E1185+D1185+F1185</f>
        <v>2738</v>
      </c>
      <c r="D1185" s="105">
        <f>SUMIF(N1156:N1184,M1185,D1156:D1184)</f>
        <v>1195</v>
      </c>
      <c r="E1185" s="105">
        <f>SUMIF(N1156:N1184,M1185,E1156:E1184)</f>
        <v>825.1</v>
      </c>
      <c r="F1185" s="105">
        <f>SUMIF(N1156:N1184,M1185,F1156:F1184)</f>
        <v>717.9</v>
      </c>
      <c r="G1185" s="17" t="s">
        <v>1245</v>
      </c>
      <c r="M1185" s="35" t="s">
        <v>1247</v>
      </c>
      <c r="N1185" s="35" t="s">
        <v>1011</v>
      </c>
    </row>
    <row r="1186" spans="1:14" ht="12.6" customHeight="1" x14ac:dyDescent="0.3">
      <c r="A1186" s="56"/>
      <c r="B1186" s="56"/>
      <c r="C1186" s="88"/>
      <c r="D1186" s="88"/>
      <c r="E1186" s="88"/>
      <c r="F1186" s="88"/>
    </row>
    <row r="1187" spans="1:14" ht="12.6" customHeight="1" x14ac:dyDescent="0.3">
      <c r="A1187" s="143" t="s">
        <v>1101</v>
      </c>
      <c r="B1187" s="144"/>
      <c r="C1187" s="54">
        <f>E1187+D1187+F1187</f>
        <v>2737</v>
      </c>
      <c r="D1187" s="52">
        <f>ROUNDDOWN(SUMIF(N1156:N1185,M1187,D1156:D1185),0)</f>
        <v>1195</v>
      </c>
      <c r="E1187" s="64">
        <f>ROUNDDOWN(SUMIF(N1156:N1185,M1187,E1156:E1185),0)</f>
        <v>825</v>
      </c>
      <c r="F1187" s="54">
        <f>ROUNDDOWN(SUMIF(N1156:N1185,M1187,F1156:F1185),0)</f>
        <v>717</v>
      </c>
      <c r="M1187" s="35" t="s">
        <v>1011</v>
      </c>
      <c r="N1187" s="35" t="s">
        <v>1102</v>
      </c>
    </row>
    <row r="1188" spans="1:14" ht="12.6" customHeight="1" x14ac:dyDescent="0.3">
      <c r="A1188" s="143" t="s">
        <v>1103</v>
      </c>
      <c r="B1188" s="144"/>
      <c r="C1188" s="54">
        <f>E1188+D1188+F1188</f>
        <v>2400</v>
      </c>
      <c r="D1188" s="52">
        <f>ROUNDDOWN(D1187*H1188/100,0)</f>
        <v>1048</v>
      </c>
      <c r="E1188" s="64">
        <f>ROUNDDOWN(E1187*H1188/100,0)</f>
        <v>723</v>
      </c>
      <c r="F1188" s="54">
        <f>ROUNDDOWN(F1187*H1188/100,0)</f>
        <v>629</v>
      </c>
      <c r="H1188" s="37">
        <v>87.745000000000005</v>
      </c>
      <c r="M1188" s="35" t="s">
        <v>1102</v>
      </c>
    </row>
    <row r="1189" spans="1:14" ht="12.6" customHeight="1" x14ac:dyDescent="0.3">
      <c r="A1189" s="100" t="s">
        <v>228</v>
      </c>
      <c r="B1189" s="101" t="s">
        <v>225</v>
      </c>
      <c r="C1189" s="150">
        <f>C1257</f>
        <v>6171</v>
      </c>
      <c r="D1189" s="150">
        <f>D1257</f>
        <v>3889</v>
      </c>
      <c r="E1189" s="150">
        <f>E1257</f>
        <v>785</v>
      </c>
      <c r="F1189" s="150">
        <f>F1257</f>
        <v>1497</v>
      </c>
      <c r="G1189" s="97" t="str">
        <f>HYPERLINK("#G"&amp;ROW(G1254),"_x0005_`BDCOD|D01483_x0007_`POSS|"&amp;ROW(G1191)&amp;"_x0007_`POSE|"&amp;ROW(G1254)&amp;"_x0007_`")</f>
        <v>_x0005_`BDCOD|D01483_x0007_`POSS|1191_x0007_`POSE|1254_x0007_`</v>
      </c>
    </row>
    <row r="1190" spans="1:14" ht="12.6" customHeight="1" x14ac:dyDescent="0.3">
      <c r="A1190" s="83"/>
      <c r="B1190" s="101" t="s">
        <v>224</v>
      </c>
      <c r="C1190" s="139"/>
      <c r="D1190" s="139"/>
      <c r="E1190" s="139"/>
      <c r="F1190" s="139"/>
      <c r="M1190" s="35" t="s">
        <v>228</v>
      </c>
    </row>
    <row r="1191" spans="1:14" ht="12.6" customHeight="1" x14ac:dyDescent="0.3">
      <c r="A1191" s="68"/>
      <c r="B1191" s="77" t="s">
        <v>1738</v>
      </c>
      <c r="C1191" s="103"/>
      <c r="D1191" s="103"/>
      <c r="E1191" s="103"/>
      <c r="F1191" s="103"/>
      <c r="G1191" s="17" t="s">
        <v>1737</v>
      </c>
    </row>
    <row r="1192" spans="1:14" ht="12.6" customHeight="1" x14ac:dyDescent="0.3">
      <c r="A1192" s="78"/>
      <c r="B1192" s="78"/>
      <c r="C1192" s="78"/>
      <c r="D1192" s="78"/>
      <c r="E1192" s="78"/>
      <c r="F1192" s="78"/>
      <c r="G1192" s="17" t="s">
        <v>1229</v>
      </c>
    </row>
    <row r="1193" spans="1:14" ht="12.6" customHeight="1" x14ac:dyDescent="0.3">
      <c r="A1193" s="68"/>
      <c r="B1193" s="77" t="s">
        <v>1740</v>
      </c>
      <c r="C1193" s="78"/>
      <c r="D1193" s="78"/>
      <c r="E1193" s="78"/>
      <c r="F1193" s="78"/>
      <c r="G1193" s="17" t="s">
        <v>1739</v>
      </c>
    </row>
    <row r="1194" spans="1:14" ht="12.6" customHeight="1" x14ac:dyDescent="0.3">
      <c r="A1194" s="78"/>
      <c r="B1194" s="78"/>
      <c r="C1194" s="78"/>
      <c r="D1194" s="78"/>
      <c r="E1194" s="78"/>
      <c r="F1194" s="78"/>
      <c r="G1194" s="17" t="s">
        <v>1229</v>
      </c>
    </row>
    <row r="1195" spans="1:14" ht="12.6" customHeight="1" x14ac:dyDescent="0.3">
      <c r="A1195" s="68"/>
      <c r="B1195" s="77" t="s">
        <v>1742</v>
      </c>
      <c r="C1195" s="78"/>
      <c r="D1195" s="78"/>
      <c r="E1195" s="78"/>
      <c r="F1195" s="78"/>
      <c r="G1195" s="17" t="s">
        <v>1741</v>
      </c>
    </row>
    <row r="1196" spans="1:14" ht="12.6" customHeight="1" x14ac:dyDescent="0.3">
      <c r="A1196" s="78"/>
      <c r="B1196" s="78"/>
      <c r="C1196" s="78"/>
      <c r="D1196" s="78"/>
      <c r="E1196" s="78"/>
      <c r="F1196" s="78"/>
      <c r="G1196" s="17" t="s">
        <v>1229</v>
      </c>
    </row>
    <row r="1197" spans="1:14" ht="12.6" customHeight="1" x14ac:dyDescent="0.3">
      <c r="A1197" s="68"/>
      <c r="B1197" s="77" t="s">
        <v>1744</v>
      </c>
      <c r="C1197" s="78"/>
      <c r="D1197" s="78"/>
      <c r="E1197" s="78"/>
      <c r="F1197" s="78"/>
      <c r="G1197" s="17" t="s">
        <v>1743</v>
      </c>
    </row>
    <row r="1198" spans="1:14" ht="12.6" customHeight="1" x14ac:dyDescent="0.3">
      <c r="A1198" s="78"/>
      <c r="B1198" s="78"/>
      <c r="C1198" s="78"/>
      <c r="D1198" s="78"/>
      <c r="E1198" s="78"/>
      <c r="F1198" s="78"/>
      <c r="G1198" s="17" t="s">
        <v>1229</v>
      </c>
    </row>
    <row r="1199" spans="1:14" ht="12.6" customHeight="1" x14ac:dyDescent="0.3">
      <c r="A1199" s="68"/>
      <c r="B1199" s="77" t="s">
        <v>1746</v>
      </c>
      <c r="C1199" s="78"/>
      <c r="D1199" s="78"/>
      <c r="E1199" s="78"/>
      <c r="F1199" s="78"/>
      <c r="G1199" s="17" t="s">
        <v>1745</v>
      </c>
    </row>
    <row r="1200" spans="1:14" ht="12.6" customHeight="1" x14ac:dyDescent="0.3">
      <c r="A1200" s="78"/>
      <c r="B1200" s="78"/>
      <c r="C1200" s="78"/>
      <c r="D1200" s="78"/>
      <c r="E1200" s="78"/>
      <c r="F1200" s="78"/>
      <c r="G1200" s="17" t="s">
        <v>1229</v>
      </c>
    </row>
    <row r="1201" spans="1:25" ht="12.6" customHeight="1" x14ac:dyDescent="0.3">
      <c r="A1201" s="68"/>
      <c r="B1201" s="77" t="s">
        <v>1748</v>
      </c>
      <c r="C1201" s="78"/>
      <c r="D1201" s="78"/>
      <c r="E1201" s="78"/>
      <c r="F1201" s="78"/>
      <c r="G1201" s="17" t="s">
        <v>1747</v>
      </c>
    </row>
    <row r="1202" spans="1:25" ht="12.6" customHeight="1" x14ac:dyDescent="0.3">
      <c r="A1202" s="78"/>
      <c r="B1202" s="78"/>
      <c r="C1202" s="78"/>
      <c r="D1202" s="78"/>
      <c r="E1202" s="78"/>
      <c r="F1202" s="78"/>
      <c r="G1202" s="17" t="s">
        <v>1229</v>
      </c>
    </row>
    <row r="1203" spans="1:25" ht="12.6" customHeight="1" x14ac:dyDescent="0.3">
      <c r="A1203" s="68" t="s">
        <v>1270</v>
      </c>
      <c r="B1203" s="102" t="str">
        <f>" 노 무 비  :   "&amp;TEXT(I1203,"#,##0"&amp;IF(I1203&lt;&gt;INT(I1203),".###",""))&amp;" / Q  = "&amp;TEXT(C1203,"#,##0.0")&amp;""</f>
        <v xml:space="preserve"> 노 무 비  :   57,077 / Q  = 1,797.7</v>
      </c>
      <c r="C1203" s="104">
        <f>E1203+D1203+F1203</f>
        <v>1797.7</v>
      </c>
      <c r="D1203" s="104">
        <f>IF(H1203=0,0,ROUNDDOWN(J1203*H1203,1))</f>
        <v>1797.7</v>
      </c>
      <c r="E1203" s="104">
        <f>IF(H1203=0,0,ROUNDDOWN(K1203*H1203,1))</f>
        <v>0</v>
      </c>
      <c r="F1203" s="104">
        <f>IF(H1203=0,0,ROUNDDOWN(L1203*H1203,1))</f>
        <v>0</v>
      </c>
      <c r="G1203" s="17" t="s">
        <v>1749</v>
      </c>
      <c r="H1203" s="109">
        <v>3.1496062992299997E-2</v>
      </c>
      <c r="I1203" s="110">
        <f>K1203+J1203+L1203</f>
        <v>57077</v>
      </c>
      <c r="J1203" s="39">
        <f>중기목록표!F8</f>
        <v>57077</v>
      </c>
      <c r="M1203" s="35" t="s">
        <v>1271</v>
      </c>
      <c r="N1203" s="35" t="s">
        <v>1247</v>
      </c>
      <c r="X1203" s="111" t="str">
        <f>중기목록표!B8&amp;" / "&amp;중기목록표!C8</f>
        <v>굴삭기(무한궤도) / 0.7㎥</v>
      </c>
      <c r="Y1203" s="3" t="str">
        <f ca="1">HYPERLINK("#"&amp;중기목록표!J2&amp;"!A"&amp;ROW(중기목록표!A8),"X00022 →")</f>
        <v>X00022 →</v>
      </c>
    </row>
    <row r="1204" spans="1:25" ht="12.6" customHeight="1" x14ac:dyDescent="0.3">
      <c r="A1204" s="78"/>
      <c r="B1204" s="78"/>
      <c r="C1204" s="78"/>
      <c r="D1204" s="78"/>
      <c r="E1204" s="78"/>
      <c r="F1204" s="78"/>
      <c r="G1204" s="17" t="s">
        <v>1229</v>
      </c>
    </row>
    <row r="1205" spans="1:25" ht="12.6" customHeight="1" x14ac:dyDescent="0.3">
      <c r="A1205" s="68" t="s">
        <v>1273</v>
      </c>
      <c r="B1205" s="102" t="str">
        <f>" 재 료 비  :   "&amp;TEXT(I1205,"#,##0"&amp;IF(I1205&lt;&gt;INT(I1205),".###",""))&amp;" / Q  = "&amp;TEXT(C1205,"#,##0.0")&amp;""</f>
        <v xml:space="preserve"> 재 료 비  :   19,232 / Q  = 605.7</v>
      </c>
      <c r="C1205" s="104">
        <f>E1205+D1205+F1205</f>
        <v>605.70000000000005</v>
      </c>
      <c r="D1205" s="104">
        <f>IF(H1205=0,0,ROUNDDOWN(J1205*H1205,1))</f>
        <v>0</v>
      </c>
      <c r="E1205" s="104">
        <f>IF(H1205=0,0,ROUNDDOWN(K1205*H1205,1))</f>
        <v>605.70000000000005</v>
      </c>
      <c r="F1205" s="104">
        <f>IF(H1205=0,0,ROUNDDOWN(L1205*H1205,1))</f>
        <v>0</v>
      </c>
      <c r="G1205" s="17" t="s">
        <v>1750</v>
      </c>
      <c r="H1205" s="109">
        <v>3.1496062992299997E-2</v>
      </c>
      <c r="I1205" s="110">
        <f>K1205+J1205+L1205</f>
        <v>19232</v>
      </c>
      <c r="K1205" s="39">
        <f>중기목록표!G8</f>
        <v>19232</v>
      </c>
      <c r="M1205" s="35" t="s">
        <v>1271</v>
      </c>
      <c r="N1205" s="35" t="s">
        <v>1247</v>
      </c>
      <c r="X1205" s="111" t="str">
        <f>중기목록표!B8&amp;" / "&amp;중기목록표!C8</f>
        <v>굴삭기(무한궤도) / 0.7㎥</v>
      </c>
      <c r="Y1205" s="3" t="str">
        <f ca="1">HYPERLINK("#"&amp;중기목록표!J2&amp;"!A"&amp;ROW(중기목록표!A8),"X00022 →")</f>
        <v>X00022 →</v>
      </c>
    </row>
    <row r="1206" spans="1:25" ht="12.6" customHeight="1" x14ac:dyDescent="0.3">
      <c r="A1206" s="78"/>
      <c r="B1206" s="78"/>
      <c r="C1206" s="78"/>
      <c r="D1206" s="78"/>
      <c r="E1206" s="78"/>
      <c r="F1206" s="78"/>
      <c r="G1206" s="17" t="s">
        <v>1229</v>
      </c>
    </row>
    <row r="1207" spans="1:25" ht="12.6" customHeight="1" x14ac:dyDescent="0.3">
      <c r="A1207" s="68" t="s">
        <v>1275</v>
      </c>
      <c r="B1207" s="102" t="str">
        <f>" 경    비  :   "&amp;TEXT(I1207,"#,##0"&amp;IF(I1207&lt;&gt;INT(I1207),".###",""))&amp;" / Q  = "&amp;TEXT(C1207,"#,##0.0")&amp;""</f>
        <v xml:space="preserve"> 경    비  :   24,001 / Q  = 755.9</v>
      </c>
      <c r="C1207" s="104">
        <f>E1207+D1207+F1207</f>
        <v>755.9</v>
      </c>
      <c r="D1207" s="104">
        <f>IF(H1207=0,0,ROUNDDOWN(J1207*H1207,1))</f>
        <v>0</v>
      </c>
      <c r="E1207" s="104">
        <f>IF(H1207=0,0,ROUNDDOWN(K1207*H1207,1))</f>
        <v>0</v>
      </c>
      <c r="F1207" s="104">
        <f>IF(H1207=0,0,ROUNDDOWN(L1207*H1207,1))</f>
        <v>755.9</v>
      </c>
      <c r="G1207" s="17" t="s">
        <v>1751</v>
      </c>
      <c r="H1207" s="109">
        <v>3.1496062992299997E-2</v>
      </c>
      <c r="I1207" s="110">
        <f>K1207+J1207+L1207</f>
        <v>24001</v>
      </c>
      <c r="L1207" s="39">
        <f>중기목록표!H8</f>
        <v>24001</v>
      </c>
      <c r="M1207" s="35" t="s">
        <v>1271</v>
      </c>
      <c r="N1207" s="35" t="s">
        <v>1247</v>
      </c>
      <c r="X1207" s="111" t="str">
        <f>중기목록표!B8&amp;" / "&amp;중기목록표!C8</f>
        <v>굴삭기(무한궤도) / 0.7㎥</v>
      </c>
      <c r="Y1207" s="3" t="str">
        <f ca="1">HYPERLINK("#"&amp;중기목록표!J2&amp;"!A"&amp;ROW(중기목록표!A8),"X00022 →")</f>
        <v>X00022 →</v>
      </c>
    </row>
    <row r="1208" spans="1:25" ht="12.6" customHeight="1" x14ac:dyDescent="0.3">
      <c r="A1208" s="78"/>
      <c r="B1208" s="78"/>
      <c r="C1208" s="78"/>
      <c r="D1208" s="78"/>
      <c r="E1208" s="78"/>
      <c r="F1208" s="78"/>
      <c r="G1208" s="17" t="s">
        <v>1229</v>
      </c>
    </row>
    <row r="1209" spans="1:25" ht="12.6" customHeight="1" x14ac:dyDescent="0.3">
      <c r="A1209" s="68"/>
      <c r="B1209" s="77" t="s">
        <v>1246</v>
      </c>
      <c r="C1209" s="105">
        <f>E1209+D1209+F1209</f>
        <v>3159.3</v>
      </c>
      <c r="D1209" s="105">
        <f>SUMIF(N1191:N1208,M1209,D1191:D1208)</f>
        <v>1797.7</v>
      </c>
      <c r="E1209" s="105">
        <f>SUMIF(N1191:N1208,M1209,E1191:E1208)</f>
        <v>605.70000000000005</v>
      </c>
      <c r="F1209" s="105">
        <f>SUMIF(N1191:N1208,M1209,F1191:F1208)</f>
        <v>755.9</v>
      </c>
      <c r="G1209" s="17" t="s">
        <v>1245</v>
      </c>
      <c r="M1209" s="35" t="s">
        <v>1247</v>
      </c>
      <c r="N1209" s="35" t="s">
        <v>1348</v>
      </c>
    </row>
    <row r="1210" spans="1:25" ht="12.6" customHeight="1" x14ac:dyDescent="0.3">
      <c r="A1210" s="78"/>
      <c r="B1210" s="78"/>
      <c r="C1210" s="103"/>
      <c r="D1210" s="103"/>
      <c r="E1210" s="103"/>
      <c r="F1210" s="103"/>
      <c r="G1210" s="17" t="s">
        <v>1229</v>
      </c>
    </row>
    <row r="1211" spans="1:25" ht="12.6" customHeight="1" x14ac:dyDescent="0.3">
      <c r="A1211" s="68"/>
      <c r="B1211" s="77" t="s">
        <v>1753</v>
      </c>
      <c r="C1211" s="78"/>
      <c r="D1211" s="78"/>
      <c r="E1211" s="78"/>
      <c r="F1211" s="78"/>
      <c r="G1211" s="17" t="s">
        <v>1752</v>
      </c>
    </row>
    <row r="1212" spans="1:25" ht="12.6" customHeight="1" x14ac:dyDescent="0.3">
      <c r="A1212" s="78"/>
      <c r="B1212" s="78"/>
      <c r="C1212" s="78"/>
      <c r="D1212" s="78"/>
      <c r="E1212" s="78"/>
      <c r="F1212" s="78"/>
      <c r="G1212" s="17" t="s">
        <v>1229</v>
      </c>
    </row>
    <row r="1213" spans="1:25" ht="12.6" customHeight="1" x14ac:dyDescent="0.3">
      <c r="A1213" s="68"/>
      <c r="B1213" s="77" t="s">
        <v>1755</v>
      </c>
      <c r="C1213" s="78"/>
      <c r="D1213" s="78"/>
      <c r="E1213" s="78"/>
      <c r="F1213" s="78"/>
      <c r="G1213" s="17" t="s">
        <v>1754</v>
      </c>
    </row>
    <row r="1214" spans="1:25" ht="12.6" customHeight="1" x14ac:dyDescent="0.3">
      <c r="A1214" s="78"/>
      <c r="B1214" s="78"/>
      <c r="C1214" s="78"/>
      <c r="D1214" s="78"/>
      <c r="E1214" s="78"/>
      <c r="F1214" s="78"/>
      <c r="G1214" s="17" t="s">
        <v>1229</v>
      </c>
    </row>
    <row r="1215" spans="1:25" ht="12.6" customHeight="1" x14ac:dyDescent="0.3">
      <c r="A1215" s="68"/>
      <c r="B1215" s="77" t="s">
        <v>1757</v>
      </c>
      <c r="C1215" s="78"/>
      <c r="D1215" s="78"/>
      <c r="E1215" s="78"/>
      <c r="F1215" s="78"/>
      <c r="G1215" s="17" t="s">
        <v>1756</v>
      </c>
    </row>
    <row r="1216" spans="1:25" ht="12.6" customHeight="1" x14ac:dyDescent="0.3">
      <c r="A1216" s="78"/>
      <c r="B1216" s="78"/>
      <c r="C1216" s="78"/>
      <c r="D1216" s="78"/>
      <c r="E1216" s="78"/>
      <c r="F1216" s="78"/>
      <c r="G1216" s="17" t="s">
        <v>1229</v>
      </c>
    </row>
    <row r="1217" spans="1:25" ht="12.6" customHeight="1" x14ac:dyDescent="0.3">
      <c r="A1217" s="68"/>
      <c r="B1217" s="77" t="s">
        <v>1759</v>
      </c>
      <c r="C1217" s="78"/>
      <c r="D1217" s="78"/>
      <c r="E1217" s="78"/>
      <c r="F1217" s="78"/>
      <c r="G1217" s="17" t="s">
        <v>1758</v>
      </c>
    </row>
    <row r="1218" spans="1:25" ht="12.6" customHeight="1" x14ac:dyDescent="0.3">
      <c r="A1218" s="78"/>
      <c r="B1218" s="78"/>
      <c r="C1218" s="78"/>
      <c r="D1218" s="78"/>
      <c r="E1218" s="78"/>
      <c r="F1218" s="78"/>
      <c r="G1218" s="17" t="s">
        <v>1229</v>
      </c>
    </row>
    <row r="1219" spans="1:25" ht="12.6" customHeight="1" x14ac:dyDescent="0.3">
      <c r="A1219" s="68"/>
      <c r="B1219" s="77" t="s">
        <v>1761</v>
      </c>
      <c r="C1219" s="78"/>
      <c r="D1219" s="78"/>
      <c r="E1219" s="78"/>
      <c r="F1219" s="78"/>
      <c r="G1219" s="17" t="s">
        <v>1760</v>
      </c>
    </row>
    <row r="1220" spans="1:25" ht="12.6" customHeight="1" x14ac:dyDescent="0.3">
      <c r="A1220" s="78"/>
      <c r="B1220" s="78"/>
      <c r="C1220" s="78"/>
      <c r="D1220" s="78"/>
      <c r="E1220" s="78"/>
      <c r="F1220" s="78"/>
      <c r="G1220" s="17" t="s">
        <v>1229</v>
      </c>
    </row>
    <row r="1221" spans="1:25" ht="12.6" customHeight="1" x14ac:dyDescent="0.3">
      <c r="A1221" s="68"/>
      <c r="B1221" s="77" t="s">
        <v>1763</v>
      </c>
      <c r="C1221" s="78"/>
      <c r="D1221" s="78"/>
      <c r="E1221" s="78"/>
      <c r="F1221" s="78"/>
      <c r="G1221" s="17" t="s">
        <v>1762</v>
      </c>
    </row>
    <row r="1222" spans="1:25" ht="12.6" customHeight="1" x14ac:dyDescent="0.3">
      <c r="A1222" s="78"/>
      <c r="B1222" s="78"/>
      <c r="C1222" s="78"/>
      <c r="D1222" s="78"/>
      <c r="E1222" s="78"/>
      <c r="F1222" s="78"/>
      <c r="G1222" s="17" t="s">
        <v>1229</v>
      </c>
    </row>
    <row r="1223" spans="1:25" ht="12.6" customHeight="1" x14ac:dyDescent="0.3">
      <c r="A1223" s="68"/>
      <c r="B1223" s="77" t="s">
        <v>1765</v>
      </c>
      <c r="C1223" s="78"/>
      <c r="D1223" s="78"/>
      <c r="E1223" s="78"/>
      <c r="F1223" s="78"/>
      <c r="G1223" s="17" t="s">
        <v>1764</v>
      </c>
    </row>
    <row r="1224" spans="1:25" ht="12.6" customHeight="1" x14ac:dyDescent="0.3">
      <c r="A1224" s="78"/>
      <c r="B1224" s="78"/>
      <c r="C1224" s="78"/>
      <c r="D1224" s="78"/>
      <c r="E1224" s="78"/>
      <c r="F1224" s="78"/>
      <c r="G1224" s="17" t="s">
        <v>1229</v>
      </c>
    </row>
    <row r="1225" spans="1:25" ht="12.6" customHeight="1" x14ac:dyDescent="0.3">
      <c r="A1225" s="68"/>
      <c r="B1225" s="77" t="s">
        <v>1767</v>
      </c>
      <c r="C1225" s="78"/>
      <c r="D1225" s="78"/>
      <c r="E1225" s="78"/>
      <c r="F1225" s="78"/>
      <c r="G1225" s="17" t="s">
        <v>1766</v>
      </c>
    </row>
    <row r="1226" spans="1:25" ht="12.6" customHeight="1" x14ac:dyDescent="0.3">
      <c r="A1226" s="78"/>
      <c r="B1226" s="78"/>
      <c r="C1226" s="78"/>
      <c r="D1226" s="78"/>
      <c r="E1226" s="78"/>
      <c r="F1226" s="78"/>
      <c r="G1226" s="17" t="s">
        <v>1229</v>
      </c>
    </row>
    <row r="1227" spans="1:25" ht="12.6" customHeight="1" x14ac:dyDescent="0.3">
      <c r="A1227" s="68"/>
      <c r="B1227" s="77" t="s">
        <v>1769</v>
      </c>
      <c r="C1227" s="78"/>
      <c r="D1227" s="78"/>
      <c r="E1227" s="78"/>
      <c r="F1227" s="78"/>
      <c r="G1227" s="17" t="s">
        <v>1768</v>
      </c>
    </row>
    <row r="1228" spans="1:25" ht="12.6" customHeight="1" x14ac:dyDescent="0.3">
      <c r="A1228" s="78"/>
      <c r="B1228" s="78"/>
      <c r="C1228" s="78"/>
      <c r="D1228" s="78"/>
      <c r="E1228" s="78"/>
      <c r="F1228" s="78"/>
      <c r="G1228" s="17" t="s">
        <v>1229</v>
      </c>
    </row>
    <row r="1229" spans="1:25" ht="12.6" customHeight="1" x14ac:dyDescent="0.3">
      <c r="A1229" s="68" t="s">
        <v>1771</v>
      </c>
      <c r="B1229" s="102" t="str">
        <f>" 노 무 비  :   "&amp;TEXT(I1229,"#,##0"&amp;IF(I1229&lt;&gt;INT(I1229),".###",""))&amp;" / Q1  = "&amp;TEXT(C1229,"#,##0.0")&amp;""</f>
        <v xml:space="preserve"> 노 무 비  :   57,077 / Q1  = 2,403.2</v>
      </c>
      <c r="C1229" s="104">
        <f>E1229+D1229+F1229</f>
        <v>2403.1999999999998</v>
      </c>
      <c r="D1229" s="104">
        <f>IF(H1229=0,0,ROUNDDOWN(J1229*H1229,1))</f>
        <v>2403.1999999999998</v>
      </c>
      <c r="E1229" s="104">
        <f>IF(H1229=0,0,ROUNDDOWN(K1229*H1229,1))</f>
        <v>0</v>
      </c>
      <c r="F1229" s="104">
        <f>IF(H1229=0,0,ROUNDDOWN(L1229*H1229,1))</f>
        <v>0</v>
      </c>
      <c r="G1229" s="17" t="s">
        <v>1770</v>
      </c>
      <c r="H1229" s="109">
        <v>4.2105263158100002E-2</v>
      </c>
      <c r="I1229" s="110">
        <f>K1229+J1229+L1229</f>
        <v>57077</v>
      </c>
      <c r="J1229" s="39">
        <f>중기목록표!F14</f>
        <v>57077</v>
      </c>
      <c r="M1229" s="35" t="s">
        <v>1772</v>
      </c>
      <c r="N1229" s="35" t="s">
        <v>1247</v>
      </c>
      <c r="X1229" s="111" t="str">
        <f>중기목록표!B14&amp;" / "&amp;중기목록표!C14</f>
        <v>덤프트럭 / 15톤</v>
      </c>
      <c r="Y1229" s="3" t="str">
        <f ca="1">HYPERLINK("#"&amp;중기목록표!J2&amp;"!A"&amp;ROW(중기목록표!A14),"X00064 →")</f>
        <v>X00064 →</v>
      </c>
    </row>
    <row r="1230" spans="1:25" ht="12.6" customHeight="1" x14ac:dyDescent="0.3">
      <c r="A1230" s="78"/>
      <c r="B1230" s="78"/>
      <c r="C1230" s="78"/>
      <c r="D1230" s="78"/>
      <c r="E1230" s="78"/>
      <c r="F1230" s="78"/>
      <c r="G1230" s="17" t="s">
        <v>1229</v>
      </c>
    </row>
    <row r="1231" spans="1:25" ht="12.6" customHeight="1" x14ac:dyDescent="0.3">
      <c r="A1231" s="68" t="s">
        <v>1774</v>
      </c>
      <c r="B1231" s="102" t="str">
        <f>" 재 료 비  :   "&amp;TEXT(I1231,"#,##0"&amp;IF(I1231&lt;&gt;INT(I1231),".###",""))&amp;" / Q1 *(Cm-t1)/Cm = "&amp;TEXT(C1231,"#,##0.0")&amp;""</f>
        <v xml:space="preserve"> 재 료 비  :   29,819 / Q1 *(Cm-t1)/Cm = 211.9</v>
      </c>
      <c r="C1231" s="104">
        <f>E1231+D1231+F1231</f>
        <v>211.9</v>
      </c>
      <c r="D1231" s="104">
        <f>IF(H1231=0,0,ROUNDDOWN(J1231*H1231,1))</f>
        <v>0</v>
      </c>
      <c r="E1231" s="104">
        <f>IF(H1231=0,0,ROUNDDOWN(K1231*H1231,1))</f>
        <v>211.9</v>
      </c>
      <c r="F1231" s="104">
        <f>IF(H1231=0,0,ROUNDDOWN(L1231*H1231,1))</f>
        <v>0</v>
      </c>
      <c r="G1231" s="17" t="s">
        <v>1773</v>
      </c>
      <c r="H1231" s="109">
        <v>7.1072249315000001E-3</v>
      </c>
      <c r="I1231" s="110">
        <f>K1231+J1231+L1231</f>
        <v>29819</v>
      </c>
      <c r="K1231" s="39">
        <f>중기목록표!G14</f>
        <v>29819</v>
      </c>
      <c r="M1231" s="35" t="s">
        <v>1772</v>
      </c>
      <c r="N1231" s="35" t="s">
        <v>1247</v>
      </c>
      <c r="X1231" s="111" t="str">
        <f>중기목록표!B14&amp;" / "&amp;중기목록표!C14</f>
        <v>덤프트럭 / 15톤</v>
      </c>
      <c r="Y1231" s="3" t="str">
        <f ca="1">HYPERLINK("#"&amp;중기목록표!J2&amp;"!A"&amp;ROW(중기목록표!A14),"X00064 →")</f>
        <v>X00064 →</v>
      </c>
    </row>
    <row r="1232" spans="1:25" ht="12.6" customHeight="1" x14ac:dyDescent="0.3">
      <c r="A1232" s="78"/>
      <c r="B1232" s="78"/>
      <c r="C1232" s="78"/>
      <c r="D1232" s="78"/>
      <c r="E1232" s="78"/>
      <c r="F1232" s="78"/>
      <c r="G1232" s="17" t="s">
        <v>1229</v>
      </c>
    </row>
    <row r="1233" spans="1:25" ht="12.6" customHeight="1" x14ac:dyDescent="0.3">
      <c r="A1233" s="68" t="s">
        <v>1776</v>
      </c>
      <c r="B1233" s="102" t="str">
        <f>" 경    비  :   "&amp;TEXT(I1233,"#,##0"&amp;IF(I1233&lt;&gt;INT(I1233),".###",""))&amp;" / Q1  = "&amp;TEXT(C1233,"#,##0.0")&amp;""</f>
        <v xml:space="preserve"> 경    비  :   20,276 / Q1  = 853.7</v>
      </c>
      <c r="C1233" s="104">
        <f>E1233+D1233+F1233</f>
        <v>853.7</v>
      </c>
      <c r="D1233" s="104">
        <f>IF(H1233=0,0,ROUNDDOWN(J1233*H1233,1))</f>
        <v>0</v>
      </c>
      <c r="E1233" s="104">
        <f>IF(H1233=0,0,ROUNDDOWN(K1233*H1233,1))</f>
        <v>0</v>
      </c>
      <c r="F1233" s="104">
        <f>IF(H1233=0,0,ROUNDDOWN(L1233*H1233,1))</f>
        <v>853.7</v>
      </c>
      <c r="G1233" s="17" t="s">
        <v>1775</v>
      </c>
      <c r="H1233" s="109">
        <v>4.2105263158100002E-2</v>
      </c>
      <c r="I1233" s="110">
        <f>K1233+J1233+L1233</f>
        <v>20276</v>
      </c>
      <c r="L1233" s="39">
        <f>중기목록표!H14</f>
        <v>20276</v>
      </c>
      <c r="M1233" s="35" t="s">
        <v>1772</v>
      </c>
      <c r="N1233" s="35" t="s">
        <v>1247</v>
      </c>
      <c r="X1233" s="111" t="str">
        <f>중기목록표!B14&amp;" / "&amp;중기목록표!C14</f>
        <v>덤프트럭 / 15톤</v>
      </c>
      <c r="Y1233" s="3" t="str">
        <f ca="1">HYPERLINK("#"&amp;중기목록표!J2&amp;"!A"&amp;ROW(중기목록표!A14),"X00064 →")</f>
        <v>X00064 →</v>
      </c>
    </row>
    <row r="1234" spans="1:25" ht="12.6" customHeight="1" x14ac:dyDescent="0.3">
      <c r="A1234" s="78"/>
      <c r="B1234" s="78"/>
      <c r="C1234" s="78"/>
      <c r="D1234" s="78"/>
      <c r="E1234" s="78"/>
      <c r="F1234" s="78"/>
      <c r="G1234" s="17" t="s">
        <v>1229</v>
      </c>
    </row>
    <row r="1235" spans="1:25" ht="12.6" customHeight="1" x14ac:dyDescent="0.3">
      <c r="A1235" s="78"/>
      <c r="B1235" s="78"/>
      <c r="C1235" s="78"/>
      <c r="D1235" s="78"/>
      <c r="E1235" s="78"/>
      <c r="F1235" s="78"/>
      <c r="G1235" s="17" t="s">
        <v>1229</v>
      </c>
    </row>
    <row r="1236" spans="1:25" ht="12.6" customHeight="1" x14ac:dyDescent="0.3">
      <c r="A1236" s="68"/>
      <c r="B1236" s="77" t="s">
        <v>1246</v>
      </c>
      <c r="C1236" s="105">
        <f>E1236+D1236+F1236</f>
        <v>3468.8</v>
      </c>
      <c r="D1236" s="105">
        <f>SUMIF(N1210:N1235,M1236,D1210:D1235)</f>
        <v>2403.1999999999998</v>
      </c>
      <c r="E1236" s="105">
        <f>SUMIF(N1210:N1235,M1236,E1210:E1235)</f>
        <v>211.9</v>
      </c>
      <c r="F1236" s="105">
        <f>SUMIF(N1210:N1235,M1236,F1210:F1235)</f>
        <v>853.7</v>
      </c>
      <c r="G1236" s="17" t="s">
        <v>1245</v>
      </c>
      <c r="M1236" s="35" t="s">
        <v>1247</v>
      </c>
      <c r="N1236" s="35" t="s">
        <v>1348</v>
      </c>
    </row>
    <row r="1237" spans="1:25" ht="12.6" customHeight="1" x14ac:dyDescent="0.3">
      <c r="A1237" s="78"/>
      <c r="B1237" s="78"/>
      <c r="C1237" s="103"/>
      <c r="D1237" s="103"/>
      <c r="E1237" s="103"/>
      <c r="F1237" s="103"/>
      <c r="G1237" s="17" t="s">
        <v>1229</v>
      </c>
    </row>
    <row r="1238" spans="1:25" ht="12.6" customHeight="1" x14ac:dyDescent="0.3">
      <c r="A1238" s="68"/>
      <c r="B1238" s="77" t="s">
        <v>1778</v>
      </c>
      <c r="C1238" s="78"/>
      <c r="D1238" s="78"/>
      <c r="E1238" s="78"/>
      <c r="F1238" s="78"/>
      <c r="G1238" s="17" t="s">
        <v>1777</v>
      </c>
    </row>
    <row r="1239" spans="1:25" ht="12.6" customHeight="1" x14ac:dyDescent="0.3">
      <c r="A1239" s="78"/>
      <c r="B1239" s="78"/>
      <c r="C1239" s="78"/>
      <c r="D1239" s="78"/>
      <c r="E1239" s="78"/>
      <c r="F1239" s="78"/>
      <c r="G1239" s="17" t="s">
        <v>1229</v>
      </c>
    </row>
    <row r="1240" spans="1:25" ht="12.6" customHeight="1" x14ac:dyDescent="0.3">
      <c r="A1240" s="68"/>
      <c r="B1240" s="77" t="s">
        <v>1780</v>
      </c>
      <c r="C1240" s="78"/>
      <c r="D1240" s="78"/>
      <c r="E1240" s="78"/>
      <c r="F1240" s="78"/>
      <c r="G1240" s="17" t="s">
        <v>1779</v>
      </c>
    </row>
    <row r="1241" spans="1:25" ht="12.6" customHeight="1" x14ac:dyDescent="0.3">
      <c r="A1241" s="78"/>
      <c r="B1241" s="78"/>
      <c r="C1241" s="78"/>
      <c r="D1241" s="78"/>
      <c r="E1241" s="78"/>
      <c r="F1241" s="78"/>
      <c r="G1241" s="17" t="s">
        <v>1229</v>
      </c>
    </row>
    <row r="1242" spans="1:25" ht="12.6" customHeight="1" x14ac:dyDescent="0.3">
      <c r="A1242" s="68"/>
      <c r="B1242" s="77" t="s">
        <v>1782</v>
      </c>
      <c r="C1242" s="78"/>
      <c r="D1242" s="78"/>
      <c r="E1242" s="78"/>
      <c r="F1242" s="78"/>
      <c r="G1242" s="17" t="s">
        <v>1781</v>
      </c>
    </row>
    <row r="1243" spans="1:25" ht="12.6" customHeight="1" x14ac:dyDescent="0.3">
      <c r="A1243" s="78"/>
      <c r="B1243" s="78"/>
      <c r="C1243" s="78"/>
      <c r="D1243" s="78"/>
      <c r="E1243" s="78"/>
      <c r="F1243" s="78"/>
      <c r="G1243" s="17" t="s">
        <v>1229</v>
      </c>
    </row>
    <row r="1244" spans="1:25" ht="12.6" customHeight="1" x14ac:dyDescent="0.3">
      <c r="A1244" s="68"/>
      <c r="B1244" s="77" t="s">
        <v>1783</v>
      </c>
      <c r="C1244" s="78"/>
      <c r="D1244" s="78"/>
      <c r="E1244" s="78"/>
      <c r="F1244" s="78"/>
      <c r="G1244" s="17" t="s">
        <v>1747</v>
      </c>
    </row>
    <row r="1245" spans="1:25" ht="12.6" customHeight="1" x14ac:dyDescent="0.3">
      <c r="A1245" s="78"/>
      <c r="B1245" s="78"/>
      <c r="C1245" s="78"/>
      <c r="D1245" s="78"/>
      <c r="E1245" s="78"/>
      <c r="F1245" s="78"/>
      <c r="G1245" s="17" t="s">
        <v>1229</v>
      </c>
    </row>
    <row r="1246" spans="1:25" ht="12.6" customHeight="1" x14ac:dyDescent="0.3">
      <c r="A1246" s="68" t="s">
        <v>1270</v>
      </c>
      <c r="B1246" s="102" t="str">
        <f>" 노 무 비  :   "&amp;TEXT(I1246,"#,##0"&amp;IF(I1246&lt;&gt;INT(I1246),".###",""))&amp;" / Q / 3 = "&amp;TEXT(C1246,"#,##0.0")&amp;""</f>
        <v xml:space="preserve"> 노 무 비  :   57,077 / Q / 3 = 232.3</v>
      </c>
      <c r="C1246" s="104">
        <f>E1246+D1246+F1246</f>
        <v>232.3</v>
      </c>
      <c r="D1246" s="104">
        <f>IF(H1246=0,0,ROUNDDOWN(J1246*H1246,1))</f>
        <v>232.3</v>
      </c>
      <c r="E1246" s="104">
        <f>IF(H1246=0,0,ROUNDDOWN(K1246*H1246,1))</f>
        <v>0</v>
      </c>
      <c r="F1246" s="104">
        <f>IF(H1246=0,0,ROUNDDOWN(L1246*H1246,1))</f>
        <v>0</v>
      </c>
      <c r="G1246" s="17" t="s">
        <v>1784</v>
      </c>
      <c r="H1246" s="109">
        <v>4.0700040701999998E-3</v>
      </c>
      <c r="I1246" s="110">
        <f>K1246+J1246+L1246</f>
        <v>57077</v>
      </c>
      <c r="J1246" s="39">
        <f>중기목록표!F8</f>
        <v>57077</v>
      </c>
      <c r="M1246" s="35" t="s">
        <v>1271</v>
      </c>
      <c r="N1246" s="35" t="s">
        <v>1247</v>
      </c>
      <c r="X1246" s="111" t="str">
        <f>중기목록표!B8&amp;" / "&amp;중기목록표!C8</f>
        <v>굴삭기(무한궤도) / 0.7㎥</v>
      </c>
      <c r="Y1246" s="3" t="str">
        <f ca="1">HYPERLINK("#"&amp;중기목록표!J2&amp;"!A"&amp;ROW(중기목록표!A8),"X00022 →")</f>
        <v>X00022 →</v>
      </c>
    </row>
    <row r="1247" spans="1:25" ht="12.6" customHeight="1" x14ac:dyDescent="0.3">
      <c r="A1247" s="78"/>
      <c r="B1247" s="78"/>
      <c r="C1247" s="78"/>
      <c r="D1247" s="78"/>
      <c r="E1247" s="78"/>
      <c r="F1247" s="78"/>
      <c r="G1247" s="17" t="s">
        <v>1229</v>
      </c>
    </row>
    <row r="1248" spans="1:25" ht="12.6" customHeight="1" x14ac:dyDescent="0.3">
      <c r="A1248" s="68" t="s">
        <v>1273</v>
      </c>
      <c r="B1248" s="102" t="str">
        <f>" 재 료 비  :   "&amp;TEXT(I1248,"#,##0"&amp;IF(I1248&lt;&gt;INT(I1248),".###",""))&amp;" / Q / 3 = "&amp;TEXT(C1248,"#,##0.0")&amp;""</f>
        <v xml:space="preserve"> 재 료 비  :   19,232 / Q / 3 = 78.2</v>
      </c>
      <c r="C1248" s="104">
        <f>E1248+D1248+F1248</f>
        <v>78.2</v>
      </c>
      <c r="D1248" s="104">
        <f>IF(H1248=0,0,ROUNDDOWN(J1248*H1248,1))</f>
        <v>0</v>
      </c>
      <c r="E1248" s="104">
        <f>IF(H1248=0,0,ROUNDDOWN(K1248*H1248,1))</f>
        <v>78.2</v>
      </c>
      <c r="F1248" s="104">
        <f>IF(H1248=0,0,ROUNDDOWN(L1248*H1248,1))</f>
        <v>0</v>
      </c>
      <c r="G1248" s="17" t="s">
        <v>1785</v>
      </c>
      <c r="H1248" s="109">
        <v>4.0700040701999998E-3</v>
      </c>
      <c r="I1248" s="110">
        <f>K1248+J1248+L1248</f>
        <v>19232</v>
      </c>
      <c r="K1248" s="39">
        <f>중기목록표!G8</f>
        <v>19232</v>
      </c>
      <c r="M1248" s="35" t="s">
        <v>1271</v>
      </c>
      <c r="N1248" s="35" t="s">
        <v>1247</v>
      </c>
      <c r="X1248" s="111" t="str">
        <f>중기목록표!B8&amp;" / "&amp;중기목록표!C8</f>
        <v>굴삭기(무한궤도) / 0.7㎥</v>
      </c>
      <c r="Y1248" s="3" t="str">
        <f ca="1">HYPERLINK("#"&amp;중기목록표!J2&amp;"!A"&amp;ROW(중기목록표!A8),"X00022 →")</f>
        <v>X00022 →</v>
      </c>
    </row>
    <row r="1249" spans="1:25" ht="12.6" customHeight="1" x14ac:dyDescent="0.3">
      <c r="A1249" s="78"/>
      <c r="B1249" s="78"/>
      <c r="C1249" s="78"/>
      <c r="D1249" s="78"/>
      <c r="E1249" s="78"/>
      <c r="F1249" s="78"/>
      <c r="G1249" s="17" t="s">
        <v>1229</v>
      </c>
    </row>
    <row r="1250" spans="1:25" ht="12.6" customHeight="1" x14ac:dyDescent="0.3">
      <c r="A1250" s="68" t="s">
        <v>1275</v>
      </c>
      <c r="B1250" s="102" t="str">
        <f>" 경    비  :   "&amp;TEXT(I1250,"#,##0"&amp;IF(I1250&lt;&gt;INT(I1250),".###",""))&amp;" / Q / 3 = "&amp;TEXT(C1250,"#,##0.0")&amp;""</f>
        <v xml:space="preserve"> 경    비  :   24,001 / Q / 3 = 97.6</v>
      </c>
      <c r="C1250" s="104">
        <f>E1250+D1250+F1250</f>
        <v>97.6</v>
      </c>
      <c r="D1250" s="104">
        <f>IF(H1250=0,0,ROUNDDOWN(J1250*H1250,1))</f>
        <v>0</v>
      </c>
      <c r="E1250" s="104">
        <f>IF(H1250=0,0,ROUNDDOWN(K1250*H1250,1))</f>
        <v>0</v>
      </c>
      <c r="F1250" s="104">
        <f>IF(H1250=0,0,ROUNDDOWN(L1250*H1250,1))</f>
        <v>97.6</v>
      </c>
      <c r="G1250" s="17" t="s">
        <v>1786</v>
      </c>
      <c r="H1250" s="109">
        <v>4.0700040701999998E-3</v>
      </c>
      <c r="I1250" s="110">
        <f>K1250+J1250+L1250</f>
        <v>24001</v>
      </c>
      <c r="L1250" s="39">
        <f>중기목록표!H8</f>
        <v>24001</v>
      </c>
      <c r="M1250" s="35" t="s">
        <v>1271</v>
      </c>
      <c r="N1250" s="35" t="s">
        <v>1247</v>
      </c>
      <c r="X1250" s="111" t="str">
        <f>중기목록표!B8&amp;" / "&amp;중기목록표!C8</f>
        <v>굴삭기(무한궤도) / 0.7㎥</v>
      </c>
      <c r="Y1250" s="3" t="str">
        <f ca="1">HYPERLINK("#"&amp;중기목록표!J2&amp;"!A"&amp;ROW(중기목록표!A8),"X00022 →")</f>
        <v>X00022 →</v>
      </c>
    </row>
    <row r="1251" spans="1:25" ht="12.6" customHeight="1" x14ac:dyDescent="0.3">
      <c r="A1251" s="78"/>
      <c r="B1251" s="78"/>
      <c r="C1251" s="78"/>
      <c r="D1251" s="78"/>
      <c r="E1251" s="78"/>
      <c r="F1251" s="78"/>
      <c r="G1251" s="17" t="s">
        <v>1229</v>
      </c>
    </row>
    <row r="1252" spans="1:25" ht="12.6" customHeight="1" x14ac:dyDescent="0.3">
      <c r="A1252" s="68"/>
      <c r="B1252" s="77" t="s">
        <v>1246</v>
      </c>
      <c r="C1252" s="105">
        <f>E1252+D1252+F1252</f>
        <v>408.1</v>
      </c>
      <c r="D1252" s="105">
        <f>SUMIF(N1237:N1251,M1252,D1237:D1251)</f>
        <v>232.3</v>
      </c>
      <c r="E1252" s="105">
        <f>SUMIF(N1237:N1251,M1252,E1237:E1251)</f>
        <v>78.2</v>
      </c>
      <c r="F1252" s="105">
        <f>SUMIF(N1237:N1251,M1252,F1237:F1251)</f>
        <v>97.6</v>
      </c>
      <c r="G1252" s="17" t="s">
        <v>1245</v>
      </c>
      <c r="M1252" s="35" t="s">
        <v>1247</v>
      </c>
      <c r="N1252" s="35" t="s">
        <v>1348</v>
      </c>
    </row>
    <row r="1253" spans="1:25" ht="12.6" customHeight="1" x14ac:dyDescent="0.3">
      <c r="A1253" s="78"/>
      <c r="B1253" s="78"/>
      <c r="C1253" s="103"/>
      <c r="D1253" s="103"/>
      <c r="E1253" s="103"/>
      <c r="F1253" s="103"/>
      <c r="G1253" s="17" t="s">
        <v>1229</v>
      </c>
    </row>
    <row r="1254" spans="1:25" ht="12.6" customHeight="1" x14ac:dyDescent="0.3">
      <c r="A1254" s="68"/>
      <c r="B1254" s="77" t="s">
        <v>1101</v>
      </c>
      <c r="C1254" s="105">
        <f>E1254+D1254+F1254</f>
        <v>7036.2</v>
      </c>
      <c r="D1254" s="105">
        <f>SUMIF(N1191:N1253,M1254,D1191:D1253)</f>
        <v>4433.2</v>
      </c>
      <c r="E1254" s="105">
        <f>SUMIF(N1191:N1253,M1254,E1191:E1253)</f>
        <v>895.80000000000007</v>
      </c>
      <c r="F1254" s="105">
        <f>SUMIF(N1191:N1253,M1254,F1191:F1253)</f>
        <v>1707.1999999999998</v>
      </c>
      <c r="G1254" s="17" t="s">
        <v>1347</v>
      </c>
      <c r="M1254" s="35" t="s">
        <v>1348</v>
      </c>
      <c r="N1254" s="35" t="s">
        <v>1011</v>
      </c>
    </row>
    <row r="1255" spans="1:25" ht="12.6" customHeight="1" x14ac:dyDescent="0.3">
      <c r="A1255" s="56"/>
      <c r="B1255" s="56"/>
      <c r="C1255" s="88"/>
      <c r="D1255" s="88"/>
      <c r="E1255" s="88"/>
      <c r="F1255" s="88"/>
    </row>
    <row r="1256" spans="1:25" ht="12.6" customHeight="1" x14ac:dyDescent="0.3">
      <c r="A1256" s="143" t="s">
        <v>1101</v>
      </c>
      <c r="B1256" s="144"/>
      <c r="C1256" s="54">
        <f>E1256+D1256+F1256</f>
        <v>7035</v>
      </c>
      <c r="D1256" s="52">
        <f>ROUNDDOWN(SUMIF(N1191:N1254,M1256,D1191:D1254),0)</f>
        <v>4433</v>
      </c>
      <c r="E1256" s="64">
        <f>ROUNDDOWN(SUMIF(N1191:N1254,M1256,E1191:E1254),0)</f>
        <v>895</v>
      </c>
      <c r="F1256" s="54">
        <f>ROUNDDOWN(SUMIF(N1191:N1254,M1256,F1191:F1254),0)</f>
        <v>1707</v>
      </c>
      <c r="M1256" s="35" t="s">
        <v>1011</v>
      </c>
      <c r="N1256" s="35" t="s">
        <v>1102</v>
      </c>
    </row>
    <row r="1257" spans="1:25" ht="12.6" customHeight="1" x14ac:dyDescent="0.3">
      <c r="A1257" s="143" t="s">
        <v>1103</v>
      </c>
      <c r="B1257" s="144"/>
      <c r="C1257" s="54">
        <f>E1257+D1257+F1257</f>
        <v>6171</v>
      </c>
      <c r="D1257" s="52">
        <f>ROUNDDOWN(D1256*H1257/100,0)</f>
        <v>3889</v>
      </c>
      <c r="E1257" s="64">
        <f>ROUNDDOWN(E1256*H1257/100,0)</f>
        <v>785</v>
      </c>
      <c r="F1257" s="54">
        <f>ROUNDDOWN(F1256*H1257/100,0)</f>
        <v>1497</v>
      </c>
      <c r="H1257" s="37">
        <v>87.745000000000005</v>
      </c>
      <c r="M1257" s="35" t="s">
        <v>1102</v>
      </c>
    </row>
    <row r="1258" spans="1:25" ht="12.6" customHeight="1" x14ac:dyDescent="0.3">
      <c r="A1258" s="100" t="s">
        <v>233</v>
      </c>
      <c r="B1258" s="101" t="s">
        <v>230</v>
      </c>
      <c r="C1258" s="150">
        <f>C1326</f>
        <v>7889</v>
      </c>
      <c r="D1258" s="150">
        <f>D1326</f>
        <v>4795</v>
      </c>
      <c r="E1258" s="150">
        <f>E1326</f>
        <v>934</v>
      </c>
      <c r="F1258" s="150">
        <f>F1326</f>
        <v>2160</v>
      </c>
      <c r="G1258" s="97" t="str">
        <f>HYPERLINK("#G"&amp;ROW(G1323),"_x0005_`BDCOD|D01484_x0007_`POSS|"&amp;ROW(G1260)&amp;"_x0007_`POSE|"&amp;ROW(G1323)&amp;"_x0007_`")</f>
        <v>_x0005_`BDCOD|D01484_x0007_`POSS|1260_x0007_`POSE|1323_x0007_`</v>
      </c>
    </row>
    <row r="1259" spans="1:25" ht="12.6" customHeight="1" x14ac:dyDescent="0.3">
      <c r="A1259" s="83"/>
      <c r="B1259" s="101" t="s">
        <v>229</v>
      </c>
      <c r="C1259" s="139"/>
      <c r="D1259" s="139"/>
      <c r="E1259" s="139"/>
      <c r="F1259" s="139"/>
      <c r="M1259" s="35" t="s">
        <v>233</v>
      </c>
    </row>
    <row r="1260" spans="1:25" ht="12.6" customHeight="1" x14ac:dyDescent="0.3">
      <c r="A1260" s="68"/>
      <c r="B1260" s="77" t="s">
        <v>1738</v>
      </c>
      <c r="C1260" s="103"/>
      <c r="D1260" s="103"/>
      <c r="E1260" s="103"/>
      <c r="F1260" s="103"/>
      <c r="G1260" s="17" t="s">
        <v>1737</v>
      </c>
    </row>
    <row r="1261" spans="1:25" ht="12.6" customHeight="1" x14ac:dyDescent="0.3">
      <c r="A1261" s="78"/>
      <c r="B1261" s="78"/>
      <c r="C1261" s="78"/>
      <c r="D1261" s="78"/>
      <c r="E1261" s="78"/>
      <c r="F1261" s="78"/>
      <c r="G1261" s="17" t="s">
        <v>1229</v>
      </c>
    </row>
    <row r="1262" spans="1:25" ht="12.6" customHeight="1" x14ac:dyDescent="0.3">
      <c r="A1262" s="68"/>
      <c r="B1262" s="77" t="s">
        <v>1788</v>
      </c>
      <c r="C1262" s="78"/>
      <c r="D1262" s="78"/>
      <c r="E1262" s="78"/>
      <c r="F1262" s="78"/>
      <c r="G1262" s="17" t="s">
        <v>1787</v>
      </c>
    </row>
    <row r="1263" spans="1:25" ht="12.6" customHeight="1" x14ac:dyDescent="0.3">
      <c r="A1263" s="78"/>
      <c r="B1263" s="78"/>
      <c r="C1263" s="78"/>
      <c r="D1263" s="78"/>
      <c r="E1263" s="78"/>
      <c r="F1263" s="78"/>
      <c r="G1263" s="17" t="s">
        <v>1229</v>
      </c>
    </row>
    <row r="1264" spans="1:25" ht="12.6" customHeight="1" x14ac:dyDescent="0.3">
      <c r="A1264" s="68"/>
      <c r="B1264" s="77" t="s">
        <v>1742</v>
      </c>
      <c r="C1264" s="78"/>
      <c r="D1264" s="78"/>
      <c r="E1264" s="78"/>
      <c r="F1264" s="78"/>
      <c r="G1264" s="17" t="s">
        <v>1741</v>
      </c>
    </row>
    <row r="1265" spans="1:25" ht="12.6" customHeight="1" x14ac:dyDescent="0.3">
      <c r="A1265" s="78"/>
      <c r="B1265" s="78"/>
      <c r="C1265" s="78"/>
      <c r="D1265" s="78"/>
      <c r="E1265" s="78"/>
      <c r="F1265" s="78"/>
      <c r="G1265" s="17" t="s">
        <v>1229</v>
      </c>
    </row>
    <row r="1266" spans="1:25" ht="12.6" customHeight="1" x14ac:dyDescent="0.3">
      <c r="A1266" s="68"/>
      <c r="B1266" s="77" t="s">
        <v>1790</v>
      </c>
      <c r="C1266" s="78"/>
      <c r="D1266" s="78"/>
      <c r="E1266" s="78"/>
      <c r="F1266" s="78"/>
      <c r="G1266" s="17" t="s">
        <v>1789</v>
      </c>
    </row>
    <row r="1267" spans="1:25" ht="12.6" customHeight="1" x14ac:dyDescent="0.3">
      <c r="A1267" s="78"/>
      <c r="B1267" s="78"/>
      <c r="C1267" s="78"/>
      <c r="D1267" s="78"/>
      <c r="E1267" s="78"/>
      <c r="F1267" s="78"/>
      <c r="G1267" s="17" t="s">
        <v>1229</v>
      </c>
    </row>
    <row r="1268" spans="1:25" ht="12.6" customHeight="1" x14ac:dyDescent="0.3">
      <c r="A1268" s="68"/>
      <c r="B1268" s="77" t="s">
        <v>1792</v>
      </c>
      <c r="C1268" s="78"/>
      <c r="D1268" s="78"/>
      <c r="E1268" s="78"/>
      <c r="F1268" s="78"/>
      <c r="G1268" s="17" t="s">
        <v>1791</v>
      </c>
    </row>
    <row r="1269" spans="1:25" ht="12.6" customHeight="1" x14ac:dyDescent="0.3">
      <c r="A1269" s="78"/>
      <c r="B1269" s="78"/>
      <c r="C1269" s="78"/>
      <c r="D1269" s="78"/>
      <c r="E1269" s="78"/>
      <c r="F1269" s="78"/>
      <c r="G1269" s="17" t="s">
        <v>1229</v>
      </c>
    </row>
    <row r="1270" spans="1:25" ht="12.6" customHeight="1" x14ac:dyDescent="0.3">
      <c r="A1270" s="68"/>
      <c r="B1270" s="77" t="s">
        <v>1794</v>
      </c>
      <c r="C1270" s="78"/>
      <c r="D1270" s="78"/>
      <c r="E1270" s="78"/>
      <c r="F1270" s="78"/>
      <c r="G1270" s="17" t="s">
        <v>1793</v>
      </c>
    </row>
    <row r="1271" spans="1:25" ht="12.6" customHeight="1" x14ac:dyDescent="0.3">
      <c r="A1271" s="78"/>
      <c r="B1271" s="78"/>
      <c r="C1271" s="78"/>
      <c r="D1271" s="78"/>
      <c r="E1271" s="78"/>
      <c r="F1271" s="78"/>
      <c r="G1271" s="17" t="s">
        <v>1229</v>
      </c>
    </row>
    <row r="1272" spans="1:25" ht="12.6" customHeight="1" x14ac:dyDescent="0.3">
      <c r="A1272" s="68"/>
      <c r="B1272" s="77" t="s">
        <v>1795</v>
      </c>
      <c r="C1272" s="78"/>
      <c r="D1272" s="78"/>
      <c r="E1272" s="78"/>
      <c r="F1272" s="78"/>
      <c r="G1272" s="17" t="s">
        <v>1747</v>
      </c>
    </row>
    <row r="1273" spans="1:25" ht="12.6" customHeight="1" x14ac:dyDescent="0.3">
      <c r="A1273" s="78"/>
      <c r="B1273" s="78"/>
      <c r="C1273" s="78"/>
      <c r="D1273" s="78"/>
      <c r="E1273" s="78"/>
      <c r="F1273" s="78"/>
      <c r="G1273" s="17" t="s">
        <v>1229</v>
      </c>
    </row>
    <row r="1274" spans="1:25" ht="12.6" customHeight="1" x14ac:dyDescent="0.3">
      <c r="A1274" s="68" t="s">
        <v>1310</v>
      </c>
      <c r="B1274" s="102" t="str">
        <f>" 노 무 비  :   "&amp;TEXT(I1274,"#,##0"&amp;IF(I1274&lt;&gt;INT(I1274),".###",""))&amp;" / Q  = "&amp;TEXT(C1274,"#,##0.0")&amp;""</f>
        <v xml:space="preserve"> 노 무 비  :   57,077 / Q  = 2,232.1</v>
      </c>
      <c r="C1274" s="104">
        <f>E1274+D1274+F1274</f>
        <v>2232.1</v>
      </c>
      <c r="D1274" s="104">
        <f>IF(H1274=0,0,ROUNDDOWN(J1274*H1274,1))</f>
        <v>2232.1</v>
      </c>
      <c r="E1274" s="104">
        <f>IF(H1274=0,0,ROUNDDOWN(K1274*H1274,1))</f>
        <v>0</v>
      </c>
      <c r="F1274" s="104">
        <f>IF(H1274=0,0,ROUNDDOWN(L1274*H1274,1))</f>
        <v>0</v>
      </c>
      <c r="G1274" s="17" t="s">
        <v>1796</v>
      </c>
      <c r="H1274" s="109">
        <v>3.91083300745E-2</v>
      </c>
      <c r="I1274" s="110">
        <f>K1274+J1274+L1274</f>
        <v>57077</v>
      </c>
      <c r="J1274" s="39">
        <f>중기목록표!F17</f>
        <v>57077</v>
      </c>
      <c r="M1274" s="35" t="s">
        <v>1311</v>
      </c>
      <c r="N1274" s="35" t="s">
        <v>1247</v>
      </c>
      <c r="X1274" s="111" t="str">
        <f>중기목록표!B17&amp;" / "&amp;중기목록표!C17</f>
        <v>굴삭기(무한궤도) / 0.7㎥:할증120%</v>
      </c>
      <c r="Y1274" s="3" t="str">
        <f ca="1">HYPERLINK("#"&amp;중기목록표!J2&amp;"!A"&amp;ROW(중기목록표!A17),"X00270 →")</f>
        <v>X00270 →</v>
      </c>
    </row>
    <row r="1275" spans="1:25" ht="12.6" customHeight="1" x14ac:dyDescent="0.3">
      <c r="A1275" s="78"/>
      <c r="B1275" s="78"/>
      <c r="C1275" s="78"/>
      <c r="D1275" s="78"/>
      <c r="E1275" s="78"/>
      <c r="F1275" s="78"/>
      <c r="G1275" s="17" t="s">
        <v>1229</v>
      </c>
    </row>
    <row r="1276" spans="1:25" ht="12.6" customHeight="1" x14ac:dyDescent="0.3">
      <c r="A1276" s="68" t="s">
        <v>1313</v>
      </c>
      <c r="B1276" s="102" t="str">
        <f>" 재 료 비  :   "&amp;TEXT(I1276,"#,##0"&amp;IF(I1276&lt;&gt;INT(I1276),".###",""))&amp;" / Q  = "&amp;TEXT(C1276,"#,##0.0")&amp;""</f>
        <v xml:space="preserve"> 재 료 비  :   19,232 / Q  = 752.1</v>
      </c>
      <c r="C1276" s="104">
        <f>E1276+D1276+F1276</f>
        <v>752.1</v>
      </c>
      <c r="D1276" s="104">
        <f>IF(H1276=0,0,ROUNDDOWN(J1276*H1276,1))</f>
        <v>0</v>
      </c>
      <c r="E1276" s="104">
        <f>IF(H1276=0,0,ROUNDDOWN(K1276*H1276,1))</f>
        <v>752.1</v>
      </c>
      <c r="F1276" s="104">
        <f>IF(H1276=0,0,ROUNDDOWN(L1276*H1276,1))</f>
        <v>0</v>
      </c>
      <c r="G1276" s="17" t="s">
        <v>1797</v>
      </c>
      <c r="H1276" s="109">
        <v>3.91083300745E-2</v>
      </c>
      <c r="I1276" s="110">
        <f>K1276+J1276+L1276</f>
        <v>19232</v>
      </c>
      <c r="K1276" s="39">
        <f>중기목록표!G17</f>
        <v>19232</v>
      </c>
      <c r="M1276" s="35" t="s">
        <v>1311</v>
      </c>
      <c r="N1276" s="35" t="s">
        <v>1247</v>
      </c>
      <c r="X1276" s="111" t="str">
        <f>중기목록표!B17&amp;" / "&amp;중기목록표!C17</f>
        <v>굴삭기(무한궤도) / 0.7㎥:할증120%</v>
      </c>
      <c r="Y1276" s="3" t="str">
        <f ca="1">HYPERLINK("#"&amp;중기목록표!J2&amp;"!A"&amp;ROW(중기목록표!A17),"X00270 →")</f>
        <v>X00270 →</v>
      </c>
    </row>
    <row r="1277" spans="1:25" ht="12.6" customHeight="1" x14ac:dyDescent="0.3">
      <c r="A1277" s="78"/>
      <c r="B1277" s="78"/>
      <c r="C1277" s="78"/>
      <c r="D1277" s="78"/>
      <c r="E1277" s="78"/>
      <c r="F1277" s="78"/>
      <c r="G1277" s="17" t="s">
        <v>1229</v>
      </c>
    </row>
    <row r="1278" spans="1:25" ht="12.6" customHeight="1" x14ac:dyDescent="0.3">
      <c r="A1278" s="68" t="s">
        <v>1315</v>
      </c>
      <c r="B1278" s="102" t="str">
        <f>" 경    비  :   "&amp;TEXT(I1278,"#,##0"&amp;IF(I1278&lt;&gt;INT(I1278),".###",""))&amp;" / Q  = "&amp;TEXT(C1278,"#,##0.0")&amp;""</f>
        <v xml:space="preserve"> 경    비  :   27,685 / Q  = 1,082.7</v>
      </c>
      <c r="C1278" s="104">
        <f>E1278+D1278+F1278</f>
        <v>1082.7</v>
      </c>
      <c r="D1278" s="104">
        <f>IF(H1278=0,0,ROUNDDOWN(J1278*H1278,1))</f>
        <v>0</v>
      </c>
      <c r="E1278" s="104">
        <f>IF(H1278=0,0,ROUNDDOWN(K1278*H1278,1))</f>
        <v>0</v>
      </c>
      <c r="F1278" s="104">
        <f>IF(H1278=0,0,ROUNDDOWN(L1278*H1278,1))</f>
        <v>1082.7</v>
      </c>
      <c r="G1278" s="17" t="s">
        <v>1798</v>
      </c>
      <c r="H1278" s="109">
        <v>3.91083300745E-2</v>
      </c>
      <c r="I1278" s="110">
        <f>K1278+J1278+L1278</f>
        <v>27685</v>
      </c>
      <c r="L1278" s="39">
        <f>중기목록표!H17</f>
        <v>27685</v>
      </c>
      <c r="M1278" s="35" t="s">
        <v>1311</v>
      </c>
      <c r="N1278" s="35" t="s">
        <v>1247</v>
      </c>
      <c r="X1278" s="111" t="str">
        <f>중기목록표!B17&amp;" / "&amp;중기목록표!C17</f>
        <v>굴삭기(무한궤도) / 0.7㎥:할증120%</v>
      </c>
      <c r="Y1278" s="3" t="str">
        <f ca="1">HYPERLINK("#"&amp;중기목록표!J2&amp;"!A"&amp;ROW(중기목록표!A17),"X00270 →")</f>
        <v>X00270 →</v>
      </c>
    </row>
    <row r="1279" spans="1:25" ht="12.6" customHeight="1" x14ac:dyDescent="0.3">
      <c r="A1279" s="78"/>
      <c r="B1279" s="78"/>
      <c r="C1279" s="78"/>
      <c r="D1279" s="78"/>
      <c r="E1279" s="78"/>
      <c r="F1279" s="78"/>
      <c r="G1279" s="17" t="s">
        <v>1229</v>
      </c>
    </row>
    <row r="1280" spans="1:25" ht="12.6" customHeight="1" x14ac:dyDescent="0.3">
      <c r="A1280" s="68"/>
      <c r="B1280" s="77" t="s">
        <v>1246</v>
      </c>
      <c r="C1280" s="105">
        <f>E1280+D1280+F1280</f>
        <v>4066.8999999999996</v>
      </c>
      <c r="D1280" s="105">
        <f>SUMIF(N1260:N1279,M1280,D1260:D1279)</f>
        <v>2232.1</v>
      </c>
      <c r="E1280" s="105">
        <f>SUMIF(N1260:N1279,M1280,E1260:E1279)</f>
        <v>752.1</v>
      </c>
      <c r="F1280" s="105">
        <f>SUMIF(N1260:N1279,M1280,F1260:F1279)</f>
        <v>1082.7</v>
      </c>
      <c r="G1280" s="17" t="s">
        <v>1245</v>
      </c>
      <c r="M1280" s="35" t="s">
        <v>1247</v>
      </c>
      <c r="N1280" s="35" t="s">
        <v>1348</v>
      </c>
    </row>
    <row r="1281" spans="1:7" ht="12.6" customHeight="1" x14ac:dyDescent="0.3">
      <c r="A1281" s="78"/>
      <c r="B1281" s="78"/>
      <c r="C1281" s="103"/>
      <c r="D1281" s="103"/>
      <c r="E1281" s="103"/>
      <c r="F1281" s="103"/>
      <c r="G1281" s="17" t="s">
        <v>1229</v>
      </c>
    </row>
    <row r="1282" spans="1:7" ht="12.6" customHeight="1" x14ac:dyDescent="0.3">
      <c r="A1282" s="68"/>
      <c r="B1282" s="77" t="s">
        <v>1800</v>
      </c>
      <c r="C1282" s="78"/>
      <c r="D1282" s="78"/>
      <c r="E1282" s="78"/>
      <c r="F1282" s="78"/>
      <c r="G1282" s="17" t="s">
        <v>1799</v>
      </c>
    </row>
    <row r="1283" spans="1:7" ht="12.6" customHeight="1" x14ac:dyDescent="0.3">
      <c r="A1283" s="78"/>
      <c r="B1283" s="78"/>
      <c r="C1283" s="78"/>
      <c r="D1283" s="78"/>
      <c r="E1283" s="78"/>
      <c r="F1283" s="78"/>
      <c r="G1283" s="17" t="s">
        <v>1229</v>
      </c>
    </row>
    <row r="1284" spans="1:7" ht="12.6" customHeight="1" x14ac:dyDescent="0.3">
      <c r="A1284" s="68"/>
      <c r="B1284" s="77" t="s">
        <v>1802</v>
      </c>
      <c r="C1284" s="78"/>
      <c r="D1284" s="78"/>
      <c r="E1284" s="78"/>
      <c r="F1284" s="78"/>
      <c r="G1284" s="17" t="s">
        <v>1801</v>
      </c>
    </row>
    <row r="1285" spans="1:7" ht="12.6" customHeight="1" x14ac:dyDescent="0.3">
      <c r="A1285" s="78"/>
      <c r="B1285" s="78"/>
      <c r="C1285" s="78"/>
      <c r="D1285" s="78"/>
      <c r="E1285" s="78"/>
      <c r="F1285" s="78"/>
      <c r="G1285" s="17" t="s">
        <v>1229</v>
      </c>
    </row>
    <row r="1286" spans="1:7" ht="12.6" customHeight="1" x14ac:dyDescent="0.3">
      <c r="A1286" s="68"/>
      <c r="B1286" s="77" t="s">
        <v>1803</v>
      </c>
      <c r="C1286" s="78"/>
      <c r="D1286" s="78"/>
      <c r="E1286" s="78"/>
      <c r="F1286" s="78"/>
      <c r="G1286" s="17" t="s">
        <v>1758</v>
      </c>
    </row>
    <row r="1287" spans="1:7" ht="12.6" customHeight="1" x14ac:dyDescent="0.3">
      <c r="A1287" s="78"/>
      <c r="B1287" s="78"/>
      <c r="C1287" s="78"/>
      <c r="D1287" s="78"/>
      <c r="E1287" s="78"/>
      <c r="F1287" s="78"/>
      <c r="G1287" s="17" t="s">
        <v>1229</v>
      </c>
    </row>
    <row r="1288" spans="1:7" ht="12.6" customHeight="1" x14ac:dyDescent="0.3">
      <c r="A1288" s="68"/>
      <c r="B1288" s="77" t="s">
        <v>1805</v>
      </c>
      <c r="C1288" s="78"/>
      <c r="D1288" s="78"/>
      <c r="E1288" s="78"/>
      <c r="F1288" s="78"/>
      <c r="G1288" s="17" t="s">
        <v>1804</v>
      </c>
    </row>
    <row r="1289" spans="1:7" ht="12.6" customHeight="1" x14ac:dyDescent="0.3">
      <c r="A1289" s="78"/>
      <c r="B1289" s="78"/>
      <c r="C1289" s="78"/>
      <c r="D1289" s="78"/>
      <c r="E1289" s="78"/>
      <c r="F1289" s="78"/>
      <c r="G1289" s="17" t="s">
        <v>1229</v>
      </c>
    </row>
    <row r="1290" spans="1:7" ht="12.6" customHeight="1" x14ac:dyDescent="0.3">
      <c r="A1290" s="68"/>
      <c r="B1290" s="77" t="s">
        <v>1807</v>
      </c>
      <c r="C1290" s="78"/>
      <c r="D1290" s="78"/>
      <c r="E1290" s="78"/>
      <c r="F1290" s="78"/>
      <c r="G1290" s="17" t="s">
        <v>1806</v>
      </c>
    </row>
    <row r="1291" spans="1:7" ht="12.6" customHeight="1" x14ac:dyDescent="0.3">
      <c r="A1291" s="78"/>
      <c r="B1291" s="78"/>
      <c r="C1291" s="78"/>
      <c r="D1291" s="78"/>
      <c r="E1291" s="78"/>
      <c r="F1291" s="78"/>
      <c r="G1291" s="17" t="s">
        <v>1229</v>
      </c>
    </row>
    <row r="1292" spans="1:7" ht="12.6" customHeight="1" x14ac:dyDescent="0.3">
      <c r="A1292" s="68"/>
      <c r="B1292" s="77" t="s">
        <v>1765</v>
      </c>
      <c r="C1292" s="78"/>
      <c r="D1292" s="78"/>
      <c r="E1292" s="78"/>
      <c r="F1292" s="78"/>
      <c r="G1292" s="17" t="s">
        <v>1764</v>
      </c>
    </row>
    <row r="1293" spans="1:7" ht="12.6" customHeight="1" x14ac:dyDescent="0.3">
      <c r="A1293" s="78"/>
      <c r="B1293" s="78"/>
      <c r="C1293" s="78"/>
      <c r="D1293" s="78"/>
      <c r="E1293" s="78"/>
      <c r="F1293" s="78"/>
      <c r="G1293" s="17" t="s">
        <v>1229</v>
      </c>
    </row>
    <row r="1294" spans="1:7" ht="12.6" customHeight="1" x14ac:dyDescent="0.3">
      <c r="A1294" s="68"/>
      <c r="B1294" s="77" t="s">
        <v>1808</v>
      </c>
      <c r="C1294" s="78"/>
      <c r="D1294" s="78"/>
      <c r="E1294" s="78"/>
      <c r="F1294" s="78"/>
      <c r="G1294" s="17" t="s">
        <v>1766</v>
      </c>
    </row>
    <row r="1295" spans="1:7" ht="12.6" customHeight="1" x14ac:dyDescent="0.3">
      <c r="A1295" s="78"/>
      <c r="B1295" s="78"/>
      <c r="C1295" s="78"/>
      <c r="D1295" s="78"/>
      <c r="E1295" s="78"/>
      <c r="F1295" s="78"/>
      <c r="G1295" s="17" t="s">
        <v>1229</v>
      </c>
    </row>
    <row r="1296" spans="1:7" ht="12.6" customHeight="1" x14ac:dyDescent="0.3">
      <c r="A1296" s="68"/>
      <c r="B1296" s="77" t="s">
        <v>1809</v>
      </c>
      <c r="C1296" s="78"/>
      <c r="D1296" s="78"/>
      <c r="E1296" s="78"/>
      <c r="F1296" s="78"/>
      <c r="G1296" s="17" t="s">
        <v>1768</v>
      </c>
    </row>
    <row r="1297" spans="1:25" ht="12.6" customHeight="1" x14ac:dyDescent="0.3">
      <c r="A1297" s="78"/>
      <c r="B1297" s="78"/>
      <c r="C1297" s="78"/>
      <c r="D1297" s="78"/>
      <c r="E1297" s="78"/>
      <c r="F1297" s="78"/>
      <c r="G1297" s="17" t="s">
        <v>1229</v>
      </c>
    </row>
    <row r="1298" spans="1:25" ht="12.6" customHeight="1" x14ac:dyDescent="0.3">
      <c r="A1298" s="68" t="s">
        <v>1811</v>
      </c>
      <c r="B1298" s="102" t="str">
        <f>" 노 무 비  :   "&amp;TEXT(I1298,"#,##0"&amp;IF(I1298&lt;&gt;INT(I1298),".###",""))&amp;" / Q1  = "&amp;TEXT(C1298,"#,##0.0")&amp;""</f>
        <v xml:space="preserve"> 노 무 비  :   57,077 / Q1  = 2,802.0</v>
      </c>
      <c r="C1298" s="104">
        <f>E1298+D1298+F1298</f>
        <v>2802</v>
      </c>
      <c r="D1298" s="104">
        <f>IF(H1298=0,0,ROUNDDOWN(J1298*H1298,1))</f>
        <v>2802</v>
      </c>
      <c r="E1298" s="104">
        <f>IF(H1298=0,0,ROUNDDOWN(K1298*H1298,1))</f>
        <v>0</v>
      </c>
      <c r="F1298" s="104">
        <f>IF(H1298=0,0,ROUNDDOWN(L1298*H1298,1))</f>
        <v>0</v>
      </c>
      <c r="G1298" s="17" t="s">
        <v>1810</v>
      </c>
      <c r="H1298" s="109">
        <v>4.9091801669300002E-2</v>
      </c>
      <c r="I1298" s="110">
        <f>K1298+J1298+L1298</f>
        <v>57077</v>
      </c>
      <c r="J1298" s="39">
        <f>중기목록표!F19</f>
        <v>57077</v>
      </c>
      <c r="M1298" s="35" t="s">
        <v>1812</v>
      </c>
      <c r="N1298" s="35" t="s">
        <v>1247</v>
      </c>
      <c r="X1298" s="111" t="str">
        <f>중기목록표!B19&amp;" / "&amp;중기목록표!C19</f>
        <v>덤프트럭 / 15톤:할증125%</v>
      </c>
      <c r="Y1298" s="3" t="str">
        <f ca="1">HYPERLINK("#"&amp;중기목록표!J2&amp;"!A"&amp;ROW(중기목록표!A19),"X00275 →")</f>
        <v>X00275 →</v>
      </c>
    </row>
    <row r="1299" spans="1:25" ht="12.6" customHeight="1" x14ac:dyDescent="0.3">
      <c r="A1299" s="78"/>
      <c r="B1299" s="78"/>
      <c r="C1299" s="78"/>
      <c r="D1299" s="78"/>
      <c r="E1299" s="78"/>
      <c r="F1299" s="78"/>
      <c r="G1299" s="17" t="s">
        <v>1229</v>
      </c>
    </row>
    <row r="1300" spans="1:25" ht="12.6" customHeight="1" x14ac:dyDescent="0.3">
      <c r="A1300" s="68" t="s">
        <v>1814</v>
      </c>
      <c r="B1300" s="102" t="str">
        <f>" 재 료 비  :   "&amp;TEXT(I1300,"#,##0"&amp;IF(I1300&lt;&gt;INT(I1300),".###",""))&amp;" / Q1 *(Cm-t1)/Cm = "&amp;TEXT(C1300,"#,##0.0")&amp;""</f>
        <v xml:space="preserve"> 재 료 비  :   29,819 / Q1 *(Cm-t1)/Cm = 168.0</v>
      </c>
      <c r="C1300" s="104">
        <f>E1300+D1300+F1300</f>
        <v>168</v>
      </c>
      <c r="D1300" s="104">
        <f>IF(H1300=0,0,ROUNDDOWN(J1300*H1300,1))</f>
        <v>0</v>
      </c>
      <c r="E1300" s="104">
        <f>IF(H1300=0,0,ROUNDDOWN(K1300*H1300,1))</f>
        <v>168</v>
      </c>
      <c r="F1300" s="104">
        <f>IF(H1300=0,0,ROUNDDOWN(L1300*H1300,1))</f>
        <v>0</v>
      </c>
      <c r="G1300" s="17" t="s">
        <v>1813</v>
      </c>
      <c r="H1300" s="109">
        <v>5.6363067649999998E-3</v>
      </c>
      <c r="I1300" s="110">
        <f>K1300+J1300+L1300</f>
        <v>29819</v>
      </c>
      <c r="K1300" s="39">
        <f>중기목록표!G19</f>
        <v>29819</v>
      </c>
      <c r="M1300" s="35" t="s">
        <v>1812</v>
      </c>
      <c r="N1300" s="35" t="s">
        <v>1247</v>
      </c>
      <c r="X1300" s="111" t="str">
        <f>중기목록표!B19&amp;" / "&amp;중기목록표!C19</f>
        <v>덤프트럭 / 15톤:할증125%</v>
      </c>
      <c r="Y1300" s="3" t="str">
        <f ca="1">HYPERLINK("#"&amp;중기목록표!J2&amp;"!A"&amp;ROW(중기목록표!A19),"X00275 →")</f>
        <v>X00275 →</v>
      </c>
    </row>
    <row r="1301" spans="1:25" ht="12.6" customHeight="1" x14ac:dyDescent="0.3">
      <c r="A1301" s="78"/>
      <c r="B1301" s="78"/>
      <c r="C1301" s="78"/>
      <c r="D1301" s="78"/>
      <c r="E1301" s="78"/>
      <c r="F1301" s="78"/>
      <c r="G1301" s="17" t="s">
        <v>1229</v>
      </c>
    </row>
    <row r="1302" spans="1:25" ht="12.6" customHeight="1" x14ac:dyDescent="0.3">
      <c r="A1302" s="68" t="s">
        <v>1816</v>
      </c>
      <c r="B1302" s="102" t="str">
        <f>" 경    비  :   "&amp;TEXT(I1302,"#,##0"&amp;IF(I1302&lt;&gt;INT(I1302),".###",""))&amp;" / Q1  = "&amp;TEXT(C1302,"#,##0.0")&amp;""</f>
        <v xml:space="preserve"> 경    비  :   23,835 / Q1  = 1,170.1</v>
      </c>
      <c r="C1302" s="104">
        <f>E1302+D1302+F1302</f>
        <v>1170.0999999999999</v>
      </c>
      <c r="D1302" s="104">
        <f>IF(H1302=0,0,ROUNDDOWN(J1302*H1302,1))</f>
        <v>0</v>
      </c>
      <c r="E1302" s="104">
        <f>IF(H1302=0,0,ROUNDDOWN(K1302*H1302,1))</f>
        <v>0</v>
      </c>
      <c r="F1302" s="104">
        <f>IF(H1302=0,0,ROUNDDOWN(L1302*H1302,1))</f>
        <v>1170.0999999999999</v>
      </c>
      <c r="G1302" s="17" t="s">
        <v>1815</v>
      </c>
      <c r="H1302" s="109">
        <v>4.9091801669300002E-2</v>
      </c>
      <c r="I1302" s="110">
        <f>K1302+J1302+L1302</f>
        <v>23835</v>
      </c>
      <c r="L1302" s="39">
        <f>중기목록표!H19</f>
        <v>23835</v>
      </c>
      <c r="M1302" s="35" t="s">
        <v>1812</v>
      </c>
      <c r="N1302" s="35" t="s">
        <v>1247</v>
      </c>
      <c r="X1302" s="111" t="str">
        <f>중기목록표!B19&amp;" / "&amp;중기목록표!C19</f>
        <v>덤프트럭 / 15톤:할증125%</v>
      </c>
      <c r="Y1302" s="3" t="str">
        <f ca="1">HYPERLINK("#"&amp;중기목록표!J2&amp;"!A"&amp;ROW(중기목록표!A19),"X00275 →")</f>
        <v>X00275 →</v>
      </c>
    </row>
    <row r="1303" spans="1:25" ht="12.6" customHeight="1" x14ac:dyDescent="0.3">
      <c r="A1303" s="78"/>
      <c r="B1303" s="78"/>
      <c r="C1303" s="78"/>
      <c r="D1303" s="78"/>
      <c r="E1303" s="78"/>
      <c r="F1303" s="78"/>
      <c r="G1303" s="17" t="s">
        <v>1229</v>
      </c>
    </row>
    <row r="1304" spans="1:25" ht="12.6" customHeight="1" x14ac:dyDescent="0.3">
      <c r="A1304" s="68"/>
      <c r="B1304" s="77" t="s">
        <v>1246</v>
      </c>
      <c r="C1304" s="105">
        <f>E1304+D1304+F1304</f>
        <v>4140.1000000000004</v>
      </c>
      <c r="D1304" s="105">
        <f>SUMIF(N1281:N1303,M1304,D1281:D1303)</f>
        <v>2802</v>
      </c>
      <c r="E1304" s="105">
        <f>SUMIF(N1281:N1303,M1304,E1281:E1303)</f>
        <v>168</v>
      </c>
      <c r="F1304" s="105">
        <f>SUMIF(N1281:N1303,M1304,F1281:F1303)</f>
        <v>1170.0999999999999</v>
      </c>
      <c r="G1304" s="17" t="s">
        <v>1497</v>
      </c>
      <c r="M1304" s="35" t="s">
        <v>1247</v>
      </c>
      <c r="N1304" s="35" t="s">
        <v>1348</v>
      </c>
    </row>
    <row r="1305" spans="1:25" ht="12.6" customHeight="1" x14ac:dyDescent="0.3">
      <c r="A1305" s="78"/>
      <c r="B1305" s="78"/>
      <c r="C1305" s="103"/>
      <c r="D1305" s="103"/>
      <c r="E1305" s="103"/>
      <c r="F1305" s="103"/>
      <c r="G1305" s="17" t="s">
        <v>1229</v>
      </c>
    </row>
    <row r="1306" spans="1:25" ht="12.6" customHeight="1" x14ac:dyDescent="0.3">
      <c r="A1306" s="78"/>
      <c r="B1306" s="78"/>
      <c r="C1306" s="78"/>
      <c r="D1306" s="78"/>
      <c r="E1306" s="78"/>
      <c r="F1306" s="78"/>
      <c r="G1306" s="17" t="s">
        <v>1229</v>
      </c>
    </row>
    <row r="1307" spans="1:25" ht="12.6" customHeight="1" x14ac:dyDescent="0.3">
      <c r="A1307" s="68"/>
      <c r="B1307" s="77" t="s">
        <v>1778</v>
      </c>
      <c r="C1307" s="78"/>
      <c r="D1307" s="78"/>
      <c r="E1307" s="78"/>
      <c r="F1307" s="78"/>
      <c r="G1307" s="17" t="s">
        <v>1777</v>
      </c>
    </row>
    <row r="1308" spans="1:25" ht="12.6" customHeight="1" x14ac:dyDescent="0.3">
      <c r="A1308" s="78"/>
      <c r="B1308" s="78"/>
      <c r="C1308" s="78"/>
      <c r="D1308" s="78"/>
      <c r="E1308" s="78"/>
      <c r="F1308" s="78"/>
      <c r="G1308" s="17" t="s">
        <v>1229</v>
      </c>
    </row>
    <row r="1309" spans="1:25" ht="12.6" customHeight="1" x14ac:dyDescent="0.3">
      <c r="A1309" s="68"/>
      <c r="B1309" s="77" t="s">
        <v>1818</v>
      </c>
      <c r="C1309" s="78"/>
      <c r="D1309" s="78"/>
      <c r="E1309" s="78"/>
      <c r="F1309" s="78"/>
      <c r="G1309" s="17" t="s">
        <v>1817</v>
      </c>
    </row>
    <row r="1310" spans="1:25" ht="12.6" customHeight="1" x14ac:dyDescent="0.3">
      <c r="A1310" s="78"/>
      <c r="B1310" s="78"/>
      <c r="C1310" s="78"/>
      <c r="D1310" s="78"/>
      <c r="E1310" s="78"/>
      <c r="F1310" s="78"/>
      <c r="G1310" s="17" t="s">
        <v>1229</v>
      </c>
    </row>
    <row r="1311" spans="1:25" ht="12.6" customHeight="1" x14ac:dyDescent="0.3">
      <c r="A1311" s="68"/>
      <c r="B1311" s="77" t="s">
        <v>1820</v>
      </c>
      <c r="C1311" s="78"/>
      <c r="D1311" s="78"/>
      <c r="E1311" s="78"/>
      <c r="F1311" s="78"/>
      <c r="G1311" s="17" t="s">
        <v>1819</v>
      </c>
    </row>
    <row r="1312" spans="1:25" ht="12.6" customHeight="1" x14ac:dyDescent="0.3">
      <c r="A1312" s="78"/>
      <c r="B1312" s="78"/>
      <c r="C1312" s="78"/>
      <c r="D1312" s="78"/>
      <c r="E1312" s="78"/>
      <c r="F1312" s="78"/>
      <c r="G1312" s="17" t="s">
        <v>1229</v>
      </c>
    </row>
    <row r="1313" spans="1:25" ht="12.6" customHeight="1" x14ac:dyDescent="0.3">
      <c r="A1313" s="68"/>
      <c r="B1313" s="77" t="s">
        <v>1822</v>
      </c>
      <c r="C1313" s="78"/>
      <c r="D1313" s="78"/>
      <c r="E1313" s="78"/>
      <c r="F1313" s="78"/>
      <c r="G1313" s="17" t="s">
        <v>1821</v>
      </c>
    </row>
    <row r="1314" spans="1:25" ht="12.6" customHeight="1" x14ac:dyDescent="0.3">
      <c r="A1314" s="78"/>
      <c r="B1314" s="78"/>
      <c r="C1314" s="78"/>
      <c r="D1314" s="78"/>
      <c r="E1314" s="78"/>
      <c r="F1314" s="78"/>
      <c r="G1314" s="17" t="s">
        <v>1229</v>
      </c>
    </row>
    <row r="1315" spans="1:25" ht="12.6" customHeight="1" x14ac:dyDescent="0.3">
      <c r="A1315" s="68" t="s">
        <v>1310</v>
      </c>
      <c r="B1315" s="102" t="str">
        <f>" 노 무 비  :   "&amp;TEXT(I1315,"#,##0"&amp;IF(I1315&lt;&gt;INT(I1315),".###",""))&amp;" / Q3/ 3 = "&amp;TEXT(C1315,"#,##0.0")&amp;""</f>
        <v xml:space="preserve"> 노 무 비  :   57,077 / Q3/ 3 = 431.4</v>
      </c>
      <c r="C1315" s="104">
        <f>E1315+D1315+F1315</f>
        <v>431.4</v>
      </c>
      <c r="D1315" s="104">
        <f>IF(H1315=0,0,ROUNDDOWN(J1315*H1315,1))</f>
        <v>431.4</v>
      </c>
      <c r="E1315" s="104">
        <f>IF(H1315=0,0,ROUNDDOWN(K1315*H1315,1))</f>
        <v>0</v>
      </c>
      <c r="F1315" s="104">
        <f>IF(H1315=0,0,ROUNDDOWN(L1315*H1315,1))</f>
        <v>0</v>
      </c>
      <c r="G1315" s="17" t="s">
        <v>1823</v>
      </c>
      <c r="H1315" s="109">
        <v>7.5585789874000001E-3</v>
      </c>
      <c r="I1315" s="110">
        <f>K1315+J1315+L1315</f>
        <v>57077</v>
      </c>
      <c r="J1315" s="39">
        <f>중기목록표!F17</f>
        <v>57077</v>
      </c>
      <c r="M1315" s="35" t="s">
        <v>1311</v>
      </c>
      <c r="N1315" s="35" t="s">
        <v>1247</v>
      </c>
      <c r="X1315" s="111" t="str">
        <f>중기목록표!B17&amp;" / "&amp;중기목록표!C17</f>
        <v>굴삭기(무한궤도) / 0.7㎥:할증120%</v>
      </c>
      <c r="Y1315" s="3" t="str">
        <f ca="1">HYPERLINK("#"&amp;중기목록표!J2&amp;"!A"&amp;ROW(중기목록표!A17),"X00270 →")</f>
        <v>X00270 →</v>
      </c>
    </row>
    <row r="1316" spans="1:25" ht="12.6" customHeight="1" x14ac:dyDescent="0.3">
      <c r="A1316" s="78"/>
      <c r="B1316" s="78"/>
      <c r="C1316" s="78"/>
      <c r="D1316" s="78"/>
      <c r="E1316" s="78"/>
      <c r="F1316" s="78"/>
      <c r="G1316" s="17" t="s">
        <v>1229</v>
      </c>
    </row>
    <row r="1317" spans="1:25" ht="12.6" customHeight="1" x14ac:dyDescent="0.3">
      <c r="A1317" s="68" t="s">
        <v>1313</v>
      </c>
      <c r="B1317" s="102" t="str">
        <f>" 재 료 비  :   "&amp;TEXT(I1317,"#,##0"&amp;IF(I1317&lt;&gt;INT(I1317),".###",""))&amp;" / Q3/ 3 = "&amp;TEXT(C1317,"#,##0.0")&amp;""</f>
        <v xml:space="preserve"> 재 료 비  :   19,232 / Q3/ 3 = 145.3</v>
      </c>
      <c r="C1317" s="104">
        <f>E1317+D1317+F1317</f>
        <v>145.30000000000001</v>
      </c>
      <c r="D1317" s="104">
        <f>IF(H1317=0,0,ROUNDDOWN(J1317*H1317,1))</f>
        <v>0</v>
      </c>
      <c r="E1317" s="104">
        <f>IF(H1317=0,0,ROUNDDOWN(K1317*H1317,1))</f>
        <v>145.30000000000001</v>
      </c>
      <c r="F1317" s="104">
        <f>IF(H1317=0,0,ROUNDDOWN(L1317*H1317,1))</f>
        <v>0</v>
      </c>
      <c r="G1317" s="17" t="s">
        <v>1824</v>
      </c>
      <c r="H1317" s="109">
        <v>7.5585789874000001E-3</v>
      </c>
      <c r="I1317" s="110">
        <f>K1317+J1317+L1317</f>
        <v>19232</v>
      </c>
      <c r="K1317" s="39">
        <f>중기목록표!G17</f>
        <v>19232</v>
      </c>
      <c r="M1317" s="35" t="s">
        <v>1311</v>
      </c>
      <c r="N1317" s="35" t="s">
        <v>1247</v>
      </c>
      <c r="X1317" s="111" t="str">
        <f>중기목록표!B17&amp;" / "&amp;중기목록표!C17</f>
        <v>굴삭기(무한궤도) / 0.7㎥:할증120%</v>
      </c>
      <c r="Y1317" s="3" t="str">
        <f ca="1">HYPERLINK("#"&amp;중기목록표!J2&amp;"!A"&amp;ROW(중기목록표!A17),"X00270 →")</f>
        <v>X00270 →</v>
      </c>
    </row>
    <row r="1318" spans="1:25" ht="12.6" customHeight="1" x14ac:dyDescent="0.3">
      <c r="A1318" s="78"/>
      <c r="B1318" s="78"/>
      <c r="C1318" s="78"/>
      <c r="D1318" s="78"/>
      <c r="E1318" s="78"/>
      <c r="F1318" s="78"/>
      <c r="G1318" s="17" t="s">
        <v>1229</v>
      </c>
    </row>
    <row r="1319" spans="1:25" ht="12.6" customHeight="1" x14ac:dyDescent="0.3">
      <c r="A1319" s="68" t="s">
        <v>1315</v>
      </c>
      <c r="B1319" s="102" t="str">
        <f>" 경    비  :   "&amp;TEXT(I1319,"#,##0"&amp;IF(I1319&lt;&gt;INT(I1319),".###",""))&amp;" / Q3/ 3 = "&amp;TEXT(C1319,"#,##0.0")&amp;""</f>
        <v xml:space="preserve"> 경    비  :   27,685 / Q3/ 3 = 209.2</v>
      </c>
      <c r="C1319" s="104">
        <f>E1319+D1319+F1319</f>
        <v>209.2</v>
      </c>
      <c r="D1319" s="104">
        <f>IF(H1319=0,0,ROUNDDOWN(J1319*H1319,1))</f>
        <v>0</v>
      </c>
      <c r="E1319" s="104">
        <f>IF(H1319=0,0,ROUNDDOWN(K1319*H1319,1))</f>
        <v>0</v>
      </c>
      <c r="F1319" s="104">
        <f>IF(H1319=0,0,ROUNDDOWN(L1319*H1319,1))</f>
        <v>209.2</v>
      </c>
      <c r="G1319" s="17" t="s">
        <v>1825</v>
      </c>
      <c r="H1319" s="109">
        <v>7.5585789874000001E-3</v>
      </c>
      <c r="I1319" s="110">
        <f>K1319+J1319+L1319</f>
        <v>27685</v>
      </c>
      <c r="L1319" s="39">
        <f>중기목록표!H17</f>
        <v>27685</v>
      </c>
      <c r="M1319" s="35" t="s">
        <v>1311</v>
      </c>
      <c r="N1319" s="35" t="s">
        <v>1247</v>
      </c>
      <c r="X1319" s="111" t="str">
        <f>중기목록표!B17&amp;" / "&amp;중기목록표!C17</f>
        <v>굴삭기(무한궤도) / 0.7㎥:할증120%</v>
      </c>
      <c r="Y1319" s="3" t="str">
        <f ca="1">HYPERLINK("#"&amp;중기목록표!J2&amp;"!A"&amp;ROW(중기목록표!A17),"X00270 →")</f>
        <v>X00270 →</v>
      </c>
    </row>
    <row r="1320" spans="1:25" ht="12.6" customHeight="1" x14ac:dyDescent="0.3">
      <c r="A1320" s="78"/>
      <c r="B1320" s="78"/>
      <c r="C1320" s="78"/>
      <c r="D1320" s="78"/>
      <c r="E1320" s="78"/>
      <c r="F1320" s="78"/>
      <c r="G1320" s="17" t="s">
        <v>1229</v>
      </c>
    </row>
    <row r="1321" spans="1:25" ht="12.6" customHeight="1" x14ac:dyDescent="0.3">
      <c r="A1321" s="68"/>
      <c r="B1321" s="77" t="s">
        <v>1246</v>
      </c>
      <c r="C1321" s="105">
        <f>E1321+D1321+F1321</f>
        <v>785.90000000000009</v>
      </c>
      <c r="D1321" s="105">
        <f>SUMIF(N1305:N1320,M1321,D1305:D1320)</f>
        <v>431.4</v>
      </c>
      <c r="E1321" s="105">
        <f>SUMIF(N1305:N1320,M1321,E1305:E1320)</f>
        <v>145.30000000000001</v>
      </c>
      <c r="F1321" s="105">
        <f>SUMIF(N1305:N1320,M1321,F1305:F1320)</f>
        <v>209.2</v>
      </c>
      <c r="G1321" s="17" t="s">
        <v>1245</v>
      </c>
      <c r="M1321" s="35" t="s">
        <v>1247</v>
      </c>
      <c r="N1321" s="35" t="s">
        <v>1348</v>
      </c>
    </row>
    <row r="1322" spans="1:25" ht="12.6" customHeight="1" x14ac:dyDescent="0.3">
      <c r="A1322" s="78"/>
      <c r="B1322" s="78"/>
      <c r="C1322" s="103"/>
      <c r="D1322" s="103"/>
      <c r="E1322" s="103"/>
      <c r="F1322" s="103"/>
      <c r="G1322" s="17" t="s">
        <v>1229</v>
      </c>
    </row>
    <row r="1323" spans="1:25" ht="12.6" customHeight="1" x14ac:dyDescent="0.3">
      <c r="A1323" s="68"/>
      <c r="B1323" s="77" t="s">
        <v>1101</v>
      </c>
      <c r="C1323" s="105">
        <f>E1323+D1323+F1323</f>
        <v>8992.9</v>
      </c>
      <c r="D1323" s="105">
        <f>SUMIF(N1260:N1322,M1323,D1260:D1322)</f>
        <v>5465.5</v>
      </c>
      <c r="E1323" s="105">
        <f>SUMIF(N1260:N1322,M1323,E1260:E1322)</f>
        <v>1065.4000000000001</v>
      </c>
      <c r="F1323" s="105">
        <f>SUMIF(N1260:N1322,M1323,F1260:F1322)</f>
        <v>2462</v>
      </c>
      <c r="G1323" s="17" t="s">
        <v>1347</v>
      </c>
      <c r="M1323" s="35" t="s">
        <v>1348</v>
      </c>
      <c r="N1323" s="35" t="s">
        <v>1011</v>
      </c>
    </row>
    <row r="1324" spans="1:25" ht="12.6" customHeight="1" x14ac:dyDescent="0.3">
      <c r="A1324" s="56"/>
      <c r="B1324" s="56"/>
      <c r="C1324" s="88"/>
      <c r="D1324" s="88"/>
      <c r="E1324" s="88"/>
      <c r="F1324" s="88"/>
    </row>
    <row r="1325" spans="1:25" ht="12.6" customHeight="1" x14ac:dyDescent="0.3">
      <c r="A1325" s="143" t="s">
        <v>1101</v>
      </c>
      <c r="B1325" s="144"/>
      <c r="C1325" s="54">
        <f>E1325+D1325+F1325</f>
        <v>8992</v>
      </c>
      <c r="D1325" s="52">
        <f>ROUNDDOWN(SUMIF(N1260:N1323,M1325,D1260:D1323),0)</f>
        <v>5465</v>
      </c>
      <c r="E1325" s="64">
        <f>ROUNDDOWN(SUMIF(N1260:N1323,M1325,E1260:E1323),0)</f>
        <v>1065</v>
      </c>
      <c r="F1325" s="54">
        <f>ROUNDDOWN(SUMIF(N1260:N1323,M1325,F1260:F1323),0)</f>
        <v>2462</v>
      </c>
      <c r="M1325" s="35" t="s">
        <v>1011</v>
      </c>
      <c r="N1325" s="35" t="s">
        <v>1102</v>
      </c>
    </row>
    <row r="1326" spans="1:25" ht="12.6" customHeight="1" x14ac:dyDescent="0.3">
      <c r="A1326" s="143" t="s">
        <v>1103</v>
      </c>
      <c r="B1326" s="144"/>
      <c r="C1326" s="54">
        <f>E1326+D1326+F1326</f>
        <v>7889</v>
      </c>
      <c r="D1326" s="52">
        <f>ROUNDDOWN(D1325*H1326/100,0)</f>
        <v>4795</v>
      </c>
      <c r="E1326" s="64">
        <f>ROUNDDOWN(E1325*H1326/100,0)</f>
        <v>934</v>
      </c>
      <c r="F1326" s="54">
        <f>ROUNDDOWN(F1325*H1326/100,0)</f>
        <v>2160</v>
      </c>
      <c r="H1326" s="37">
        <v>87.745000000000005</v>
      </c>
      <c r="M1326" s="35" t="s">
        <v>1102</v>
      </c>
    </row>
    <row r="1327" spans="1:25" ht="12.6" customHeight="1" x14ac:dyDescent="0.3">
      <c r="A1327" s="100" t="s">
        <v>238</v>
      </c>
      <c r="B1327" s="101" t="s">
        <v>235</v>
      </c>
      <c r="C1327" s="150">
        <f>C1360</f>
        <v>1171</v>
      </c>
      <c r="D1327" s="150">
        <f>D1360</f>
        <v>644</v>
      </c>
      <c r="E1327" s="150">
        <f>E1360</f>
        <v>216</v>
      </c>
      <c r="F1327" s="150">
        <f>F1360</f>
        <v>311</v>
      </c>
      <c r="G1327" s="97" t="str">
        <f>HYPERLINK("#G"&amp;ROW(G1346),"_x0005_`BDCOD|D01485_x0007_`POSS|"&amp;ROW(G1329)&amp;"_x0007_`POSE|"&amp;ROW(G1346)&amp;"_x0007_`")</f>
        <v>_x0005_`BDCOD|D01485_x0007_`POSS|1329_x0007_`POSE|1346_x0007_`</v>
      </c>
    </row>
    <row r="1328" spans="1:25" ht="12.6" customHeight="1" x14ac:dyDescent="0.3">
      <c r="A1328" s="83"/>
      <c r="B1328" s="101" t="s">
        <v>234</v>
      </c>
      <c r="C1328" s="139"/>
      <c r="D1328" s="139"/>
      <c r="E1328" s="139"/>
      <c r="F1328" s="139"/>
      <c r="M1328" s="35" t="s">
        <v>238</v>
      </c>
    </row>
    <row r="1329" spans="1:25" ht="12.6" customHeight="1" x14ac:dyDescent="0.3">
      <c r="A1329" s="78"/>
      <c r="B1329" s="78"/>
      <c r="C1329" s="103"/>
      <c r="D1329" s="103"/>
      <c r="E1329" s="103"/>
      <c r="F1329" s="103"/>
      <c r="G1329" s="17" t="s">
        <v>1229</v>
      </c>
    </row>
    <row r="1330" spans="1:25" ht="12.6" customHeight="1" x14ac:dyDescent="0.3">
      <c r="A1330" s="68"/>
      <c r="B1330" s="77" t="s">
        <v>1827</v>
      </c>
      <c r="C1330" s="78"/>
      <c r="D1330" s="78"/>
      <c r="E1330" s="78"/>
      <c r="F1330" s="78"/>
      <c r="G1330" s="17" t="s">
        <v>1826</v>
      </c>
    </row>
    <row r="1331" spans="1:25" ht="12.6" customHeight="1" x14ac:dyDescent="0.3">
      <c r="A1331" s="78"/>
      <c r="B1331" s="78"/>
      <c r="C1331" s="78"/>
      <c r="D1331" s="78"/>
      <c r="E1331" s="78"/>
      <c r="F1331" s="78"/>
      <c r="G1331" s="17" t="s">
        <v>1229</v>
      </c>
    </row>
    <row r="1332" spans="1:25" ht="12.6" customHeight="1" x14ac:dyDescent="0.3">
      <c r="A1332" s="68"/>
      <c r="B1332" s="77" t="s">
        <v>1829</v>
      </c>
      <c r="C1332" s="78"/>
      <c r="D1332" s="78"/>
      <c r="E1332" s="78"/>
      <c r="F1332" s="78"/>
      <c r="G1332" s="17" t="s">
        <v>1828</v>
      </c>
    </row>
    <row r="1333" spans="1:25" ht="12.6" customHeight="1" x14ac:dyDescent="0.3">
      <c r="A1333" s="78"/>
      <c r="B1333" s="78"/>
      <c r="C1333" s="78"/>
      <c r="D1333" s="78"/>
      <c r="E1333" s="78"/>
      <c r="F1333" s="78"/>
      <c r="G1333" s="17" t="s">
        <v>1229</v>
      </c>
    </row>
    <row r="1334" spans="1:25" ht="12.6" customHeight="1" x14ac:dyDescent="0.3">
      <c r="A1334" s="78"/>
      <c r="B1334" s="78"/>
      <c r="C1334" s="78"/>
      <c r="D1334" s="78"/>
      <c r="E1334" s="78"/>
      <c r="F1334" s="78"/>
      <c r="G1334" s="17" t="s">
        <v>1229</v>
      </c>
    </row>
    <row r="1335" spans="1:25" ht="12.6" customHeight="1" x14ac:dyDescent="0.3">
      <c r="A1335" s="68"/>
      <c r="B1335" s="77" t="s">
        <v>1831</v>
      </c>
      <c r="C1335" s="78"/>
      <c r="D1335" s="78"/>
      <c r="E1335" s="78"/>
      <c r="F1335" s="78"/>
      <c r="G1335" s="17" t="s">
        <v>1830</v>
      </c>
    </row>
    <row r="1336" spans="1:25" ht="12.6" customHeight="1" x14ac:dyDescent="0.3">
      <c r="A1336" s="78"/>
      <c r="B1336" s="78"/>
      <c r="C1336" s="78"/>
      <c r="D1336" s="78"/>
      <c r="E1336" s="78"/>
      <c r="F1336" s="78"/>
      <c r="G1336" s="17" t="s">
        <v>1229</v>
      </c>
    </row>
    <row r="1337" spans="1:25" ht="12.6" customHeight="1" x14ac:dyDescent="0.3">
      <c r="A1337" s="78"/>
      <c r="B1337" s="78"/>
      <c r="C1337" s="78"/>
      <c r="D1337" s="78"/>
      <c r="E1337" s="78"/>
      <c r="F1337" s="78"/>
      <c r="G1337" s="17" t="s">
        <v>1229</v>
      </c>
    </row>
    <row r="1338" spans="1:25" ht="12.6" customHeight="1" x14ac:dyDescent="0.3">
      <c r="A1338" s="68" t="s">
        <v>1270</v>
      </c>
      <c r="B1338" s="102" t="str">
        <f>"  노 무 비  :  "&amp;TEXT(I1338,"#,##0"&amp;IF(I1338&lt;&gt;INT(I1338),".###",""))&amp;" / Q   = "&amp;TEXT(C1338,"#,##0.0")&amp;""</f>
        <v xml:space="preserve">  노 무 비  :  57,077 / Q   = 734.5</v>
      </c>
      <c r="C1338" s="104">
        <f>E1338+D1338+F1338</f>
        <v>734.5</v>
      </c>
      <c r="D1338" s="104">
        <f>IF(H1338=0,0,ROUNDDOWN(J1338*H1338,1))</f>
        <v>734.5</v>
      </c>
      <c r="E1338" s="104">
        <f>IF(H1338=0,0,ROUNDDOWN(K1338*H1338,1))</f>
        <v>0</v>
      </c>
      <c r="F1338" s="104">
        <f>IF(H1338=0,0,ROUNDDOWN(L1338*H1338,1))</f>
        <v>0</v>
      </c>
      <c r="G1338" s="17" t="s">
        <v>1832</v>
      </c>
      <c r="H1338" s="109">
        <v>1.2870012870200001E-2</v>
      </c>
      <c r="I1338" s="110">
        <f>K1338+J1338+L1338</f>
        <v>57077</v>
      </c>
      <c r="J1338" s="39">
        <f>중기목록표!F8</f>
        <v>57077</v>
      </c>
      <c r="M1338" s="35" t="s">
        <v>1271</v>
      </c>
      <c r="N1338" s="35" t="s">
        <v>1247</v>
      </c>
      <c r="X1338" s="111" t="str">
        <f>중기목록표!B8&amp;" / "&amp;중기목록표!C8</f>
        <v>굴삭기(무한궤도) / 0.7㎥</v>
      </c>
      <c r="Y1338" s="3" t="str">
        <f ca="1">HYPERLINK("#"&amp;중기목록표!J2&amp;"!A"&amp;ROW(중기목록표!A8),"X00022 →")</f>
        <v>X00022 →</v>
      </c>
    </row>
    <row r="1339" spans="1:25" ht="12.6" customHeight="1" x14ac:dyDescent="0.3">
      <c r="A1339" s="78"/>
      <c r="B1339" s="78"/>
      <c r="C1339" s="78"/>
      <c r="D1339" s="78"/>
      <c r="E1339" s="78"/>
      <c r="F1339" s="78"/>
      <c r="G1339" s="17" t="s">
        <v>1229</v>
      </c>
    </row>
    <row r="1340" spans="1:25" ht="12.6" customHeight="1" x14ac:dyDescent="0.3">
      <c r="A1340" s="68" t="s">
        <v>1273</v>
      </c>
      <c r="B1340" s="102" t="str">
        <f>"  재 료 비  :  "&amp;TEXT(I1340,"#,##0"&amp;IF(I1340&lt;&gt;INT(I1340),".###",""))&amp;" / Q    = "&amp;TEXT(C1340,"#,##0.0")&amp;""</f>
        <v xml:space="preserve">  재 료 비  :  19,232 / Q    = 247.5</v>
      </c>
      <c r="C1340" s="104">
        <f>E1340+D1340+F1340</f>
        <v>247.5</v>
      </c>
      <c r="D1340" s="104">
        <f>IF(H1340=0,0,ROUNDDOWN(J1340*H1340,1))</f>
        <v>0</v>
      </c>
      <c r="E1340" s="104">
        <f>IF(H1340=0,0,ROUNDDOWN(K1340*H1340,1))</f>
        <v>247.5</v>
      </c>
      <c r="F1340" s="104">
        <f>IF(H1340=0,0,ROUNDDOWN(L1340*H1340,1))</f>
        <v>0</v>
      </c>
      <c r="G1340" s="17" t="s">
        <v>1833</v>
      </c>
      <c r="H1340" s="109">
        <v>1.2870012870200001E-2</v>
      </c>
      <c r="I1340" s="110">
        <f>K1340+J1340+L1340</f>
        <v>19232</v>
      </c>
      <c r="K1340" s="39">
        <f>중기목록표!G8</f>
        <v>19232</v>
      </c>
      <c r="M1340" s="35" t="s">
        <v>1271</v>
      </c>
      <c r="N1340" s="35" t="s">
        <v>1247</v>
      </c>
      <c r="X1340" s="111" t="str">
        <f>중기목록표!B8&amp;" / "&amp;중기목록표!C8</f>
        <v>굴삭기(무한궤도) / 0.7㎥</v>
      </c>
      <c r="Y1340" s="3" t="str">
        <f ca="1">HYPERLINK("#"&amp;중기목록표!J2&amp;"!A"&amp;ROW(중기목록표!A8),"X00022 →")</f>
        <v>X00022 →</v>
      </c>
    </row>
    <row r="1341" spans="1:25" ht="12.6" customHeight="1" x14ac:dyDescent="0.3">
      <c r="A1341" s="78"/>
      <c r="B1341" s="78"/>
      <c r="C1341" s="78"/>
      <c r="D1341" s="78"/>
      <c r="E1341" s="78"/>
      <c r="F1341" s="78"/>
      <c r="G1341" s="17" t="s">
        <v>1229</v>
      </c>
    </row>
    <row r="1342" spans="1:25" ht="12.6" customHeight="1" x14ac:dyDescent="0.3">
      <c r="A1342" s="68" t="s">
        <v>1275</v>
      </c>
      <c r="B1342" s="102" t="str">
        <f>"  경    비  :  "&amp;TEXT(I1342,"#,##0"&amp;IF(I1342&lt;&gt;INT(I1342),".###",""))&amp;" / Q    = "&amp;TEXT(C1342,"#,##0.0")&amp;""</f>
        <v xml:space="preserve">  경    비  :  24,001 / Q    = 308.8</v>
      </c>
      <c r="C1342" s="104">
        <f>E1342+D1342+F1342</f>
        <v>308.8</v>
      </c>
      <c r="D1342" s="104">
        <f>IF(H1342=0,0,ROUNDDOWN(J1342*H1342,1))</f>
        <v>0</v>
      </c>
      <c r="E1342" s="104">
        <f>IF(H1342=0,0,ROUNDDOWN(K1342*H1342,1))</f>
        <v>0</v>
      </c>
      <c r="F1342" s="104">
        <f>IF(H1342=0,0,ROUNDDOWN(L1342*H1342,1))</f>
        <v>308.8</v>
      </c>
      <c r="G1342" s="17" t="s">
        <v>1834</v>
      </c>
      <c r="H1342" s="109">
        <v>1.2870012870200001E-2</v>
      </c>
      <c r="I1342" s="110">
        <f>K1342+J1342+L1342</f>
        <v>24001</v>
      </c>
      <c r="L1342" s="39">
        <f>중기목록표!H8</f>
        <v>24001</v>
      </c>
      <c r="M1342" s="35" t="s">
        <v>1271</v>
      </c>
      <c r="N1342" s="35" t="s">
        <v>1247</v>
      </c>
      <c r="X1342" s="111" t="str">
        <f>중기목록표!B8&amp;" / "&amp;중기목록표!C8</f>
        <v>굴삭기(무한궤도) / 0.7㎥</v>
      </c>
      <c r="Y1342" s="3" t="str">
        <f ca="1">HYPERLINK("#"&amp;중기목록표!J2&amp;"!A"&amp;ROW(중기목록표!A8),"X00022 →")</f>
        <v>X00022 →</v>
      </c>
    </row>
    <row r="1343" spans="1:25" ht="12.6" customHeight="1" x14ac:dyDescent="0.3">
      <c r="A1343" s="78"/>
      <c r="B1343" s="78"/>
      <c r="C1343" s="78"/>
      <c r="D1343" s="78"/>
      <c r="E1343" s="78"/>
      <c r="F1343" s="78"/>
      <c r="G1343" s="17" t="s">
        <v>1229</v>
      </c>
    </row>
    <row r="1344" spans="1:25" ht="12.6" customHeight="1" x14ac:dyDescent="0.3">
      <c r="A1344" s="68" t="s">
        <v>1836</v>
      </c>
      <c r="B1344" s="102" t="str">
        <f>"               "&amp;TEXT(I1344,"#,##0"&amp;IF(I1344&lt;&gt;INT(I1344),".###",""))&amp;" / Q    = "&amp;TEXT(C1344,"#,##0.0")&amp;""</f>
        <v xml:space="preserve">               3,635 / Q    = 46.7</v>
      </c>
      <c r="C1344" s="104">
        <f>E1344+D1344+F1344</f>
        <v>46.7</v>
      </c>
      <c r="D1344" s="104">
        <f>IF(H1344=0,0,ROUNDDOWN(J1344*H1344,1))</f>
        <v>0</v>
      </c>
      <c r="E1344" s="104">
        <f>IF(H1344=0,0,ROUNDDOWN(K1344*H1344,1))</f>
        <v>0</v>
      </c>
      <c r="F1344" s="104">
        <f>IF(H1344=0,0,ROUNDDOWN(L1344*H1344,1))</f>
        <v>46.7</v>
      </c>
      <c r="G1344" s="17" t="s">
        <v>1835</v>
      </c>
      <c r="H1344" s="109">
        <v>1.2870012870200001E-2</v>
      </c>
      <c r="I1344" s="110">
        <f>K1344+J1344+L1344</f>
        <v>3635</v>
      </c>
      <c r="L1344" s="39">
        <f>중기목록표!H10</f>
        <v>3635</v>
      </c>
      <c r="M1344" s="35" t="s">
        <v>1837</v>
      </c>
      <c r="N1344" s="35" t="s">
        <v>1247</v>
      </c>
      <c r="X1344" s="111" t="str">
        <f>중기목록표!B10&amp;" / "&amp;중기목록표!C10</f>
        <v>유압식 진동콤팩터(굴삭기 부착용) / 0.7㎥</v>
      </c>
      <c r="Y1344" s="3" t="str">
        <f ca="1">HYPERLINK("#"&amp;중기목록표!J2&amp;"!A"&amp;ROW(중기목록표!A10),"X00032 →")</f>
        <v>X00032 →</v>
      </c>
    </row>
    <row r="1345" spans="1:14" ht="12.6" customHeight="1" x14ac:dyDescent="0.3">
      <c r="A1345" s="78"/>
      <c r="B1345" s="78"/>
      <c r="C1345" s="78"/>
      <c r="D1345" s="78"/>
      <c r="E1345" s="78"/>
      <c r="F1345" s="78"/>
      <c r="G1345" s="17" t="s">
        <v>1229</v>
      </c>
    </row>
    <row r="1346" spans="1:14" ht="12.6" customHeight="1" x14ac:dyDescent="0.3">
      <c r="A1346" s="68"/>
      <c r="B1346" s="77" t="s">
        <v>1246</v>
      </c>
      <c r="C1346" s="105">
        <f>E1346+D1346+F1346</f>
        <v>1337.5</v>
      </c>
      <c r="D1346" s="105">
        <f>SUMIF(N1329:N1345,M1346,D1329:D1345)</f>
        <v>734.5</v>
      </c>
      <c r="E1346" s="105">
        <f>SUMIF(N1329:N1345,M1346,E1329:E1345)</f>
        <v>247.5</v>
      </c>
      <c r="F1346" s="105">
        <f>SUMIF(N1329:N1345,M1346,F1329:F1345)</f>
        <v>355.5</v>
      </c>
      <c r="G1346" s="17" t="s">
        <v>1245</v>
      </c>
      <c r="M1346" s="35" t="s">
        <v>1247</v>
      </c>
      <c r="N1346" s="35" t="s">
        <v>1011</v>
      </c>
    </row>
    <row r="1347" spans="1:14" ht="12.6" customHeight="1" x14ac:dyDescent="0.3">
      <c r="A1347" s="78"/>
      <c r="B1347" s="78"/>
      <c r="C1347" s="103"/>
      <c r="D1347" s="103"/>
      <c r="E1347" s="103"/>
      <c r="F1347" s="103"/>
    </row>
    <row r="1348" spans="1:14" ht="12.6" customHeight="1" x14ac:dyDescent="0.3">
      <c r="A1348" s="78"/>
      <c r="B1348" s="78"/>
      <c r="C1348" s="78"/>
      <c r="D1348" s="78"/>
      <c r="E1348" s="78"/>
      <c r="F1348" s="78"/>
    </row>
    <row r="1349" spans="1:14" ht="12.6" customHeight="1" x14ac:dyDescent="0.3">
      <c r="A1349" s="78"/>
      <c r="B1349" s="78"/>
      <c r="C1349" s="78"/>
      <c r="D1349" s="78"/>
      <c r="E1349" s="78"/>
      <c r="F1349" s="78"/>
    </row>
    <row r="1350" spans="1:14" ht="12.6" customHeight="1" x14ac:dyDescent="0.3">
      <c r="A1350" s="78"/>
      <c r="B1350" s="78"/>
      <c r="C1350" s="78"/>
      <c r="D1350" s="78"/>
      <c r="E1350" s="78"/>
      <c r="F1350" s="78"/>
    </row>
    <row r="1351" spans="1:14" ht="12.6" customHeight="1" x14ac:dyDescent="0.3">
      <c r="A1351" s="78"/>
      <c r="B1351" s="78"/>
      <c r="C1351" s="78"/>
      <c r="D1351" s="78"/>
      <c r="E1351" s="78"/>
      <c r="F1351" s="78"/>
    </row>
    <row r="1352" spans="1:14" ht="12.6" customHeight="1" x14ac:dyDescent="0.3">
      <c r="A1352" s="78"/>
      <c r="B1352" s="78"/>
      <c r="C1352" s="78"/>
      <c r="D1352" s="78"/>
      <c r="E1352" s="78"/>
      <c r="F1352" s="78"/>
    </row>
    <row r="1353" spans="1:14" ht="12.6" customHeight="1" x14ac:dyDescent="0.3">
      <c r="A1353" s="78"/>
      <c r="B1353" s="78"/>
      <c r="C1353" s="78"/>
      <c r="D1353" s="78"/>
      <c r="E1353" s="78"/>
      <c r="F1353" s="78"/>
    </row>
    <row r="1354" spans="1:14" ht="12.6" customHeight="1" x14ac:dyDescent="0.3">
      <c r="A1354" s="78"/>
      <c r="B1354" s="78"/>
      <c r="C1354" s="78"/>
      <c r="D1354" s="78"/>
      <c r="E1354" s="78"/>
      <c r="F1354" s="78"/>
    </row>
    <row r="1355" spans="1:14" ht="12.6" customHeight="1" x14ac:dyDescent="0.3">
      <c r="A1355" s="78"/>
      <c r="B1355" s="78"/>
      <c r="C1355" s="78"/>
      <c r="D1355" s="78"/>
      <c r="E1355" s="78"/>
      <c r="F1355" s="78"/>
    </row>
    <row r="1356" spans="1:14" ht="12.6" customHeight="1" x14ac:dyDescent="0.3">
      <c r="A1356" s="78"/>
      <c r="B1356" s="78"/>
      <c r="C1356" s="78"/>
      <c r="D1356" s="78"/>
      <c r="E1356" s="78"/>
      <c r="F1356" s="78"/>
    </row>
    <row r="1357" spans="1:14" ht="12.6" customHeight="1" x14ac:dyDescent="0.3">
      <c r="A1357" s="78"/>
      <c r="B1357" s="78"/>
      <c r="C1357" s="78"/>
      <c r="D1357" s="78"/>
      <c r="E1357" s="78"/>
      <c r="F1357" s="78"/>
    </row>
    <row r="1358" spans="1:14" ht="12.6" customHeight="1" x14ac:dyDescent="0.3">
      <c r="A1358" s="56"/>
      <c r="B1358" s="56"/>
      <c r="C1358" s="56"/>
      <c r="D1358" s="56"/>
      <c r="E1358" s="56"/>
      <c r="F1358" s="56"/>
    </row>
    <row r="1359" spans="1:14" ht="12.6" customHeight="1" x14ac:dyDescent="0.3">
      <c r="A1359" s="143" t="s">
        <v>1101</v>
      </c>
      <c r="B1359" s="144"/>
      <c r="C1359" s="54">
        <f>E1359+D1359+F1359</f>
        <v>1336</v>
      </c>
      <c r="D1359" s="52">
        <f>ROUNDDOWN(SUMIF(N1329:N1346,M1359,D1329:D1346),0)</f>
        <v>734</v>
      </c>
      <c r="E1359" s="64">
        <f>ROUNDDOWN(SUMIF(N1329:N1346,M1359,E1329:E1346),0)</f>
        <v>247</v>
      </c>
      <c r="F1359" s="54">
        <f>ROUNDDOWN(SUMIF(N1329:N1346,M1359,F1329:F1346),0)</f>
        <v>355</v>
      </c>
      <c r="M1359" s="35" t="s">
        <v>1011</v>
      </c>
      <c r="N1359" s="35" t="s">
        <v>1102</v>
      </c>
    </row>
    <row r="1360" spans="1:14" ht="12.6" customHeight="1" x14ac:dyDescent="0.3">
      <c r="A1360" s="143" t="s">
        <v>1103</v>
      </c>
      <c r="B1360" s="144"/>
      <c r="C1360" s="54">
        <f>E1360+D1360+F1360</f>
        <v>1171</v>
      </c>
      <c r="D1360" s="52">
        <f>ROUNDDOWN(D1359*H1360/100,0)</f>
        <v>644</v>
      </c>
      <c r="E1360" s="64">
        <f>ROUNDDOWN(E1359*H1360/100,0)</f>
        <v>216</v>
      </c>
      <c r="F1360" s="54">
        <f>ROUNDDOWN(F1359*H1360/100,0)</f>
        <v>311</v>
      </c>
      <c r="H1360" s="37">
        <v>87.745000000000005</v>
      </c>
      <c r="M1360" s="35" t="s">
        <v>1102</v>
      </c>
    </row>
    <row r="1361" spans="1:13" ht="12.6" customHeight="1" x14ac:dyDescent="0.3">
      <c r="A1361" s="100" t="s">
        <v>242</v>
      </c>
      <c r="B1361" s="101" t="s">
        <v>240</v>
      </c>
      <c r="C1361" s="150">
        <f>C1394</f>
        <v>236</v>
      </c>
      <c r="D1361" s="150">
        <f>D1394</f>
        <v>131</v>
      </c>
      <c r="E1361" s="150">
        <f>E1394</f>
        <v>44</v>
      </c>
      <c r="F1361" s="150">
        <f>F1394</f>
        <v>61</v>
      </c>
      <c r="G1361" s="97" t="str">
        <f>HYPERLINK("#G"&amp;ROW(G1386),"_x0005_`BDCOD|D01486_x0007_`POSS|"&amp;ROW(G1363)&amp;"_x0007_`POSE|"&amp;ROW(G1386)&amp;"_x0007_`")</f>
        <v>_x0005_`BDCOD|D01486_x0007_`POSS|1363_x0007_`POSE|1386_x0007_`</v>
      </c>
    </row>
    <row r="1362" spans="1:13" ht="12.6" customHeight="1" x14ac:dyDescent="0.3">
      <c r="A1362" s="83"/>
      <c r="B1362" s="101" t="s">
        <v>239</v>
      </c>
      <c r="C1362" s="139"/>
      <c r="D1362" s="139"/>
      <c r="E1362" s="139"/>
      <c r="F1362" s="139"/>
      <c r="M1362" s="35" t="s">
        <v>242</v>
      </c>
    </row>
    <row r="1363" spans="1:13" ht="12.6" customHeight="1" x14ac:dyDescent="0.3">
      <c r="A1363" s="78"/>
      <c r="B1363" s="78"/>
      <c r="C1363" s="103"/>
      <c r="D1363" s="103"/>
      <c r="E1363" s="103"/>
      <c r="F1363" s="103"/>
      <c r="G1363" s="17" t="s">
        <v>1229</v>
      </c>
    </row>
    <row r="1364" spans="1:13" ht="12.6" customHeight="1" x14ac:dyDescent="0.3">
      <c r="A1364" s="68"/>
      <c r="B1364" s="77" t="s">
        <v>1839</v>
      </c>
      <c r="C1364" s="78"/>
      <c r="D1364" s="78"/>
      <c r="E1364" s="78"/>
      <c r="F1364" s="78"/>
      <c r="G1364" s="17" t="s">
        <v>1838</v>
      </c>
    </row>
    <row r="1365" spans="1:13" ht="12.6" customHeight="1" x14ac:dyDescent="0.3">
      <c r="A1365" s="78"/>
      <c r="B1365" s="78"/>
      <c r="C1365" s="78"/>
      <c r="D1365" s="78"/>
      <c r="E1365" s="78"/>
      <c r="F1365" s="78"/>
      <c r="G1365" s="17" t="s">
        <v>1229</v>
      </c>
    </row>
    <row r="1366" spans="1:13" ht="12.6" customHeight="1" x14ac:dyDescent="0.3">
      <c r="A1366" s="68"/>
      <c r="B1366" s="77" t="s">
        <v>1841</v>
      </c>
      <c r="C1366" s="78"/>
      <c r="D1366" s="78"/>
      <c r="E1366" s="78"/>
      <c r="F1366" s="78"/>
      <c r="G1366" s="17" t="s">
        <v>1840</v>
      </c>
    </row>
    <row r="1367" spans="1:13" ht="12.6" customHeight="1" x14ac:dyDescent="0.3">
      <c r="A1367" s="78"/>
      <c r="B1367" s="78"/>
      <c r="C1367" s="78"/>
      <c r="D1367" s="78"/>
      <c r="E1367" s="78"/>
      <c r="F1367" s="78"/>
      <c r="G1367" s="17" t="s">
        <v>1229</v>
      </c>
    </row>
    <row r="1368" spans="1:13" ht="12.6" customHeight="1" x14ac:dyDescent="0.3">
      <c r="A1368" s="68"/>
      <c r="B1368" s="77" t="s">
        <v>1843</v>
      </c>
      <c r="C1368" s="78"/>
      <c r="D1368" s="78"/>
      <c r="E1368" s="78"/>
      <c r="F1368" s="78"/>
      <c r="G1368" s="17" t="s">
        <v>1842</v>
      </c>
    </row>
    <row r="1369" spans="1:13" ht="12.6" customHeight="1" x14ac:dyDescent="0.3">
      <c r="A1369" s="78"/>
      <c r="B1369" s="78"/>
      <c r="C1369" s="78"/>
      <c r="D1369" s="78"/>
      <c r="E1369" s="78"/>
      <c r="F1369" s="78"/>
      <c r="G1369" s="17" t="s">
        <v>1229</v>
      </c>
    </row>
    <row r="1370" spans="1:13" ht="12.6" customHeight="1" x14ac:dyDescent="0.3">
      <c r="A1370" s="68"/>
      <c r="B1370" s="77" t="s">
        <v>1845</v>
      </c>
      <c r="C1370" s="78"/>
      <c r="D1370" s="78"/>
      <c r="E1370" s="78"/>
      <c r="F1370" s="78"/>
      <c r="G1370" s="17" t="s">
        <v>1844</v>
      </c>
    </row>
    <row r="1371" spans="1:13" ht="12.6" customHeight="1" x14ac:dyDescent="0.3">
      <c r="A1371" s="78"/>
      <c r="B1371" s="78"/>
      <c r="C1371" s="78"/>
      <c r="D1371" s="78"/>
      <c r="E1371" s="78"/>
      <c r="F1371" s="78"/>
      <c r="G1371" s="17" t="s">
        <v>1229</v>
      </c>
    </row>
    <row r="1372" spans="1:13" ht="12.6" customHeight="1" x14ac:dyDescent="0.3">
      <c r="A1372" s="68"/>
      <c r="B1372" s="77" t="s">
        <v>1636</v>
      </c>
      <c r="C1372" s="78"/>
      <c r="D1372" s="78"/>
      <c r="E1372" s="78"/>
      <c r="F1372" s="78"/>
      <c r="G1372" s="17" t="s">
        <v>1635</v>
      </c>
    </row>
    <row r="1373" spans="1:13" ht="12.6" customHeight="1" x14ac:dyDescent="0.3">
      <c r="A1373" s="78"/>
      <c r="B1373" s="78"/>
      <c r="C1373" s="78"/>
      <c r="D1373" s="78"/>
      <c r="E1373" s="78"/>
      <c r="F1373" s="78"/>
      <c r="G1373" s="17" t="s">
        <v>1229</v>
      </c>
    </row>
    <row r="1374" spans="1:13" ht="12.6" customHeight="1" x14ac:dyDescent="0.3">
      <c r="A1374" s="68"/>
      <c r="B1374" s="77" t="s">
        <v>1847</v>
      </c>
      <c r="C1374" s="78"/>
      <c r="D1374" s="78"/>
      <c r="E1374" s="78"/>
      <c r="F1374" s="78"/>
      <c r="G1374" s="17" t="s">
        <v>1846</v>
      </c>
    </row>
    <row r="1375" spans="1:13" ht="12.6" customHeight="1" x14ac:dyDescent="0.3">
      <c r="A1375" s="78"/>
      <c r="B1375" s="78"/>
      <c r="C1375" s="78"/>
      <c r="D1375" s="78"/>
      <c r="E1375" s="78"/>
      <c r="F1375" s="78"/>
      <c r="G1375" s="17" t="s">
        <v>1229</v>
      </c>
    </row>
    <row r="1376" spans="1:13" ht="12.6" customHeight="1" x14ac:dyDescent="0.3">
      <c r="A1376" s="68"/>
      <c r="B1376" s="77" t="s">
        <v>1434</v>
      </c>
      <c r="C1376" s="78"/>
      <c r="D1376" s="78"/>
      <c r="E1376" s="78"/>
      <c r="F1376" s="78"/>
      <c r="G1376" s="17" t="s">
        <v>1433</v>
      </c>
    </row>
    <row r="1377" spans="1:25" ht="12.6" customHeight="1" x14ac:dyDescent="0.3">
      <c r="A1377" s="78"/>
      <c r="B1377" s="78"/>
      <c r="C1377" s="78"/>
      <c r="D1377" s="78"/>
      <c r="E1377" s="78"/>
      <c r="F1377" s="78"/>
      <c r="G1377" s="17" t="s">
        <v>1229</v>
      </c>
    </row>
    <row r="1378" spans="1:25" ht="12.6" customHeight="1" x14ac:dyDescent="0.3">
      <c r="A1378" s="68"/>
      <c r="B1378" s="77" t="s">
        <v>1848</v>
      </c>
      <c r="C1378" s="78"/>
      <c r="D1378" s="78"/>
      <c r="E1378" s="78"/>
      <c r="F1378" s="78"/>
      <c r="G1378" s="17" t="s">
        <v>1607</v>
      </c>
    </row>
    <row r="1379" spans="1:25" ht="12.6" customHeight="1" x14ac:dyDescent="0.3">
      <c r="A1379" s="78"/>
      <c r="B1379" s="78"/>
      <c r="C1379" s="78"/>
      <c r="D1379" s="78"/>
      <c r="E1379" s="78"/>
      <c r="F1379" s="78"/>
      <c r="G1379" s="17" t="s">
        <v>1229</v>
      </c>
    </row>
    <row r="1380" spans="1:25" ht="12.6" customHeight="1" x14ac:dyDescent="0.3">
      <c r="A1380" s="68" t="s">
        <v>1397</v>
      </c>
      <c r="B1380" s="102" t="str">
        <f>" 노무비: "&amp;TEXT(I1380,"#,##0"&amp;IF(I1380&lt;&gt;INT(I1380),".###",""))&amp;" / Q = "&amp;TEXT(C1380,"#,##0.0")&amp;""</f>
        <v xml:space="preserve"> 노무비: 57,077 / Q = 150.9</v>
      </c>
      <c r="C1380" s="104">
        <f>E1380+D1380+F1380</f>
        <v>150.9</v>
      </c>
      <c r="D1380" s="104">
        <f>IF(H1380=0,0,ROUNDDOWN(J1380*H1380,1))</f>
        <v>150.9</v>
      </c>
      <c r="E1380" s="104">
        <f>IF(H1380=0,0,ROUNDDOWN(K1380*H1380,1))</f>
        <v>0</v>
      </c>
      <c r="F1380" s="104">
        <f>IF(H1380=0,0,ROUNDDOWN(L1380*H1380,1))</f>
        <v>0</v>
      </c>
      <c r="G1380" s="17" t="s">
        <v>1849</v>
      </c>
      <c r="H1380" s="109">
        <v>2.6455026457000001E-3</v>
      </c>
      <c r="I1380" s="110">
        <f>K1380+J1380+L1380</f>
        <v>57077</v>
      </c>
      <c r="J1380" s="39">
        <f>중기목록표!F20</f>
        <v>57077</v>
      </c>
      <c r="M1380" s="35" t="s">
        <v>1084</v>
      </c>
      <c r="N1380" s="35" t="s">
        <v>1247</v>
      </c>
      <c r="X1380" s="111" t="str">
        <f>중기목록표!B20&amp;" / "&amp;중기목록표!C20</f>
        <v>굴삭기(타이어) / 0.6㎥</v>
      </c>
      <c r="Y1380" s="3" t="str">
        <f ca="1">HYPERLINK("#"&amp;중기목록표!J2&amp;"!A"&amp;ROW(중기목록표!A20),"X00283 →")</f>
        <v>X00283 →</v>
      </c>
    </row>
    <row r="1381" spans="1:25" ht="12.6" customHeight="1" x14ac:dyDescent="0.3">
      <c r="A1381" s="78"/>
      <c r="B1381" s="78"/>
      <c r="C1381" s="78"/>
      <c r="D1381" s="78"/>
      <c r="E1381" s="78"/>
      <c r="F1381" s="78"/>
      <c r="G1381" s="17" t="s">
        <v>1229</v>
      </c>
    </row>
    <row r="1382" spans="1:25" ht="12.6" customHeight="1" x14ac:dyDescent="0.3">
      <c r="A1382" s="68" t="s">
        <v>1399</v>
      </c>
      <c r="B1382" s="102" t="str">
        <f>" 재료비: "&amp;TEXT(I1382,"#,##0"&amp;IF(I1382&lt;&gt;INT(I1382),".###",""))&amp;" / Q = "&amp;TEXT(C1382,"#,##0.0")&amp;""</f>
        <v xml:space="preserve"> 재료비: 19,547 / Q = 51.7</v>
      </c>
      <c r="C1382" s="104">
        <f>E1382+D1382+F1382</f>
        <v>51.7</v>
      </c>
      <c r="D1382" s="104">
        <f>IF(H1382=0,0,ROUNDDOWN(J1382*H1382,1))</f>
        <v>0</v>
      </c>
      <c r="E1382" s="104">
        <f>IF(H1382=0,0,ROUNDDOWN(K1382*H1382,1))</f>
        <v>51.7</v>
      </c>
      <c r="F1382" s="104">
        <f>IF(H1382=0,0,ROUNDDOWN(L1382*H1382,1))</f>
        <v>0</v>
      </c>
      <c r="G1382" s="17" t="s">
        <v>1850</v>
      </c>
      <c r="H1382" s="109">
        <v>2.6455026457000001E-3</v>
      </c>
      <c r="I1382" s="110">
        <f>K1382+J1382+L1382</f>
        <v>19547</v>
      </c>
      <c r="K1382" s="39">
        <f>중기목록표!G20</f>
        <v>19547</v>
      </c>
      <c r="M1382" s="35" t="s">
        <v>1084</v>
      </c>
      <c r="N1382" s="35" t="s">
        <v>1247</v>
      </c>
      <c r="X1382" s="111" t="str">
        <f>중기목록표!B20&amp;" / "&amp;중기목록표!C20</f>
        <v>굴삭기(타이어) / 0.6㎥</v>
      </c>
      <c r="Y1382" s="3" t="str">
        <f ca="1">HYPERLINK("#"&amp;중기목록표!J2&amp;"!A"&amp;ROW(중기목록표!A20),"X00283 →")</f>
        <v>X00283 →</v>
      </c>
    </row>
    <row r="1383" spans="1:25" ht="12.6" customHeight="1" x14ac:dyDescent="0.3">
      <c r="A1383" s="78"/>
      <c r="B1383" s="78"/>
      <c r="C1383" s="78"/>
      <c r="D1383" s="78"/>
      <c r="E1383" s="78"/>
      <c r="F1383" s="78"/>
      <c r="G1383" s="17" t="s">
        <v>1229</v>
      </c>
    </row>
    <row r="1384" spans="1:25" ht="12.6" customHeight="1" x14ac:dyDescent="0.3">
      <c r="A1384" s="68" t="s">
        <v>1401</v>
      </c>
      <c r="B1384" s="102" t="str">
        <f>" 경  비: "&amp;TEXT(I1384,"#,##0"&amp;IF(I1384&lt;&gt;INT(I1384),".###",""))&amp;" / Q = "&amp;TEXT(C1384,"#,##0.0")&amp;""</f>
        <v xml:space="preserve"> 경  비: 26,463 / Q = 70.0</v>
      </c>
      <c r="C1384" s="104">
        <f>E1384+D1384+F1384</f>
        <v>70</v>
      </c>
      <c r="D1384" s="104">
        <f>IF(H1384=0,0,ROUNDDOWN(J1384*H1384,1))</f>
        <v>0</v>
      </c>
      <c r="E1384" s="104">
        <f>IF(H1384=0,0,ROUNDDOWN(K1384*H1384,1))</f>
        <v>0</v>
      </c>
      <c r="F1384" s="104">
        <f>IF(H1384=0,0,ROUNDDOWN(L1384*H1384,1))</f>
        <v>70</v>
      </c>
      <c r="G1384" s="17" t="s">
        <v>1851</v>
      </c>
      <c r="H1384" s="109">
        <v>2.6455026457000001E-3</v>
      </c>
      <c r="I1384" s="110">
        <f>K1384+J1384+L1384</f>
        <v>26463</v>
      </c>
      <c r="L1384" s="39">
        <f>중기목록표!H20</f>
        <v>26463</v>
      </c>
      <c r="M1384" s="35" t="s">
        <v>1084</v>
      </c>
      <c r="N1384" s="35" t="s">
        <v>1247</v>
      </c>
      <c r="X1384" s="111" t="str">
        <f>중기목록표!B20&amp;" / "&amp;중기목록표!C20</f>
        <v>굴삭기(타이어) / 0.6㎥</v>
      </c>
      <c r="Y1384" s="3" t="str">
        <f ca="1">HYPERLINK("#"&amp;중기목록표!J2&amp;"!A"&amp;ROW(중기목록표!A20),"X00283 →")</f>
        <v>X00283 →</v>
      </c>
    </row>
    <row r="1385" spans="1:25" ht="12.6" customHeight="1" x14ac:dyDescent="0.3">
      <c r="A1385" s="78"/>
      <c r="B1385" s="78"/>
      <c r="C1385" s="78"/>
      <c r="D1385" s="78"/>
      <c r="E1385" s="78"/>
      <c r="F1385" s="78"/>
      <c r="G1385" s="17" t="s">
        <v>1229</v>
      </c>
    </row>
    <row r="1386" spans="1:25" ht="12.6" customHeight="1" x14ac:dyDescent="0.3">
      <c r="A1386" s="68"/>
      <c r="B1386" s="77" t="s">
        <v>1246</v>
      </c>
      <c r="C1386" s="105">
        <f>E1386+D1386+F1386</f>
        <v>272.60000000000002</v>
      </c>
      <c r="D1386" s="105">
        <f>SUMIF(N1363:N1385,M1386,D1363:D1385)</f>
        <v>150.9</v>
      </c>
      <c r="E1386" s="105">
        <f>SUMIF(N1363:N1385,M1386,E1363:E1385)</f>
        <v>51.7</v>
      </c>
      <c r="F1386" s="105">
        <f>SUMIF(N1363:N1385,M1386,F1363:F1385)</f>
        <v>70</v>
      </c>
      <c r="G1386" s="17" t="s">
        <v>1245</v>
      </c>
      <c r="M1386" s="35" t="s">
        <v>1247</v>
      </c>
      <c r="N1386" s="35" t="s">
        <v>1011</v>
      </c>
    </row>
    <row r="1387" spans="1:25" ht="12.6" customHeight="1" x14ac:dyDescent="0.3">
      <c r="A1387" s="78"/>
      <c r="B1387" s="78"/>
      <c r="C1387" s="103"/>
      <c r="D1387" s="103"/>
      <c r="E1387" s="103"/>
      <c r="F1387" s="103"/>
    </row>
    <row r="1388" spans="1:25" ht="12.6" customHeight="1" x14ac:dyDescent="0.3">
      <c r="A1388" s="78"/>
      <c r="B1388" s="78"/>
      <c r="C1388" s="78"/>
      <c r="D1388" s="78"/>
      <c r="E1388" s="78"/>
      <c r="F1388" s="78"/>
    </row>
    <row r="1389" spans="1:25" ht="12.6" customHeight="1" x14ac:dyDescent="0.3">
      <c r="A1389" s="78"/>
      <c r="B1389" s="78"/>
      <c r="C1389" s="78"/>
      <c r="D1389" s="78"/>
      <c r="E1389" s="78"/>
      <c r="F1389" s="78"/>
    </row>
    <row r="1390" spans="1:25" ht="12.6" customHeight="1" x14ac:dyDescent="0.3">
      <c r="A1390" s="78"/>
      <c r="B1390" s="78"/>
      <c r="C1390" s="78"/>
      <c r="D1390" s="78"/>
      <c r="E1390" s="78"/>
      <c r="F1390" s="78"/>
    </row>
    <row r="1391" spans="1:25" ht="12.6" customHeight="1" x14ac:dyDescent="0.3">
      <c r="A1391" s="78"/>
      <c r="B1391" s="78"/>
      <c r="C1391" s="78"/>
      <c r="D1391" s="78"/>
      <c r="E1391" s="78"/>
      <c r="F1391" s="78"/>
    </row>
    <row r="1392" spans="1:25" ht="12.6" customHeight="1" x14ac:dyDescent="0.3">
      <c r="A1392" s="56"/>
      <c r="B1392" s="56"/>
      <c r="C1392" s="56"/>
      <c r="D1392" s="56"/>
      <c r="E1392" s="56"/>
      <c r="F1392" s="56"/>
    </row>
    <row r="1393" spans="1:14" ht="12.6" customHeight="1" x14ac:dyDescent="0.3">
      <c r="A1393" s="143" t="s">
        <v>1101</v>
      </c>
      <c r="B1393" s="144"/>
      <c r="C1393" s="54">
        <f>E1393+D1393+F1393</f>
        <v>271</v>
      </c>
      <c r="D1393" s="52">
        <f>ROUNDDOWN(SUMIF(N1363:N1386,M1393,D1363:D1386),0)</f>
        <v>150</v>
      </c>
      <c r="E1393" s="64">
        <f>ROUNDDOWN(SUMIF(N1363:N1386,M1393,E1363:E1386),0)</f>
        <v>51</v>
      </c>
      <c r="F1393" s="54">
        <f>ROUNDDOWN(SUMIF(N1363:N1386,M1393,F1363:F1386),0)</f>
        <v>70</v>
      </c>
      <c r="M1393" s="35" t="s">
        <v>1011</v>
      </c>
      <c r="N1393" s="35" t="s">
        <v>1102</v>
      </c>
    </row>
    <row r="1394" spans="1:14" ht="12.6" customHeight="1" x14ac:dyDescent="0.3">
      <c r="A1394" s="143" t="s">
        <v>1103</v>
      </c>
      <c r="B1394" s="144"/>
      <c r="C1394" s="54">
        <f>E1394+D1394+F1394</f>
        <v>236</v>
      </c>
      <c r="D1394" s="52">
        <f>ROUNDDOWN(D1393*H1394/100,0)</f>
        <v>131</v>
      </c>
      <c r="E1394" s="64">
        <f>ROUNDDOWN(E1393*H1394/100,0)</f>
        <v>44</v>
      </c>
      <c r="F1394" s="54">
        <f>ROUNDDOWN(F1393*H1394/100,0)</f>
        <v>61</v>
      </c>
      <c r="H1394" s="37">
        <v>87.745000000000005</v>
      </c>
      <c r="M1394" s="35" t="s">
        <v>1102</v>
      </c>
    </row>
    <row r="1395" spans="1:14" ht="12.6" customHeight="1" x14ac:dyDescent="0.3">
      <c r="A1395" s="100" t="s">
        <v>247</v>
      </c>
      <c r="B1395" s="101" t="s">
        <v>244</v>
      </c>
      <c r="C1395" s="150">
        <f>C1498</f>
        <v>4267</v>
      </c>
      <c r="D1395" s="150">
        <f>D1498</f>
        <v>2738</v>
      </c>
      <c r="E1395" s="150">
        <f>E1498</f>
        <v>499</v>
      </c>
      <c r="F1395" s="150">
        <f>F1498</f>
        <v>1030</v>
      </c>
      <c r="G1395" s="97" t="str">
        <f>HYPERLINK("#G"&amp;ROW(G1473),"_x0005_`BDCOD|D01487_x0007_`POSS|"&amp;ROW(G1397)&amp;"_x0007_`POSE|"&amp;ROW(G1473)&amp;"_x0007_`")</f>
        <v>_x0005_`BDCOD|D01487_x0007_`POSS|1397_x0007_`POSE|1473_x0007_`</v>
      </c>
    </row>
    <row r="1396" spans="1:14" ht="12.6" customHeight="1" x14ac:dyDescent="0.3">
      <c r="A1396" s="83"/>
      <c r="B1396" s="101" t="s">
        <v>243</v>
      </c>
      <c r="C1396" s="139"/>
      <c r="D1396" s="139"/>
      <c r="E1396" s="139"/>
      <c r="F1396" s="139"/>
      <c r="M1396" s="35" t="s">
        <v>247</v>
      </c>
    </row>
    <row r="1397" spans="1:14" ht="12.6" customHeight="1" x14ac:dyDescent="0.3">
      <c r="A1397" s="68"/>
      <c r="B1397" s="77" t="s">
        <v>1853</v>
      </c>
      <c r="C1397" s="103"/>
      <c r="D1397" s="103"/>
      <c r="E1397" s="103"/>
      <c r="F1397" s="103"/>
      <c r="G1397" s="17" t="s">
        <v>1852</v>
      </c>
    </row>
    <row r="1398" spans="1:14" ht="12.6" customHeight="1" x14ac:dyDescent="0.3">
      <c r="A1398" s="78"/>
      <c r="B1398" s="78"/>
      <c r="C1398" s="78"/>
      <c r="D1398" s="78"/>
      <c r="E1398" s="78"/>
      <c r="F1398" s="78"/>
      <c r="G1398" s="17" t="s">
        <v>1229</v>
      </c>
    </row>
    <row r="1399" spans="1:14" ht="12.6" customHeight="1" x14ac:dyDescent="0.3">
      <c r="A1399" s="68"/>
      <c r="B1399" s="77" t="s">
        <v>1855</v>
      </c>
      <c r="C1399" s="78"/>
      <c r="D1399" s="78"/>
      <c r="E1399" s="78"/>
      <c r="F1399" s="78"/>
      <c r="G1399" s="17" t="s">
        <v>1854</v>
      </c>
    </row>
    <row r="1400" spans="1:14" ht="12.6" customHeight="1" x14ac:dyDescent="0.3">
      <c r="A1400" s="78"/>
      <c r="B1400" s="78"/>
      <c r="C1400" s="78"/>
      <c r="D1400" s="78"/>
      <c r="E1400" s="78"/>
      <c r="F1400" s="78"/>
      <c r="G1400" s="17" t="s">
        <v>1229</v>
      </c>
    </row>
    <row r="1401" spans="1:14" ht="12.6" customHeight="1" x14ac:dyDescent="0.3">
      <c r="A1401" s="68"/>
      <c r="B1401" s="77" t="s">
        <v>1857</v>
      </c>
      <c r="C1401" s="78"/>
      <c r="D1401" s="78"/>
      <c r="E1401" s="78"/>
      <c r="F1401" s="78"/>
      <c r="G1401" s="17" t="s">
        <v>1856</v>
      </c>
    </row>
    <row r="1402" spans="1:14" ht="12.6" customHeight="1" x14ac:dyDescent="0.3">
      <c r="A1402" s="78"/>
      <c r="B1402" s="78"/>
      <c r="C1402" s="78"/>
      <c r="D1402" s="78"/>
      <c r="E1402" s="78"/>
      <c r="F1402" s="78"/>
      <c r="G1402" s="17" t="s">
        <v>1229</v>
      </c>
    </row>
    <row r="1403" spans="1:14" ht="12.6" customHeight="1" x14ac:dyDescent="0.3">
      <c r="A1403" s="68"/>
      <c r="B1403" s="77" t="s">
        <v>1859</v>
      </c>
      <c r="C1403" s="78"/>
      <c r="D1403" s="78"/>
      <c r="E1403" s="78"/>
      <c r="F1403" s="78"/>
      <c r="G1403" s="17" t="s">
        <v>1858</v>
      </c>
    </row>
    <row r="1404" spans="1:14" ht="12.6" customHeight="1" x14ac:dyDescent="0.3">
      <c r="A1404" s="78"/>
      <c r="B1404" s="78"/>
      <c r="C1404" s="78"/>
      <c r="D1404" s="78"/>
      <c r="E1404" s="78"/>
      <c r="F1404" s="78"/>
      <c r="G1404" s="17" t="s">
        <v>1229</v>
      </c>
    </row>
    <row r="1405" spans="1:14" ht="12.6" customHeight="1" x14ac:dyDescent="0.3">
      <c r="A1405" s="68"/>
      <c r="B1405" s="77" t="s">
        <v>1602</v>
      </c>
      <c r="C1405" s="78"/>
      <c r="D1405" s="78"/>
      <c r="E1405" s="78"/>
      <c r="F1405" s="78"/>
      <c r="G1405" s="17" t="s">
        <v>1601</v>
      </c>
    </row>
    <row r="1406" spans="1:14" ht="12.6" customHeight="1" x14ac:dyDescent="0.3">
      <c r="A1406" s="78"/>
      <c r="B1406" s="78"/>
      <c r="C1406" s="78"/>
      <c r="D1406" s="78"/>
      <c r="E1406" s="78"/>
      <c r="F1406" s="78"/>
      <c r="G1406" s="17" t="s">
        <v>1229</v>
      </c>
    </row>
    <row r="1407" spans="1:14" ht="12.6" customHeight="1" x14ac:dyDescent="0.3">
      <c r="A1407" s="68"/>
      <c r="B1407" s="77" t="s">
        <v>1861</v>
      </c>
      <c r="C1407" s="78"/>
      <c r="D1407" s="78"/>
      <c r="E1407" s="78"/>
      <c r="F1407" s="78"/>
      <c r="G1407" s="17" t="s">
        <v>1860</v>
      </c>
    </row>
    <row r="1408" spans="1:14" ht="12.6" customHeight="1" x14ac:dyDescent="0.3">
      <c r="A1408" s="78"/>
      <c r="B1408" s="78"/>
      <c r="C1408" s="78"/>
      <c r="D1408" s="78"/>
      <c r="E1408" s="78"/>
      <c r="F1408" s="78"/>
      <c r="G1408" s="17" t="s">
        <v>1229</v>
      </c>
    </row>
    <row r="1409" spans="1:25" ht="12.6" customHeight="1" x14ac:dyDescent="0.3">
      <c r="A1409" s="68"/>
      <c r="B1409" s="77" t="s">
        <v>1863</v>
      </c>
      <c r="C1409" s="78"/>
      <c r="D1409" s="78"/>
      <c r="E1409" s="78"/>
      <c r="F1409" s="78"/>
      <c r="G1409" s="17" t="s">
        <v>1862</v>
      </c>
    </row>
    <row r="1410" spans="1:25" ht="12.6" customHeight="1" x14ac:dyDescent="0.3">
      <c r="A1410" s="78"/>
      <c r="B1410" s="78"/>
      <c r="C1410" s="78"/>
      <c r="D1410" s="78"/>
      <c r="E1410" s="78"/>
      <c r="F1410" s="78"/>
      <c r="G1410" s="17" t="s">
        <v>1229</v>
      </c>
    </row>
    <row r="1411" spans="1:25" ht="12.6" customHeight="1" x14ac:dyDescent="0.3">
      <c r="A1411" s="68"/>
      <c r="B1411" s="77" t="s">
        <v>1865</v>
      </c>
      <c r="C1411" s="78"/>
      <c r="D1411" s="78"/>
      <c r="E1411" s="78"/>
      <c r="F1411" s="78"/>
      <c r="G1411" s="17" t="s">
        <v>1864</v>
      </c>
    </row>
    <row r="1412" spans="1:25" ht="12.6" customHeight="1" x14ac:dyDescent="0.3">
      <c r="A1412" s="78"/>
      <c r="B1412" s="78"/>
      <c r="C1412" s="78"/>
      <c r="D1412" s="78"/>
      <c r="E1412" s="78"/>
      <c r="F1412" s="78"/>
      <c r="G1412" s="17" t="s">
        <v>1229</v>
      </c>
    </row>
    <row r="1413" spans="1:25" ht="12.6" customHeight="1" x14ac:dyDescent="0.3">
      <c r="A1413" s="68" t="s">
        <v>1270</v>
      </c>
      <c r="B1413" s="102" t="str">
        <f>" 노 무 비  :   "&amp;TEXT(I1413,"#,##0"&amp;IF(I1413&lt;&gt;INT(I1413),".###",""))&amp;" / Q  = "&amp;TEXT(C1413,"#,##0.0")&amp;""</f>
        <v xml:space="preserve"> 노 무 비  :   57,077 / Q  = 774.3</v>
      </c>
      <c r="C1413" s="104">
        <f>E1413+D1413+F1413</f>
        <v>774.3</v>
      </c>
      <c r="D1413" s="104">
        <f>IF(H1413=0,0,ROUNDDOWN(J1413*H1413,1))</f>
        <v>774.3</v>
      </c>
      <c r="E1413" s="104">
        <f>IF(H1413=0,0,ROUNDDOWN(K1413*H1413,1))</f>
        <v>0</v>
      </c>
      <c r="F1413" s="104">
        <f>IF(H1413=0,0,ROUNDDOWN(L1413*H1413,1))</f>
        <v>0</v>
      </c>
      <c r="G1413" s="17" t="s">
        <v>1749</v>
      </c>
      <c r="H1413" s="109">
        <v>1.35666802335E-2</v>
      </c>
      <c r="I1413" s="110">
        <f>K1413+J1413+L1413</f>
        <v>57077</v>
      </c>
      <c r="J1413" s="39">
        <f>중기목록표!F8</f>
        <v>57077</v>
      </c>
      <c r="M1413" s="35" t="s">
        <v>1271</v>
      </c>
      <c r="N1413" s="35" t="s">
        <v>1247</v>
      </c>
      <c r="X1413" s="111" t="str">
        <f>중기목록표!B8&amp;" / "&amp;중기목록표!C8</f>
        <v>굴삭기(무한궤도) / 0.7㎥</v>
      </c>
      <c r="Y1413" s="3" t="str">
        <f ca="1">HYPERLINK("#"&amp;중기목록표!J2&amp;"!A"&amp;ROW(중기목록표!A8),"X00022 →")</f>
        <v>X00022 →</v>
      </c>
    </row>
    <row r="1414" spans="1:25" ht="12.6" customHeight="1" x14ac:dyDescent="0.3">
      <c r="A1414" s="78"/>
      <c r="B1414" s="78"/>
      <c r="C1414" s="78"/>
      <c r="D1414" s="78"/>
      <c r="E1414" s="78"/>
      <c r="F1414" s="78"/>
      <c r="G1414" s="17" t="s">
        <v>1229</v>
      </c>
    </row>
    <row r="1415" spans="1:25" ht="12.6" customHeight="1" x14ac:dyDescent="0.3">
      <c r="A1415" s="68" t="s">
        <v>1273</v>
      </c>
      <c r="B1415" s="102" t="str">
        <f>" 재 료 비  :   "&amp;TEXT(I1415,"#,##0"&amp;IF(I1415&lt;&gt;INT(I1415),".###",""))&amp;" / Q  = "&amp;TEXT(C1415,"#,##0.0")&amp;""</f>
        <v xml:space="preserve"> 재 료 비  :   19,232 / Q  = 260.9</v>
      </c>
      <c r="C1415" s="104">
        <f>E1415+D1415+F1415</f>
        <v>260.89999999999998</v>
      </c>
      <c r="D1415" s="104">
        <f>IF(H1415=0,0,ROUNDDOWN(J1415*H1415,1))</f>
        <v>0</v>
      </c>
      <c r="E1415" s="104">
        <f>IF(H1415=0,0,ROUNDDOWN(K1415*H1415,1))</f>
        <v>260.89999999999998</v>
      </c>
      <c r="F1415" s="104">
        <f>IF(H1415=0,0,ROUNDDOWN(L1415*H1415,1))</f>
        <v>0</v>
      </c>
      <c r="G1415" s="17" t="s">
        <v>1750</v>
      </c>
      <c r="H1415" s="109">
        <v>1.35666802335E-2</v>
      </c>
      <c r="I1415" s="110">
        <f>K1415+J1415+L1415</f>
        <v>19232</v>
      </c>
      <c r="K1415" s="39">
        <f>중기목록표!G8</f>
        <v>19232</v>
      </c>
      <c r="M1415" s="35" t="s">
        <v>1271</v>
      </c>
      <c r="N1415" s="35" t="s">
        <v>1247</v>
      </c>
      <c r="X1415" s="111" t="str">
        <f>중기목록표!B8&amp;" / "&amp;중기목록표!C8</f>
        <v>굴삭기(무한궤도) / 0.7㎥</v>
      </c>
      <c r="Y1415" s="3" t="str">
        <f ca="1">HYPERLINK("#"&amp;중기목록표!J2&amp;"!A"&amp;ROW(중기목록표!A8),"X00022 →")</f>
        <v>X00022 →</v>
      </c>
    </row>
    <row r="1416" spans="1:25" ht="12.6" customHeight="1" x14ac:dyDescent="0.3">
      <c r="A1416" s="78"/>
      <c r="B1416" s="78"/>
      <c r="C1416" s="78"/>
      <c r="D1416" s="78"/>
      <c r="E1416" s="78"/>
      <c r="F1416" s="78"/>
      <c r="G1416" s="17" t="s">
        <v>1229</v>
      </c>
    </row>
    <row r="1417" spans="1:25" ht="12.6" customHeight="1" x14ac:dyDescent="0.3">
      <c r="A1417" s="68" t="s">
        <v>1275</v>
      </c>
      <c r="B1417" s="102" t="str">
        <f>" 경    비  :   "&amp;TEXT(I1417,"#,##0"&amp;IF(I1417&lt;&gt;INT(I1417),".###",""))&amp;" / Q  = "&amp;TEXT(C1417,"#,##0.0")&amp;""</f>
        <v xml:space="preserve"> 경    비  :   24,001 / Q  = 325.6</v>
      </c>
      <c r="C1417" s="104">
        <f>E1417+D1417+F1417</f>
        <v>325.60000000000002</v>
      </c>
      <c r="D1417" s="104">
        <f>IF(H1417=0,0,ROUNDDOWN(J1417*H1417,1))</f>
        <v>0</v>
      </c>
      <c r="E1417" s="104">
        <f>IF(H1417=0,0,ROUNDDOWN(K1417*H1417,1))</f>
        <v>0</v>
      </c>
      <c r="F1417" s="104">
        <f>IF(H1417=0,0,ROUNDDOWN(L1417*H1417,1))</f>
        <v>325.60000000000002</v>
      </c>
      <c r="G1417" s="17" t="s">
        <v>1751</v>
      </c>
      <c r="H1417" s="109">
        <v>1.35666802335E-2</v>
      </c>
      <c r="I1417" s="110">
        <f>K1417+J1417+L1417</f>
        <v>24001</v>
      </c>
      <c r="L1417" s="39">
        <f>중기목록표!H8</f>
        <v>24001</v>
      </c>
      <c r="M1417" s="35" t="s">
        <v>1271</v>
      </c>
      <c r="N1417" s="35" t="s">
        <v>1247</v>
      </c>
      <c r="X1417" s="111" t="str">
        <f>중기목록표!B8&amp;" / "&amp;중기목록표!C8</f>
        <v>굴삭기(무한궤도) / 0.7㎥</v>
      </c>
      <c r="Y1417" s="3" t="str">
        <f ca="1">HYPERLINK("#"&amp;중기목록표!J2&amp;"!A"&amp;ROW(중기목록표!A8),"X00022 →")</f>
        <v>X00022 →</v>
      </c>
    </row>
    <row r="1418" spans="1:25" ht="12.6" customHeight="1" x14ac:dyDescent="0.3">
      <c r="A1418" s="78"/>
      <c r="B1418" s="78"/>
      <c r="C1418" s="78"/>
      <c r="D1418" s="78"/>
      <c r="E1418" s="78"/>
      <c r="F1418" s="78"/>
      <c r="G1418" s="17" t="s">
        <v>1229</v>
      </c>
    </row>
    <row r="1419" spans="1:25" ht="12.6" customHeight="1" x14ac:dyDescent="0.3">
      <c r="A1419" s="68"/>
      <c r="B1419" s="77" t="s">
        <v>1246</v>
      </c>
      <c r="C1419" s="105">
        <f>E1419+D1419+F1419</f>
        <v>1360.7999999999997</v>
      </c>
      <c r="D1419" s="105">
        <f>SUMIF(N1397:N1418,M1419,D1397:D1418)</f>
        <v>774.3</v>
      </c>
      <c r="E1419" s="105">
        <f>SUMIF(N1397:N1418,M1419,E1397:E1418)</f>
        <v>260.89999999999998</v>
      </c>
      <c r="F1419" s="105">
        <f>SUMIF(N1397:N1418,M1419,F1397:F1418)</f>
        <v>325.60000000000002</v>
      </c>
      <c r="G1419" s="17" t="s">
        <v>1245</v>
      </c>
      <c r="M1419" s="35" t="s">
        <v>1247</v>
      </c>
      <c r="N1419" s="35" t="s">
        <v>1348</v>
      </c>
    </row>
    <row r="1420" spans="1:25" ht="12.6" customHeight="1" x14ac:dyDescent="0.3">
      <c r="A1420" s="78"/>
      <c r="B1420" s="78"/>
      <c r="C1420" s="103"/>
      <c r="D1420" s="103"/>
      <c r="E1420" s="103"/>
      <c r="F1420" s="103"/>
      <c r="G1420" s="17" t="s">
        <v>1229</v>
      </c>
    </row>
    <row r="1421" spans="1:25" ht="12.6" customHeight="1" x14ac:dyDescent="0.3">
      <c r="A1421" s="68"/>
      <c r="B1421" s="77" t="s">
        <v>1867</v>
      </c>
      <c r="C1421" s="78"/>
      <c r="D1421" s="78"/>
      <c r="E1421" s="78"/>
      <c r="F1421" s="78"/>
      <c r="G1421" s="17" t="s">
        <v>1866</v>
      </c>
    </row>
    <row r="1422" spans="1:25" ht="12.6" customHeight="1" x14ac:dyDescent="0.3">
      <c r="A1422" s="78"/>
      <c r="B1422" s="78"/>
      <c r="C1422" s="78"/>
      <c r="D1422" s="78"/>
      <c r="E1422" s="78"/>
      <c r="F1422" s="78"/>
      <c r="G1422" s="17" t="s">
        <v>1229</v>
      </c>
    </row>
    <row r="1423" spans="1:25" ht="12.6" customHeight="1" x14ac:dyDescent="0.3">
      <c r="A1423" s="68"/>
      <c r="B1423" s="77" t="s">
        <v>1323</v>
      </c>
      <c r="C1423" s="78"/>
      <c r="D1423" s="78"/>
      <c r="E1423" s="78"/>
      <c r="F1423" s="78"/>
      <c r="G1423" s="17" t="s">
        <v>1322</v>
      </c>
    </row>
    <row r="1424" spans="1:25" ht="12.6" customHeight="1" x14ac:dyDescent="0.3">
      <c r="A1424" s="78"/>
      <c r="B1424" s="78"/>
      <c r="C1424" s="78"/>
      <c r="D1424" s="78"/>
      <c r="E1424" s="78"/>
      <c r="F1424" s="78"/>
      <c r="G1424" s="17" t="s">
        <v>1229</v>
      </c>
    </row>
    <row r="1425" spans="1:7" ht="12.6" customHeight="1" x14ac:dyDescent="0.3">
      <c r="A1425" s="68"/>
      <c r="B1425" s="77" t="s">
        <v>1869</v>
      </c>
      <c r="C1425" s="78"/>
      <c r="D1425" s="78"/>
      <c r="E1425" s="78"/>
      <c r="F1425" s="78"/>
      <c r="G1425" s="17" t="s">
        <v>1868</v>
      </c>
    </row>
    <row r="1426" spans="1:7" ht="12.6" customHeight="1" x14ac:dyDescent="0.3">
      <c r="A1426" s="78"/>
      <c r="B1426" s="78"/>
      <c r="C1426" s="78"/>
      <c r="D1426" s="78"/>
      <c r="E1426" s="78"/>
      <c r="F1426" s="78"/>
      <c r="G1426" s="17" t="s">
        <v>1229</v>
      </c>
    </row>
    <row r="1427" spans="1:7" ht="12.6" customHeight="1" x14ac:dyDescent="0.3">
      <c r="A1427" s="68"/>
      <c r="B1427" s="77" t="s">
        <v>1871</v>
      </c>
      <c r="C1427" s="78"/>
      <c r="D1427" s="78"/>
      <c r="E1427" s="78"/>
      <c r="F1427" s="78"/>
      <c r="G1427" s="17" t="s">
        <v>1870</v>
      </c>
    </row>
    <row r="1428" spans="1:7" ht="12.6" customHeight="1" x14ac:dyDescent="0.3">
      <c r="A1428" s="78"/>
      <c r="B1428" s="78"/>
      <c r="C1428" s="78"/>
      <c r="D1428" s="78"/>
      <c r="E1428" s="78"/>
      <c r="F1428" s="78"/>
      <c r="G1428" s="17" t="s">
        <v>1229</v>
      </c>
    </row>
    <row r="1429" spans="1:7" ht="12.6" customHeight="1" x14ac:dyDescent="0.3">
      <c r="A1429" s="68"/>
      <c r="B1429" s="77" t="s">
        <v>1873</v>
      </c>
      <c r="C1429" s="78"/>
      <c r="D1429" s="78"/>
      <c r="E1429" s="78"/>
      <c r="F1429" s="78"/>
      <c r="G1429" s="17" t="s">
        <v>1872</v>
      </c>
    </row>
    <row r="1430" spans="1:7" ht="12.6" customHeight="1" x14ac:dyDescent="0.3">
      <c r="A1430" s="78"/>
      <c r="B1430" s="78"/>
      <c r="C1430" s="78"/>
      <c r="D1430" s="78"/>
      <c r="E1430" s="78"/>
      <c r="F1430" s="78"/>
      <c r="G1430" s="17" t="s">
        <v>1229</v>
      </c>
    </row>
    <row r="1431" spans="1:7" ht="12.6" customHeight="1" x14ac:dyDescent="0.3">
      <c r="A1431" s="68"/>
      <c r="B1431" s="77" t="s">
        <v>1875</v>
      </c>
      <c r="C1431" s="78"/>
      <c r="D1431" s="78"/>
      <c r="E1431" s="78"/>
      <c r="F1431" s="78"/>
      <c r="G1431" s="17" t="s">
        <v>1874</v>
      </c>
    </row>
    <row r="1432" spans="1:7" ht="12.6" customHeight="1" x14ac:dyDescent="0.3">
      <c r="A1432" s="78"/>
      <c r="B1432" s="78"/>
      <c r="C1432" s="78"/>
      <c r="D1432" s="78"/>
      <c r="E1432" s="78"/>
      <c r="F1432" s="78"/>
      <c r="G1432" s="17" t="s">
        <v>1229</v>
      </c>
    </row>
    <row r="1433" spans="1:7" ht="12.6" customHeight="1" x14ac:dyDescent="0.3">
      <c r="A1433" s="68"/>
      <c r="B1433" s="77" t="s">
        <v>1877</v>
      </c>
      <c r="C1433" s="78"/>
      <c r="D1433" s="78"/>
      <c r="E1433" s="78"/>
      <c r="F1433" s="78"/>
      <c r="G1433" s="17" t="s">
        <v>1876</v>
      </c>
    </row>
    <row r="1434" spans="1:7" ht="12.6" customHeight="1" x14ac:dyDescent="0.3">
      <c r="A1434" s="78"/>
      <c r="B1434" s="78"/>
      <c r="C1434" s="78"/>
      <c r="D1434" s="78"/>
      <c r="E1434" s="78"/>
      <c r="F1434" s="78"/>
      <c r="G1434" s="17" t="s">
        <v>1229</v>
      </c>
    </row>
    <row r="1435" spans="1:7" ht="12.6" customHeight="1" x14ac:dyDescent="0.3">
      <c r="A1435" s="68"/>
      <c r="B1435" s="77" t="s">
        <v>1879</v>
      </c>
      <c r="C1435" s="78"/>
      <c r="D1435" s="78"/>
      <c r="E1435" s="78"/>
      <c r="F1435" s="78"/>
      <c r="G1435" s="17" t="s">
        <v>1878</v>
      </c>
    </row>
    <row r="1436" spans="1:7" ht="12.6" customHeight="1" x14ac:dyDescent="0.3">
      <c r="A1436" s="78"/>
      <c r="B1436" s="78"/>
      <c r="C1436" s="78"/>
      <c r="D1436" s="78"/>
      <c r="E1436" s="78"/>
      <c r="F1436" s="78"/>
      <c r="G1436" s="17" t="s">
        <v>1229</v>
      </c>
    </row>
    <row r="1437" spans="1:7" ht="12.6" customHeight="1" x14ac:dyDescent="0.3">
      <c r="A1437" s="68"/>
      <c r="B1437" s="77" t="s">
        <v>1881</v>
      </c>
      <c r="C1437" s="78"/>
      <c r="D1437" s="78"/>
      <c r="E1437" s="78"/>
      <c r="F1437" s="78"/>
      <c r="G1437" s="17" t="s">
        <v>1880</v>
      </c>
    </row>
    <row r="1438" spans="1:7" ht="12.6" customHeight="1" x14ac:dyDescent="0.3">
      <c r="A1438" s="78"/>
      <c r="B1438" s="78"/>
      <c r="C1438" s="78"/>
      <c r="D1438" s="78"/>
      <c r="E1438" s="78"/>
      <c r="F1438" s="78"/>
      <c r="G1438" s="17" t="s">
        <v>1229</v>
      </c>
    </row>
    <row r="1439" spans="1:7" ht="12.6" customHeight="1" x14ac:dyDescent="0.3">
      <c r="A1439" s="68"/>
      <c r="B1439" s="77" t="s">
        <v>1883</v>
      </c>
      <c r="C1439" s="78"/>
      <c r="D1439" s="78"/>
      <c r="E1439" s="78"/>
      <c r="F1439" s="78"/>
      <c r="G1439" s="17" t="s">
        <v>1882</v>
      </c>
    </row>
    <row r="1440" spans="1:7" ht="12.6" customHeight="1" x14ac:dyDescent="0.3">
      <c r="A1440" s="78"/>
      <c r="B1440" s="78"/>
      <c r="C1440" s="78"/>
      <c r="D1440" s="78"/>
      <c r="E1440" s="78"/>
      <c r="F1440" s="78"/>
      <c r="G1440" s="17" t="s">
        <v>1229</v>
      </c>
    </row>
    <row r="1441" spans="1:25" ht="12.6" customHeight="1" x14ac:dyDescent="0.3">
      <c r="A1441" s="68"/>
      <c r="B1441" s="77" t="s">
        <v>1885</v>
      </c>
      <c r="C1441" s="78"/>
      <c r="D1441" s="78"/>
      <c r="E1441" s="78"/>
      <c r="F1441" s="78"/>
      <c r="G1441" s="17" t="s">
        <v>1884</v>
      </c>
    </row>
    <row r="1442" spans="1:25" ht="12.6" customHeight="1" x14ac:dyDescent="0.3">
      <c r="A1442" s="78"/>
      <c r="B1442" s="78"/>
      <c r="C1442" s="78"/>
      <c r="D1442" s="78"/>
      <c r="E1442" s="78"/>
      <c r="F1442" s="78"/>
      <c r="G1442" s="17" t="s">
        <v>1229</v>
      </c>
    </row>
    <row r="1443" spans="1:25" ht="12.6" customHeight="1" x14ac:dyDescent="0.3">
      <c r="A1443" s="68" t="s">
        <v>1771</v>
      </c>
      <c r="B1443" s="102" t="str">
        <f>" 노 무 비  :   "&amp;TEXT(I1443,"#,##0"&amp;IF(I1443&lt;&gt;INT(I1443),".###",""))&amp;" / Q1 = "&amp;TEXT(C1443,"#,##0.0")&amp;""</f>
        <v xml:space="preserve"> 노 무 비  :   57,077 / Q1 = 2,114.7</v>
      </c>
      <c r="C1443" s="104">
        <f>E1443+D1443+F1443</f>
        <v>2114.6999999999998</v>
      </c>
      <c r="D1443" s="104">
        <f>IF(H1443=0,0,ROUNDDOWN(J1443*H1443,1))</f>
        <v>2114.6999999999998</v>
      </c>
      <c r="E1443" s="104">
        <f>IF(H1443=0,0,ROUNDDOWN(K1443*H1443,1))</f>
        <v>0</v>
      </c>
      <c r="F1443" s="104">
        <f>IF(H1443=0,0,ROUNDDOWN(L1443*H1443,1))</f>
        <v>0</v>
      </c>
      <c r="G1443" s="17" t="s">
        <v>1886</v>
      </c>
      <c r="H1443" s="109">
        <v>3.7050759540799998E-2</v>
      </c>
      <c r="I1443" s="110">
        <f>K1443+J1443+L1443</f>
        <v>57077</v>
      </c>
      <c r="J1443" s="39">
        <f>중기목록표!F14</f>
        <v>57077</v>
      </c>
      <c r="M1443" s="35" t="s">
        <v>1772</v>
      </c>
      <c r="N1443" s="35" t="s">
        <v>1247</v>
      </c>
      <c r="X1443" s="111" t="str">
        <f>중기목록표!B14&amp;" / "&amp;중기목록표!C14</f>
        <v>덤프트럭 / 15톤</v>
      </c>
      <c r="Y1443" s="3" t="str">
        <f ca="1">HYPERLINK("#"&amp;중기목록표!J2&amp;"!A"&amp;ROW(중기목록표!A14),"X00064 →")</f>
        <v>X00064 →</v>
      </c>
    </row>
    <row r="1444" spans="1:25" ht="12.6" customHeight="1" x14ac:dyDescent="0.3">
      <c r="A1444" s="78"/>
      <c r="B1444" s="78"/>
      <c r="C1444" s="78"/>
      <c r="D1444" s="78"/>
      <c r="E1444" s="78"/>
      <c r="F1444" s="78"/>
      <c r="G1444" s="17" t="s">
        <v>1229</v>
      </c>
    </row>
    <row r="1445" spans="1:25" ht="12.6" customHeight="1" x14ac:dyDescent="0.3">
      <c r="A1445" s="68" t="s">
        <v>1774</v>
      </c>
      <c r="B1445" s="102" t="str">
        <f>" 재 료 비  :   "&amp;TEXT(I1445,"#,##0"&amp;IF(I1445&lt;&gt;INT(I1445),".###",""))&amp;" / Q1*(Cm1-t1)/Cm1 = "&amp;TEXT(C1445,"#,##0.0")&amp;""</f>
        <v xml:space="preserve"> 재 료 비  :   29,819 / Q1*(Cm1-t1)/Cm1 = 230.7</v>
      </c>
      <c r="C1445" s="104">
        <f>E1445+D1445+F1445</f>
        <v>230.7</v>
      </c>
      <c r="D1445" s="104">
        <f>IF(H1445=0,0,ROUNDDOWN(J1445*H1445,1))</f>
        <v>0</v>
      </c>
      <c r="E1445" s="104">
        <f>IF(H1445=0,0,ROUNDDOWN(K1445*H1445,1))</f>
        <v>230.7</v>
      </c>
      <c r="F1445" s="104">
        <f>IF(H1445=0,0,ROUNDDOWN(L1445*H1445,1))</f>
        <v>0</v>
      </c>
      <c r="G1445" s="17" t="s">
        <v>1887</v>
      </c>
      <c r="H1445" s="109">
        <v>7.7391935426999996E-3</v>
      </c>
      <c r="I1445" s="110">
        <f>K1445+J1445+L1445</f>
        <v>29819</v>
      </c>
      <c r="K1445" s="39">
        <f>중기목록표!G14</f>
        <v>29819</v>
      </c>
      <c r="M1445" s="35" t="s">
        <v>1772</v>
      </c>
      <c r="N1445" s="35" t="s">
        <v>1247</v>
      </c>
      <c r="X1445" s="111" t="str">
        <f>중기목록표!B14&amp;" / "&amp;중기목록표!C14</f>
        <v>덤프트럭 / 15톤</v>
      </c>
      <c r="Y1445" s="3" t="str">
        <f ca="1">HYPERLINK("#"&amp;중기목록표!J2&amp;"!A"&amp;ROW(중기목록표!A14),"X00064 →")</f>
        <v>X00064 →</v>
      </c>
    </row>
    <row r="1446" spans="1:25" ht="12.6" customHeight="1" x14ac:dyDescent="0.3">
      <c r="A1446" s="78"/>
      <c r="B1446" s="78"/>
      <c r="C1446" s="78"/>
      <c r="D1446" s="78"/>
      <c r="E1446" s="78"/>
      <c r="F1446" s="78"/>
      <c r="G1446" s="17" t="s">
        <v>1229</v>
      </c>
    </row>
    <row r="1447" spans="1:25" ht="12.6" customHeight="1" x14ac:dyDescent="0.3">
      <c r="A1447" s="68" t="s">
        <v>1776</v>
      </c>
      <c r="B1447" s="102" t="str">
        <f>" 경    비  :   "&amp;TEXT(I1447,"#,##0"&amp;IF(I1447&lt;&gt;INT(I1447),".###",""))&amp;" / Q1 = "&amp;TEXT(C1447,"#,##0.0")&amp;""</f>
        <v xml:space="preserve"> 경    비  :   20,276 / Q1 = 751.2</v>
      </c>
      <c r="C1447" s="104">
        <f>E1447+D1447+F1447</f>
        <v>751.2</v>
      </c>
      <c r="D1447" s="104">
        <f>IF(H1447=0,0,ROUNDDOWN(J1447*H1447,1))</f>
        <v>0</v>
      </c>
      <c r="E1447" s="104">
        <f>IF(H1447=0,0,ROUNDDOWN(K1447*H1447,1))</f>
        <v>0</v>
      </c>
      <c r="F1447" s="104">
        <f>IF(H1447=0,0,ROUNDDOWN(L1447*H1447,1))</f>
        <v>751.2</v>
      </c>
      <c r="G1447" s="17" t="s">
        <v>1888</v>
      </c>
      <c r="H1447" s="109">
        <v>3.7050759540799998E-2</v>
      </c>
      <c r="I1447" s="110">
        <f>K1447+J1447+L1447</f>
        <v>20276</v>
      </c>
      <c r="L1447" s="39">
        <f>중기목록표!H14</f>
        <v>20276</v>
      </c>
      <c r="M1447" s="35" t="s">
        <v>1772</v>
      </c>
      <c r="N1447" s="35" t="s">
        <v>1247</v>
      </c>
      <c r="X1447" s="111" t="str">
        <f>중기목록표!B14&amp;" / "&amp;중기목록표!C14</f>
        <v>덤프트럭 / 15톤</v>
      </c>
      <c r="Y1447" s="3" t="str">
        <f ca="1">HYPERLINK("#"&amp;중기목록표!J2&amp;"!A"&amp;ROW(중기목록표!A14),"X00064 →")</f>
        <v>X00064 →</v>
      </c>
    </row>
    <row r="1448" spans="1:25" ht="12.6" customHeight="1" x14ac:dyDescent="0.3">
      <c r="A1448" s="78"/>
      <c r="B1448" s="78"/>
      <c r="C1448" s="78"/>
      <c r="D1448" s="78"/>
      <c r="E1448" s="78"/>
      <c r="F1448" s="78"/>
      <c r="G1448" s="17" t="s">
        <v>1229</v>
      </c>
    </row>
    <row r="1449" spans="1:25" ht="12.6" customHeight="1" x14ac:dyDescent="0.3">
      <c r="A1449" s="68"/>
      <c r="B1449" s="77" t="s">
        <v>1246</v>
      </c>
      <c r="C1449" s="105">
        <f>E1449+D1449+F1449</f>
        <v>3096.5999999999995</v>
      </c>
      <c r="D1449" s="105">
        <f>SUMIF(N1420:N1448,M1449,D1420:D1448)</f>
        <v>2114.6999999999998</v>
      </c>
      <c r="E1449" s="105">
        <f>SUMIF(N1420:N1448,M1449,E1420:E1448)</f>
        <v>230.7</v>
      </c>
      <c r="F1449" s="105">
        <f>SUMIF(N1420:N1448,M1449,F1420:F1448)</f>
        <v>751.2</v>
      </c>
      <c r="G1449" s="17" t="s">
        <v>1245</v>
      </c>
      <c r="M1449" s="35" t="s">
        <v>1247</v>
      </c>
      <c r="N1449" s="35" t="s">
        <v>1348</v>
      </c>
    </row>
    <row r="1450" spans="1:25" ht="12.6" customHeight="1" x14ac:dyDescent="0.3">
      <c r="A1450" s="78"/>
      <c r="B1450" s="78"/>
      <c r="C1450" s="103"/>
      <c r="D1450" s="103"/>
      <c r="E1450" s="103"/>
      <c r="F1450" s="103"/>
      <c r="G1450" s="17" t="s">
        <v>1229</v>
      </c>
    </row>
    <row r="1451" spans="1:25" ht="12.6" customHeight="1" x14ac:dyDescent="0.3">
      <c r="A1451" s="68"/>
      <c r="B1451" s="77" t="s">
        <v>1890</v>
      </c>
      <c r="C1451" s="78"/>
      <c r="D1451" s="78"/>
      <c r="E1451" s="78"/>
      <c r="F1451" s="78"/>
      <c r="G1451" s="17" t="s">
        <v>1889</v>
      </c>
    </row>
    <row r="1452" spans="1:25" ht="12.6" customHeight="1" x14ac:dyDescent="0.3">
      <c r="A1452" s="78"/>
      <c r="B1452" s="78"/>
      <c r="C1452" s="78"/>
      <c r="D1452" s="78"/>
      <c r="E1452" s="78"/>
      <c r="F1452" s="78"/>
      <c r="G1452" s="17" t="s">
        <v>1229</v>
      </c>
    </row>
    <row r="1453" spans="1:25" ht="12.6" customHeight="1" x14ac:dyDescent="0.3">
      <c r="A1453" s="68"/>
      <c r="B1453" s="77" t="s">
        <v>1857</v>
      </c>
      <c r="C1453" s="78"/>
      <c r="D1453" s="78"/>
      <c r="E1453" s="78"/>
      <c r="F1453" s="78"/>
      <c r="G1453" s="17" t="s">
        <v>1856</v>
      </c>
    </row>
    <row r="1454" spans="1:25" ht="12.6" customHeight="1" x14ac:dyDescent="0.3">
      <c r="A1454" s="78"/>
      <c r="B1454" s="78"/>
      <c r="C1454" s="78"/>
      <c r="D1454" s="78"/>
      <c r="E1454" s="78"/>
      <c r="F1454" s="78"/>
      <c r="G1454" s="17" t="s">
        <v>1229</v>
      </c>
    </row>
    <row r="1455" spans="1:25" ht="12.6" customHeight="1" x14ac:dyDescent="0.3">
      <c r="A1455" s="68"/>
      <c r="B1455" s="77" t="s">
        <v>1892</v>
      </c>
      <c r="C1455" s="78"/>
      <c r="D1455" s="78"/>
      <c r="E1455" s="78"/>
      <c r="F1455" s="78"/>
      <c r="G1455" s="17" t="s">
        <v>1891</v>
      </c>
    </row>
    <row r="1456" spans="1:25" ht="12.6" customHeight="1" x14ac:dyDescent="0.3">
      <c r="A1456" s="78"/>
      <c r="B1456" s="78"/>
      <c r="C1456" s="78"/>
      <c r="D1456" s="78"/>
      <c r="E1456" s="78"/>
      <c r="F1456" s="78"/>
      <c r="G1456" s="17" t="s">
        <v>1229</v>
      </c>
    </row>
    <row r="1457" spans="1:25" ht="12.6" customHeight="1" x14ac:dyDescent="0.3">
      <c r="A1457" s="68"/>
      <c r="B1457" s="77" t="s">
        <v>1602</v>
      </c>
      <c r="C1457" s="78"/>
      <c r="D1457" s="78"/>
      <c r="E1457" s="78"/>
      <c r="F1457" s="78"/>
      <c r="G1457" s="17" t="s">
        <v>1601</v>
      </c>
    </row>
    <row r="1458" spans="1:25" ht="12.6" customHeight="1" x14ac:dyDescent="0.3">
      <c r="A1458" s="78"/>
      <c r="B1458" s="78"/>
      <c r="C1458" s="78"/>
      <c r="D1458" s="78"/>
      <c r="E1458" s="78"/>
      <c r="F1458" s="78"/>
      <c r="G1458" s="17" t="s">
        <v>1229</v>
      </c>
    </row>
    <row r="1459" spans="1:25" ht="12.6" customHeight="1" x14ac:dyDescent="0.3">
      <c r="A1459" s="68"/>
      <c r="B1459" s="77" t="s">
        <v>1894</v>
      </c>
      <c r="C1459" s="78"/>
      <c r="D1459" s="78"/>
      <c r="E1459" s="78"/>
      <c r="F1459" s="78"/>
      <c r="G1459" s="17" t="s">
        <v>1893</v>
      </c>
    </row>
    <row r="1460" spans="1:25" ht="12.6" customHeight="1" x14ac:dyDescent="0.3">
      <c r="A1460" s="78"/>
      <c r="B1460" s="78"/>
      <c r="C1460" s="78"/>
      <c r="D1460" s="78"/>
      <c r="E1460" s="78"/>
      <c r="F1460" s="78"/>
      <c r="G1460" s="17" t="s">
        <v>1229</v>
      </c>
    </row>
    <row r="1461" spans="1:25" ht="12.6" customHeight="1" x14ac:dyDescent="0.3">
      <c r="A1461" s="68"/>
      <c r="B1461" s="77" t="s">
        <v>1863</v>
      </c>
      <c r="C1461" s="78"/>
      <c r="D1461" s="78"/>
      <c r="E1461" s="78"/>
      <c r="F1461" s="78"/>
      <c r="G1461" s="17" t="s">
        <v>1862</v>
      </c>
    </row>
    <row r="1462" spans="1:25" ht="12.6" customHeight="1" x14ac:dyDescent="0.3">
      <c r="A1462" s="78"/>
      <c r="B1462" s="78"/>
      <c r="C1462" s="78"/>
      <c r="D1462" s="78"/>
      <c r="E1462" s="78"/>
      <c r="F1462" s="78"/>
      <c r="G1462" s="17" t="s">
        <v>1229</v>
      </c>
    </row>
    <row r="1463" spans="1:25" ht="12.6" customHeight="1" x14ac:dyDescent="0.3">
      <c r="A1463" s="68"/>
      <c r="B1463" s="77" t="s">
        <v>1896</v>
      </c>
      <c r="C1463" s="78"/>
      <c r="D1463" s="78"/>
      <c r="E1463" s="78"/>
      <c r="F1463" s="78"/>
      <c r="G1463" s="17" t="s">
        <v>1895</v>
      </c>
    </row>
    <row r="1464" spans="1:25" ht="12.6" customHeight="1" x14ac:dyDescent="0.3">
      <c r="A1464" s="78"/>
      <c r="B1464" s="78"/>
      <c r="C1464" s="78"/>
      <c r="D1464" s="78"/>
      <c r="E1464" s="78"/>
      <c r="F1464" s="78"/>
      <c r="G1464" s="17" t="s">
        <v>1229</v>
      </c>
    </row>
    <row r="1465" spans="1:25" ht="12.6" customHeight="1" x14ac:dyDescent="0.3">
      <c r="A1465" s="68" t="s">
        <v>1270</v>
      </c>
      <c r="B1465" s="102" t="str">
        <f>" 노 무 비  :   "&amp;TEXT(I1465,"#,##0"&amp;IF(I1465&lt;&gt;INT(I1465),".###",""))&amp;" / Q3 / 3 = "&amp;TEXT(C1465,"#,##0.0")&amp;""</f>
        <v xml:space="preserve"> 노 무 비  :   57,077 / Q3 / 3 = 232.3</v>
      </c>
      <c r="C1465" s="104">
        <f>E1465+D1465+F1465</f>
        <v>232.3</v>
      </c>
      <c r="D1465" s="104">
        <f>IF(H1465=0,0,ROUNDDOWN(J1465*H1465,1))</f>
        <v>232.3</v>
      </c>
      <c r="E1465" s="104">
        <f>IF(H1465=0,0,ROUNDDOWN(K1465*H1465,1))</f>
        <v>0</v>
      </c>
      <c r="F1465" s="104">
        <f>IF(H1465=0,0,ROUNDDOWN(L1465*H1465,1))</f>
        <v>0</v>
      </c>
      <c r="G1465" s="17" t="s">
        <v>1897</v>
      </c>
      <c r="H1465" s="109">
        <v>4.0700040701999998E-3</v>
      </c>
      <c r="I1465" s="110">
        <f>K1465+J1465+L1465</f>
        <v>57077</v>
      </c>
      <c r="J1465" s="39">
        <f>중기목록표!F8</f>
        <v>57077</v>
      </c>
      <c r="M1465" s="35" t="s">
        <v>1271</v>
      </c>
      <c r="N1465" s="35" t="s">
        <v>1247</v>
      </c>
      <c r="X1465" s="111" t="str">
        <f>중기목록표!B8&amp;" / "&amp;중기목록표!C8</f>
        <v>굴삭기(무한궤도) / 0.7㎥</v>
      </c>
      <c r="Y1465" s="3" t="str">
        <f ca="1">HYPERLINK("#"&amp;중기목록표!J2&amp;"!A"&amp;ROW(중기목록표!A8),"X00022 →")</f>
        <v>X00022 →</v>
      </c>
    </row>
    <row r="1466" spans="1:25" ht="12.6" customHeight="1" x14ac:dyDescent="0.3">
      <c r="A1466" s="78"/>
      <c r="B1466" s="78"/>
      <c r="C1466" s="78"/>
      <c r="D1466" s="78"/>
      <c r="E1466" s="78"/>
      <c r="F1466" s="78"/>
      <c r="G1466" s="17" t="s">
        <v>1229</v>
      </c>
    </row>
    <row r="1467" spans="1:25" ht="12.6" customHeight="1" x14ac:dyDescent="0.3">
      <c r="A1467" s="68" t="s">
        <v>1273</v>
      </c>
      <c r="B1467" s="102" t="str">
        <f>" 재 료 비  :   "&amp;TEXT(I1467,"#,##0"&amp;IF(I1467&lt;&gt;INT(I1467),".###",""))&amp;" / Q3 / 3 = "&amp;TEXT(C1467,"#,##0.0")&amp;""</f>
        <v xml:space="preserve"> 재 료 비  :   19,232 / Q3 / 3 = 78.2</v>
      </c>
      <c r="C1467" s="104">
        <f>E1467+D1467+F1467</f>
        <v>78.2</v>
      </c>
      <c r="D1467" s="104">
        <f>IF(H1467=0,0,ROUNDDOWN(J1467*H1467,1))</f>
        <v>0</v>
      </c>
      <c r="E1467" s="104">
        <f>IF(H1467=0,0,ROUNDDOWN(K1467*H1467,1))</f>
        <v>78.2</v>
      </c>
      <c r="F1467" s="104">
        <f>IF(H1467=0,0,ROUNDDOWN(L1467*H1467,1))</f>
        <v>0</v>
      </c>
      <c r="G1467" s="17" t="s">
        <v>1898</v>
      </c>
      <c r="H1467" s="109">
        <v>4.0700040701999998E-3</v>
      </c>
      <c r="I1467" s="110">
        <f>K1467+J1467+L1467</f>
        <v>19232</v>
      </c>
      <c r="K1467" s="39">
        <f>중기목록표!G8</f>
        <v>19232</v>
      </c>
      <c r="M1467" s="35" t="s">
        <v>1271</v>
      </c>
      <c r="N1467" s="35" t="s">
        <v>1247</v>
      </c>
      <c r="X1467" s="111" t="str">
        <f>중기목록표!B8&amp;" / "&amp;중기목록표!C8</f>
        <v>굴삭기(무한궤도) / 0.7㎥</v>
      </c>
      <c r="Y1467" s="3" t="str">
        <f ca="1">HYPERLINK("#"&amp;중기목록표!J2&amp;"!A"&amp;ROW(중기목록표!A8),"X00022 →")</f>
        <v>X00022 →</v>
      </c>
    </row>
    <row r="1468" spans="1:25" ht="12.6" customHeight="1" x14ac:dyDescent="0.3">
      <c r="A1468" s="78"/>
      <c r="B1468" s="78"/>
      <c r="C1468" s="78"/>
      <c r="D1468" s="78"/>
      <c r="E1468" s="78"/>
      <c r="F1468" s="78"/>
      <c r="G1468" s="17" t="s">
        <v>1229</v>
      </c>
    </row>
    <row r="1469" spans="1:25" ht="12.6" customHeight="1" x14ac:dyDescent="0.3">
      <c r="A1469" s="68" t="s">
        <v>1275</v>
      </c>
      <c r="B1469" s="102" t="str">
        <f>" 경    비  :   "&amp;TEXT(I1469,"#,##0"&amp;IF(I1469&lt;&gt;INT(I1469),".###",""))&amp;" / Q3 / 3 = "&amp;TEXT(C1469,"#,##0.0")&amp;""</f>
        <v xml:space="preserve"> 경    비  :   24,001 / Q3 / 3 = 97.6</v>
      </c>
      <c r="C1469" s="104">
        <f>E1469+D1469+F1469</f>
        <v>97.6</v>
      </c>
      <c r="D1469" s="104">
        <f>IF(H1469=0,0,ROUNDDOWN(J1469*H1469,1))</f>
        <v>0</v>
      </c>
      <c r="E1469" s="104">
        <f>IF(H1469=0,0,ROUNDDOWN(K1469*H1469,1))</f>
        <v>0</v>
      </c>
      <c r="F1469" s="104">
        <f>IF(H1469=0,0,ROUNDDOWN(L1469*H1469,1))</f>
        <v>97.6</v>
      </c>
      <c r="G1469" s="17" t="s">
        <v>1899</v>
      </c>
      <c r="H1469" s="109">
        <v>4.0700040701999998E-3</v>
      </c>
      <c r="I1469" s="110">
        <f>K1469+J1469+L1469</f>
        <v>24001</v>
      </c>
      <c r="L1469" s="39">
        <f>중기목록표!H8</f>
        <v>24001</v>
      </c>
      <c r="M1469" s="35" t="s">
        <v>1271</v>
      </c>
      <c r="N1469" s="35" t="s">
        <v>1247</v>
      </c>
      <c r="X1469" s="111" t="str">
        <f>중기목록표!B8&amp;" / "&amp;중기목록표!C8</f>
        <v>굴삭기(무한궤도) / 0.7㎥</v>
      </c>
      <c r="Y1469" s="3" t="str">
        <f ca="1">HYPERLINK("#"&amp;중기목록표!J2&amp;"!A"&amp;ROW(중기목록표!A8),"X00022 →")</f>
        <v>X00022 →</v>
      </c>
    </row>
    <row r="1470" spans="1:25" ht="12.6" customHeight="1" x14ac:dyDescent="0.3">
      <c r="A1470" s="78"/>
      <c r="B1470" s="78"/>
      <c r="C1470" s="78"/>
      <c r="D1470" s="78"/>
      <c r="E1470" s="78"/>
      <c r="F1470" s="78"/>
      <c r="G1470" s="17" t="s">
        <v>1229</v>
      </c>
    </row>
    <row r="1471" spans="1:25" ht="12.6" customHeight="1" x14ac:dyDescent="0.3">
      <c r="A1471" s="68"/>
      <c r="B1471" s="77" t="s">
        <v>1246</v>
      </c>
      <c r="C1471" s="105">
        <f>E1471+D1471+F1471</f>
        <v>408.1</v>
      </c>
      <c r="D1471" s="105">
        <f>SUMIF(N1450:N1470,M1471,D1450:D1470)</f>
        <v>232.3</v>
      </c>
      <c r="E1471" s="105">
        <f>SUMIF(N1450:N1470,M1471,E1450:E1470)</f>
        <v>78.2</v>
      </c>
      <c r="F1471" s="105">
        <f>SUMIF(N1450:N1470,M1471,F1450:F1470)</f>
        <v>97.6</v>
      </c>
      <c r="G1471" s="17" t="s">
        <v>1245</v>
      </c>
      <c r="M1471" s="35" t="s">
        <v>1247</v>
      </c>
      <c r="N1471" s="35" t="s">
        <v>1348</v>
      </c>
    </row>
    <row r="1472" spans="1:25" ht="12.6" customHeight="1" x14ac:dyDescent="0.3">
      <c r="A1472" s="78"/>
      <c r="B1472" s="78"/>
      <c r="C1472" s="103"/>
      <c r="D1472" s="103"/>
      <c r="E1472" s="103"/>
      <c r="F1472" s="103"/>
      <c r="G1472" s="17" t="s">
        <v>1229</v>
      </c>
    </row>
    <row r="1473" spans="1:14" ht="12.6" customHeight="1" x14ac:dyDescent="0.3">
      <c r="A1473" s="68"/>
      <c r="B1473" s="77" t="s">
        <v>1101</v>
      </c>
      <c r="C1473" s="105">
        <f>E1473+D1473+F1473</f>
        <v>4865.5</v>
      </c>
      <c r="D1473" s="105">
        <f>SUMIF(N1397:N1472,M1473,D1397:D1472)</f>
        <v>3121.3</v>
      </c>
      <c r="E1473" s="105">
        <f>SUMIF(N1397:N1472,M1473,E1397:E1472)</f>
        <v>569.79999999999995</v>
      </c>
      <c r="F1473" s="105">
        <f>SUMIF(N1397:N1472,M1473,F1397:F1472)</f>
        <v>1174.4000000000001</v>
      </c>
      <c r="G1473" s="17" t="s">
        <v>1347</v>
      </c>
      <c r="M1473" s="35" t="s">
        <v>1348</v>
      </c>
      <c r="N1473" s="35" t="s">
        <v>1011</v>
      </c>
    </row>
    <row r="1474" spans="1:14" ht="12.6" customHeight="1" x14ac:dyDescent="0.3">
      <c r="A1474" s="78"/>
      <c r="B1474" s="78"/>
      <c r="C1474" s="103"/>
      <c r="D1474" s="103"/>
      <c r="E1474" s="103"/>
      <c r="F1474" s="103"/>
    </row>
    <row r="1475" spans="1:14" ht="12.6" customHeight="1" x14ac:dyDescent="0.3">
      <c r="A1475" s="78"/>
      <c r="B1475" s="78"/>
      <c r="C1475" s="78"/>
      <c r="D1475" s="78"/>
      <c r="E1475" s="78"/>
      <c r="F1475" s="78"/>
    </row>
    <row r="1476" spans="1:14" ht="12.6" customHeight="1" x14ac:dyDescent="0.3">
      <c r="A1476" s="78"/>
      <c r="B1476" s="78"/>
      <c r="C1476" s="78"/>
      <c r="D1476" s="78"/>
      <c r="E1476" s="78"/>
      <c r="F1476" s="78"/>
    </row>
    <row r="1477" spans="1:14" ht="12.6" customHeight="1" x14ac:dyDescent="0.3">
      <c r="A1477" s="78"/>
      <c r="B1477" s="78"/>
      <c r="C1477" s="78"/>
      <c r="D1477" s="78"/>
      <c r="E1477" s="78"/>
      <c r="F1477" s="78"/>
    </row>
    <row r="1478" spans="1:14" ht="12.6" customHeight="1" x14ac:dyDescent="0.3">
      <c r="A1478" s="78"/>
      <c r="B1478" s="78"/>
      <c r="C1478" s="78"/>
      <c r="D1478" s="78"/>
      <c r="E1478" s="78"/>
      <c r="F1478" s="78"/>
    </row>
    <row r="1479" spans="1:14" ht="12.6" customHeight="1" x14ac:dyDescent="0.3">
      <c r="A1479" s="78"/>
      <c r="B1479" s="78"/>
      <c r="C1479" s="78"/>
      <c r="D1479" s="78"/>
      <c r="E1479" s="78"/>
      <c r="F1479" s="78"/>
    </row>
    <row r="1480" spans="1:14" ht="12.6" customHeight="1" x14ac:dyDescent="0.3">
      <c r="A1480" s="78"/>
      <c r="B1480" s="78"/>
      <c r="C1480" s="78"/>
      <c r="D1480" s="78"/>
      <c r="E1480" s="78"/>
      <c r="F1480" s="78"/>
    </row>
    <row r="1481" spans="1:14" ht="12.6" customHeight="1" x14ac:dyDescent="0.3">
      <c r="A1481" s="78"/>
      <c r="B1481" s="78"/>
      <c r="C1481" s="78"/>
      <c r="D1481" s="78"/>
      <c r="E1481" s="78"/>
      <c r="F1481" s="78"/>
    </row>
    <row r="1482" spans="1:14" ht="12.6" customHeight="1" x14ac:dyDescent="0.3">
      <c r="A1482" s="78"/>
      <c r="B1482" s="78"/>
      <c r="C1482" s="78"/>
      <c r="D1482" s="78"/>
      <c r="E1482" s="78"/>
      <c r="F1482" s="78"/>
    </row>
    <row r="1483" spans="1:14" ht="12.6" customHeight="1" x14ac:dyDescent="0.3">
      <c r="A1483" s="78"/>
      <c r="B1483" s="78"/>
      <c r="C1483" s="78"/>
      <c r="D1483" s="78"/>
      <c r="E1483" s="78"/>
      <c r="F1483" s="78"/>
    </row>
    <row r="1484" spans="1:14" ht="12.6" customHeight="1" x14ac:dyDescent="0.3">
      <c r="A1484" s="78"/>
      <c r="B1484" s="78"/>
      <c r="C1484" s="78"/>
      <c r="D1484" s="78"/>
      <c r="E1484" s="78"/>
      <c r="F1484" s="78"/>
    </row>
    <row r="1485" spans="1:14" ht="12.6" customHeight="1" x14ac:dyDescent="0.3">
      <c r="A1485" s="78"/>
      <c r="B1485" s="78"/>
      <c r="C1485" s="78"/>
      <c r="D1485" s="78"/>
      <c r="E1485" s="78"/>
      <c r="F1485" s="78"/>
    </row>
    <row r="1486" spans="1:14" ht="12.6" customHeight="1" x14ac:dyDescent="0.3">
      <c r="A1486" s="78"/>
      <c r="B1486" s="78"/>
      <c r="C1486" s="78"/>
      <c r="D1486" s="78"/>
      <c r="E1486" s="78"/>
      <c r="F1486" s="78"/>
    </row>
    <row r="1487" spans="1:14" ht="12.6" customHeight="1" x14ac:dyDescent="0.3">
      <c r="A1487" s="78"/>
      <c r="B1487" s="78"/>
      <c r="C1487" s="78"/>
      <c r="D1487" s="78"/>
      <c r="E1487" s="78"/>
      <c r="F1487" s="78"/>
    </row>
    <row r="1488" spans="1:14" ht="12.6" customHeight="1" x14ac:dyDescent="0.3">
      <c r="A1488" s="78"/>
      <c r="B1488" s="78"/>
      <c r="C1488" s="78"/>
      <c r="D1488" s="78"/>
      <c r="E1488" s="78"/>
      <c r="F1488" s="78"/>
    </row>
    <row r="1489" spans="1:14" ht="12.6" customHeight="1" x14ac:dyDescent="0.3">
      <c r="A1489" s="78"/>
      <c r="B1489" s="78"/>
      <c r="C1489" s="78"/>
      <c r="D1489" s="78"/>
      <c r="E1489" s="78"/>
      <c r="F1489" s="78"/>
    </row>
    <row r="1490" spans="1:14" ht="12.6" customHeight="1" x14ac:dyDescent="0.3">
      <c r="A1490" s="78"/>
      <c r="B1490" s="78"/>
      <c r="C1490" s="78"/>
      <c r="D1490" s="78"/>
      <c r="E1490" s="78"/>
      <c r="F1490" s="78"/>
    </row>
    <row r="1491" spans="1:14" ht="12.6" customHeight="1" x14ac:dyDescent="0.3">
      <c r="A1491" s="78"/>
      <c r="B1491" s="78"/>
      <c r="C1491" s="78"/>
      <c r="D1491" s="78"/>
      <c r="E1491" s="78"/>
      <c r="F1491" s="78"/>
    </row>
    <row r="1492" spans="1:14" ht="12.6" customHeight="1" x14ac:dyDescent="0.3">
      <c r="A1492" s="78"/>
      <c r="B1492" s="78"/>
      <c r="C1492" s="78"/>
      <c r="D1492" s="78"/>
      <c r="E1492" s="78"/>
      <c r="F1492" s="78"/>
    </row>
    <row r="1493" spans="1:14" ht="12.6" customHeight="1" x14ac:dyDescent="0.3">
      <c r="A1493" s="78"/>
      <c r="B1493" s="78"/>
      <c r="C1493" s="78"/>
      <c r="D1493" s="78"/>
      <c r="E1493" s="78"/>
      <c r="F1493" s="78"/>
    </row>
    <row r="1494" spans="1:14" ht="12.6" customHeight="1" x14ac:dyDescent="0.3">
      <c r="A1494" s="78"/>
      <c r="B1494" s="78"/>
      <c r="C1494" s="78"/>
      <c r="D1494" s="78"/>
      <c r="E1494" s="78"/>
      <c r="F1494" s="78"/>
    </row>
    <row r="1495" spans="1:14" ht="12.6" customHeight="1" x14ac:dyDescent="0.3">
      <c r="A1495" s="78"/>
      <c r="B1495" s="78"/>
      <c r="C1495" s="78"/>
      <c r="D1495" s="78"/>
      <c r="E1495" s="78"/>
      <c r="F1495" s="78"/>
    </row>
    <row r="1496" spans="1:14" ht="12.6" customHeight="1" x14ac:dyDescent="0.3">
      <c r="A1496" s="56"/>
      <c r="B1496" s="56"/>
      <c r="C1496" s="56"/>
      <c r="D1496" s="56"/>
      <c r="E1496" s="56"/>
      <c r="F1496" s="56"/>
    </row>
    <row r="1497" spans="1:14" ht="12.6" customHeight="1" x14ac:dyDescent="0.3">
      <c r="A1497" s="143" t="s">
        <v>1101</v>
      </c>
      <c r="B1497" s="144"/>
      <c r="C1497" s="54">
        <f>E1497+D1497+F1497</f>
        <v>4864</v>
      </c>
      <c r="D1497" s="52">
        <f>ROUNDDOWN(SUMIF(N1397:N1473,M1497,D1397:D1473),0)</f>
        <v>3121</v>
      </c>
      <c r="E1497" s="64">
        <f>ROUNDDOWN(SUMIF(N1397:N1473,M1497,E1397:E1473),0)</f>
        <v>569</v>
      </c>
      <c r="F1497" s="54">
        <f>ROUNDDOWN(SUMIF(N1397:N1473,M1497,F1397:F1473),0)</f>
        <v>1174</v>
      </c>
      <c r="M1497" s="35" t="s">
        <v>1011</v>
      </c>
      <c r="N1497" s="35" t="s">
        <v>1102</v>
      </c>
    </row>
    <row r="1498" spans="1:14" ht="12.6" customHeight="1" x14ac:dyDescent="0.3">
      <c r="A1498" s="143" t="s">
        <v>1103</v>
      </c>
      <c r="B1498" s="144"/>
      <c r="C1498" s="54">
        <f>E1498+D1498+F1498</f>
        <v>4267</v>
      </c>
      <c r="D1498" s="52">
        <f>ROUNDDOWN(D1497*H1498/100,0)</f>
        <v>2738</v>
      </c>
      <c r="E1498" s="64">
        <f>ROUNDDOWN(E1497*H1498/100,0)</f>
        <v>499</v>
      </c>
      <c r="F1498" s="54">
        <f>ROUNDDOWN(F1497*H1498/100,0)</f>
        <v>1030</v>
      </c>
      <c r="H1498" s="37">
        <v>87.745000000000005</v>
      </c>
      <c r="M1498" s="35" t="s">
        <v>1102</v>
      </c>
    </row>
    <row r="1499" spans="1:14" ht="12.6" customHeight="1" x14ac:dyDescent="0.3">
      <c r="A1499" s="100" t="s">
        <v>251</v>
      </c>
      <c r="B1499" s="101" t="s">
        <v>249</v>
      </c>
      <c r="C1499" s="150">
        <f>C1567</f>
        <v>1657</v>
      </c>
      <c r="D1499" s="150">
        <f>D1567</f>
        <v>988</v>
      </c>
      <c r="E1499" s="150">
        <f>E1567</f>
        <v>628</v>
      </c>
      <c r="F1499" s="150">
        <f>F1567</f>
        <v>41</v>
      </c>
      <c r="G1499" s="97" t="str">
        <f>HYPERLINK("#G"&amp;ROW(G1558),"_x0005_`BDCOD|D01488_x0007_`POSS|"&amp;ROW(G1501)&amp;"_x0007_`POSE|"&amp;ROW(G1558)&amp;"_x0007_`")</f>
        <v>_x0005_`BDCOD|D01488_x0007_`POSS|1501_x0007_`POSE|1558_x0007_`</v>
      </c>
    </row>
    <row r="1500" spans="1:14" ht="12.6" customHeight="1" x14ac:dyDescent="0.3">
      <c r="A1500" s="83"/>
      <c r="B1500" s="101" t="s">
        <v>248</v>
      </c>
      <c r="C1500" s="139"/>
      <c r="D1500" s="139"/>
      <c r="E1500" s="139"/>
      <c r="F1500" s="139"/>
      <c r="M1500" s="35" t="s">
        <v>251</v>
      </c>
    </row>
    <row r="1501" spans="1:14" ht="12.6" customHeight="1" x14ac:dyDescent="0.3">
      <c r="A1501" s="68"/>
      <c r="B1501" s="77" t="s">
        <v>1901</v>
      </c>
      <c r="C1501" s="103"/>
      <c r="D1501" s="103"/>
      <c r="E1501" s="103"/>
      <c r="F1501" s="103"/>
      <c r="G1501" s="17" t="s">
        <v>1900</v>
      </c>
    </row>
    <row r="1502" spans="1:14" ht="12.6" customHeight="1" x14ac:dyDescent="0.3">
      <c r="A1502" s="78"/>
      <c r="B1502" s="78"/>
      <c r="C1502" s="78"/>
      <c r="D1502" s="78"/>
      <c r="E1502" s="78"/>
      <c r="F1502" s="78"/>
      <c r="G1502" s="17" t="s">
        <v>1229</v>
      </c>
    </row>
    <row r="1503" spans="1:14" ht="12.6" customHeight="1" x14ac:dyDescent="0.3">
      <c r="A1503" s="68"/>
      <c r="B1503" s="77" t="s">
        <v>1903</v>
      </c>
      <c r="C1503" s="78"/>
      <c r="D1503" s="78"/>
      <c r="E1503" s="78"/>
      <c r="F1503" s="78"/>
      <c r="G1503" s="17" t="s">
        <v>1902</v>
      </c>
    </row>
    <row r="1504" spans="1:14" ht="12.6" customHeight="1" x14ac:dyDescent="0.3">
      <c r="A1504" s="78"/>
      <c r="B1504" s="78"/>
      <c r="C1504" s="78"/>
      <c r="D1504" s="78"/>
      <c r="E1504" s="78"/>
      <c r="F1504" s="78"/>
      <c r="G1504" s="17" t="s">
        <v>1229</v>
      </c>
    </row>
    <row r="1505" spans="1:25" ht="12.6" customHeight="1" x14ac:dyDescent="0.3">
      <c r="A1505" s="68"/>
      <c r="B1505" s="77" t="s">
        <v>1905</v>
      </c>
      <c r="C1505" s="78"/>
      <c r="D1505" s="78"/>
      <c r="E1505" s="78"/>
      <c r="F1505" s="78"/>
      <c r="G1505" s="17" t="s">
        <v>1904</v>
      </c>
    </row>
    <row r="1506" spans="1:25" ht="12.6" customHeight="1" x14ac:dyDescent="0.3">
      <c r="A1506" s="78"/>
      <c r="B1506" s="78"/>
      <c r="C1506" s="78"/>
      <c r="D1506" s="78"/>
      <c r="E1506" s="78"/>
      <c r="F1506" s="78"/>
      <c r="G1506" s="17" t="s">
        <v>1229</v>
      </c>
    </row>
    <row r="1507" spans="1:25" ht="12.6" customHeight="1" x14ac:dyDescent="0.3">
      <c r="A1507" s="68"/>
      <c r="B1507" s="77" t="s">
        <v>1907</v>
      </c>
      <c r="C1507" s="78"/>
      <c r="D1507" s="78"/>
      <c r="E1507" s="78"/>
      <c r="F1507" s="78"/>
      <c r="G1507" s="17" t="s">
        <v>1906</v>
      </c>
    </row>
    <row r="1508" spans="1:25" ht="12.6" customHeight="1" x14ac:dyDescent="0.3">
      <c r="A1508" s="78"/>
      <c r="B1508" s="78"/>
      <c r="C1508" s="78"/>
      <c r="D1508" s="78"/>
      <c r="E1508" s="78"/>
      <c r="F1508" s="78"/>
      <c r="G1508" s="17" t="s">
        <v>1229</v>
      </c>
    </row>
    <row r="1509" spans="1:25" ht="12.6" customHeight="1" x14ac:dyDescent="0.3">
      <c r="A1509" s="68" t="s">
        <v>1909</v>
      </c>
      <c r="B1509" s="102" t="str">
        <f>"   "&amp;TEXT(I1509,"#,##0"&amp;IF(I1509&lt;&gt;INT(I1509),".###",""))&amp;" * 0.31 / 100 = "&amp;TEXT(C1509,"#,##0.0")&amp;""</f>
        <v xml:space="preserve">   169,800 * 0.31 / 100 = 526.3</v>
      </c>
      <c r="C1509" s="104">
        <f>E1509+D1509+F1509</f>
        <v>526.29999999999995</v>
      </c>
      <c r="D1509" s="104">
        <f>IF(H1509=0,0,ROUNDDOWN(J1509*H1509,1))</f>
        <v>0</v>
      </c>
      <c r="E1509" s="104">
        <f>IF(H1509=0,0,ROUNDDOWN(K1509*H1509,1))</f>
        <v>526.29999999999995</v>
      </c>
      <c r="F1509" s="104">
        <f>IF(H1509=0,0,ROUNDDOWN(L1509*H1509,1))</f>
        <v>0</v>
      </c>
      <c r="G1509" s="17" t="s">
        <v>1908</v>
      </c>
      <c r="H1509" s="109">
        <v>3.1000000001000002E-3</v>
      </c>
      <c r="I1509" s="110">
        <f>K1509+J1509+L1509</f>
        <v>169800</v>
      </c>
      <c r="K1509" s="39">
        <f>재료비목록표!E7</f>
        <v>169800</v>
      </c>
      <c r="M1509" s="35" t="s">
        <v>1910</v>
      </c>
      <c r="N1509" s="35" t="s">
        <v>1247</v>
      </c>
      <c r="X1509" s="111" t="str">
        <f>재료비목록표!B7&amp;" / "&amp;재료비목록표!C7</f>
        <v>블레이드 / d=320~400mm t=3.2</v>
      </c>
      <c r="Y1509" s="3" t="str">
        <f ca="1">HYPERLINK("#"&amp;재료비목록표!G2&amp;"!A"&amp;ROW(재료비목록표!A7),"M00029 →")</f>
        <v>M00029 →</v>
      </c>
    </row>
    <row r="1510" spans="1:25" ht="12.6" customHeight="1" x14ac:dyDescent="0.3">
      <c r="A1510" s="78"/>
      <c r="B1510" s="78"/>
      <c r="C1510" s="78"/>
      <c r="D1510" s="78"/>
      <c r="E1510" s="78"/>
      <c r="F1510" s="78"/>
      <c r="G1510" s="17" t="s">
        <v>1229</v>
      </c>
    </row>
    <row r="1511" spans="1:25" ht="12.6" customHeight="1" x14ac:dyDescent="0.3">
      <c r="A1511" s="68"/>
      <c r="B1511" s="77" t="s">
        <v>1912</v>
      </c>
      <c r="C1511" s="78"/>
      <c r="D1511" s="78"/>
      <c r="E1511" s="78"/>
      <c r="F1511" s="78"/>
      <c r="G1511" s="17" t="s">
        <v>1911</v>
      </c>
    </row>
    <row r="1512" spans="1:25" ht="12.6" customHeight="1" x14ac:dyDescent="0.3">
      <c r="A1512" s="78"/>
      <c r="B1512" s="78"/>
      <c r="C1512" s="78"/>
      <c r="D1512" s="78"/>
      <c r="E1512" s="78"/>
      <c r="F1512" s="78"/>
      <c r="G1512" s="17" t="s">
        <v>1229</v>
      </c>
    </row>
    <row r="1513" spans="1:25" ht="12.6" customHeight="1" x14ac:dyDescent="0.3">
      <c r="A1513" s="68" t="s">
        <v>1914</v>
      </c>
      <c r="B1513" s="102" t="str">
        <f>"   "&amp;TEXT(I1513,"#,##0"&amp;IF(I1513&lt;&gt;INT(I1513),".###",""))&amp;" * 1.0 인 /Q1 = "&amp;TEXT(C1513,"#,##0.0")&amp;" 원/m "</f>
        <v xml:space="preserve">   221,506 * 1.0 인 /Q1 = 369.1 원/m </v>
      </c>
      <c r="C1513" s="104">
        <f>E1513+D1513+F1513</f>
        <v>369.1</v>
      </c>
      <c r="D1513" s="104">
        <f>IF(H1513=0,0,ROUNDDOWN(J1513*H1513,1))</f>
        <v>369.1</v>
      </c>
      <c r="E1513" s="104">
        <f>IF(H1513=0,0,ROUNDDOWN(K1513*H1513,1))</f>
        <v>0</v>
      </c>
      <c r="F1513" s="104">
        <f>IF(H1513=0,0,ROUNDDOWN(L1513*H1513,1))</f>
        <v>0</v>
      </c>
      <c r="G1513" s="17" t="s">
        <v>1913</v>
      </c>
      <c r="H1513" s="109">
        <v>1.6666666669000001E-3</v>
      </c>
      <c r="I1513" s="110">
        <f>K1513+J1513+L1513</f>
        <v>221506</v>
      </c>
      <c r="J1513" s="39">
        <f>노무비목록표!E10</f>
        <v>221506</v>
      </c>
      <c r="M1513" s="35" t="s">
        <v>1405</v>
      </c>
      <c r="N1513" s="35" t="s">
        <v>1247</v>
      </c>
      <c r="O1513" s="35" t="s">
        <v>996</v>
      </c>
      <c r="X1513" s="111" t="str">
        <f>노무비목록표!B10&amp;" / "&amp;노무비목록표!C10</f>
        <v xml:space="preserve">특별인부 / </v>
      </c>
      <c r="Y1513" s="3" t="str">
        <f ca="1">HYPERLINK("#"&amp;노무비목록표!G2&amp;"!A"&amp;ROW(노무비목록표!A10),"L00015 →")</f>
        <v>L00015 →</v>
      </c>
    </row>
    <row r="1514" spans="1:25" ht="12.6" customHeight="1" x14ac:dyDescent="0.3">
      <c r="A1514" s="78"/>
      <c r="B1514" s="78"/>
      <c r="C1514" s="78"/>
      <c r="D1514" s="78"/>
      <c r="E1514" s="78"/>
      <c r="F1514" s="78"/>
      <c r="G1514" s="17" t="s">
        <v>1229</v>
      </c>
    </row>
    <row r="1515" spans="1:25" ht="12.6" customHeight="1" x14ac:dyDescent="0.3">
      <c r="A1515" s="68"/>
      <c r="B1515" s="77" t="s">
        <v>1467</v>
      </c>
      <c r="C1515" s="78"/>
      <c r="D1515" s="78"/>
      <c r="E1515" s="78"/>
      <c r="F1515" s="78"/>
      <c r="G1515" s="17" t="s">
        <v>1466</v>
      </c>
    </row>
    <row r="1516" spans="1:25" ht="12.6" customHeight="1" x14ac:dyDescent="0.3">
      <c r="A1516" s="78"/>
      <c r="B1516" s="78"/>
      <c r="C1516" s="78"/>
      <c r="D1516" s="78"/>
      <c r="E1516" s="78"/>
      <c r="F1516" s="78"/>
      <c r="G1516" s="17" t="s">
        <v>1229</v>
      </c>
    </row>
    <row r="1517" spans="1:25" ht="12.6" customHeight="1" x14ac:dyDescent="0.3">
      <c r="A1517" s="68" t="s">
        <v>1469</v>
      </c>
      <c r="B1517" s="102" t="str">
        <f>"   "&amp;TEXT(I1517,"#,##0"&amp;IF(I1517&lt;&gt;INT(I1517),".###",""))&amp;" * 1.0 인 /Q1 = "&amp;TEXT(C1517,"#,##0.0")&amp;" 원/m "</f>
        <v xml:space="preserve">   169,804 * 1.0 인 /Q1 = 283.0 원/m </v>
      </c>
      <c r="C1517" s="104">
        <f>E1517+D1517+F1517</f>
        <v>283</v>
      </c>
      <c r="D1517" s="104">
        <f>IF(H1517=0,0,ROUNDDOWN(J1517*H1517,1))</f>
        <v>283</v>
      </c>
      <c r="E1517" s="104">
        <f>IF(H1517=0,0,ROUNDDOWN(K1517*H1517,1))</f>
        <v>0</v>
      </c>
      <c r="F1517" s="104">
        <f>IF(H1517=0,0,ROUNDDOWN(L1517*H1517,1))</f>
        <v>0</v>
      </c>
      <c r="G1517" s="17" t="s">
        <v>1915</v>
      </c>
      <c r="H1517" s="109">
        <v>1.6666666669000001E-3</v>
      </c>
      <c r="I1517" s="110">
        <f>K1517+J1517+L1517</f>
        <v>169804</v>
      </c>
      <c r="J1517" s="39">
        <f>노무비목록표!E11</f>
        <v>169804</v>
      </c>
      <c r="M1517" s="35" t="s">
        <v>1018</v>
      </c>
      <c r="N1517" s="35" t="s">
        <v>1247</v>
      </c>
      <c r="O1517" s="35" t="s">
        <v>996</v>
      </c>
      <c r="X1517" s="111" t="str">
        <f>노무비목록표!B11&amp;" / "&amp;노무비목록표!C11</f>
        <v xml:space="preserve">보통인부 / </v>
      </c>
      <c r="Y1517" s="3" t="str">
        <f ca="1">HYPERLINK("#"&amp;노무비목록표!G2&amp;"!A"&amp;ROW(노무비목록표!A11),"L00016 →")</f>
        <v>L00016 →</v>
      </c>
    </row>
    <row r="1518" spans="1:25" ht="12.6" customHeight="1" x14ac:dyDescent="0.3">
      <c r="A1518" s="78"/>
      <c r="B1518" s="78"/>
      <c r="C1518" s="78"/>
      <c r="D1518" s="78"/>
      <c r="E1518" s="78"/>
      <c r="F1518" s="78"/>
      <c r="G1518" s="17" t="s">
        <v>1229</v>
      </c>
    </row>
    <row r="1519" spans="1:25" ht="12.6" customHeight="1" x14ac:dyDescent="0.3">
      <c r="A1519" s="68"/>
      <c r="B1519" s="77" t="s">
        <v>1917</v>
      </c>
      <c r="C1519" s="78"/>
      <c r="D1519" s="78"/>
      <c r="E1519" s="78"/>
      <c r="F1519" s="78"/>
      <c r="G1519" s="17" t="s">
        <v>1916</v>
      </c>
    </row>
    <row r="1520" spans="1:25" ht="12.6" customHeight="1" x14ac:dyDescent="0.3">
      <c r="A1520" s="78"/>
      <c r="B1520" s="78"/>
      <c r="C1520" s="78"/>
      <c r="D1520" s="78"/>
      <c r="E1520" s="78"/>
      <c r="F1520" s="78"/>
      <c r="G1520" s="17" t="s">
        <v>1229</v>
      </c>
    </row>
    <row r="1521" spans="1:25" ht="12.6" customHeight="1" x14ac:dyDescent="0.3">
      <c r="A1521" s="68"/>
      <c r="B1521" s="102" t="str">
        <f>"  공구손료 :  "&amp;TEXT(I1521,"#,##0.0")&amp;" * 3 % = "&amp;TEXT(C1521,"#,##0.0")&amp;""</f>
        <v xml:space="preserve">  공구손료 :  652.1 * 3 % = 19.5</v>
      </c>
      <c r="C1521" s="104">
        <f>E1521+D1521+F1521</f>
        <v>19.5</v>
      </c>
      <c r="D1521" s="104">
        <f>IF(H1521=0,0,ROUNDDOWN(J1521*H1521/100,1))</f>
        <v>0</v>
      </c>
      <c r="E1521" s="104">
        <f>IF(H1521=0,0,ROUNDDOWN(K1521*H1521/100,1))</f>
        <v>0</v>
      </c>
      <c r="F1521" s="104">
        <f>IF(H1521=0,0,ROUNDDOWN(L1521*H1521/100,1))</f>
        <v>19.5</v>
      </c>
      <c r="G1521" s="17" t="s">
        <v>1495</v>
      </c>
      <c r="H1521" s="109">
        <v>3</v>
      </c>
      <c r="I1521" s="110">
        <f>K1521+J1521+L1521</f>
        <v>652.1</v>
      </c>
      <c r="J1521" s="36">
        <v>0</v>
      </c>
      <c r="K1521" s="36">
        <v>0</v>
      </c>
      <c r="L1521" s="39">
        <f>C1513+C1517</f>
        <v>652.1</v>
      </c>
      <c r="M1521" s="35" t="s">
        <v>1480</v>
      </c>
      <c r="N1521" s="35" t="s">
        <v>1247</v>
      </c>
    </row>
    <row r="1522" spans="1:25" ht="12.6" customHeight="1" x14ac:dyDescent="0.3">
      <c r="A1522" s="78"/>
      <c r="B1522" s="78"/>
      <c r="C1522" s="78"/>
      <c r="D1522" s="78"/>
      <c r="E1522" s="78"/>
      <c r="F1522" s="78"/>
      <c r="G1522" s="17" t="s">
        <v>1229</v>
      </c>
    </row>
    <row r="1523" spans="1:25" ht="12.6" customHeight="1" x14ac:dyDescent="0.3">
      <c r="A1523" s="78"/>
      <c r="B1523" s="78"/>
      <c r="C1523" s="78"/>
      <c r="D1523" s="78"/>
      <c r="E1523" s="78"/>
      <c r="F1523" s="78"/>
      <c r="G1523" s="17" t="s">
        <v>1229</v>
      </c>
    </row>
    <row r="1524" spans="1:25" ht="12.6" customHeight="1" x14ac:dyDescent="0.3">
      <c r="A1524" s="68"/>
      <c r="B1524" s="77" t="s">
        <v>1919</v>
      </c>
      <c r="C1524" s="78"/>
      <c r="D1524" s="78"/>
      <c r="E1524" s="78"/>
      <c r="F1524" s="78"/>
      <c r="G1524" s="17" t="s">
        <v>1918</v>
      </c>
    </row>
    <row r="1525" spans="1:25" ht="12.6" customHeight="1" x14ac:dyDescent="0.3">
      <c r="A1525" s="78"/>
      <c r="B1525" s="78"/>
      <c r="C1525" s="78"/>
      <c r="D1525" s="78"/>
      <c r="E1525" s="78"/>
      <c r="F1525" s="78"/>
      <c r="G1525" s="17" t="s">
        <v>1229</v>
      </c>
    </row>
    <row r="1526" spans="1:25" ht="12.6" customHeight="1" x14ac:dyDescent="0.3">
      <c r="A1526" s="68"/>
      <c r="B1526" s="77" t="s">
        <v>1921</v>
      </c>
      <c r="C1526" s="78"/>
      <c r="D1526" s="78"/>
      <c r="E1526" s="78"/>
      <c r="F1526" s="78"/>
      <c r="G1526" s="17" t="s">
        <v>1920</v>
      </c>
    </row>
    <row r="1527" spans="1:25" ht="12.6" customHeight="1" x14ac:dyDescent="0.3">
      <c r="A1527" s="78"/>
      <c r="B1527" s="78"/>
      <c r="C1527" s="78"/>
      <c r="D1527" s="78"/>
      <c r="E1527" s="78"/>
      <c r="F1527" s="78"/>
      <c r="G1527" s="17" t="s">
        <v>1229</v>
      </c>
    </row>
    <row r="1528" spans="1:25" ht="12.6" customHeight="1" x14ac:dyDescent="0.3">
      <c r="A1528" s="68"/>
      <c r="B1528" s="77" t="s">
        <v>1923</v>
      </c>
      <c r="C1528" s="78"/>
      <c r="D1528" s="78"/>
      <c r="E1528" s="78"/>
      <c r="F1528" s="78"/>
      <c r="G1528" s="17" t="s">
        <v>1922</v>
      </c>
    </row>
    <row r="1529" spans="1:25" ht="12.6" customHeight="1" x14ac:dyDescent="0.3">
      <c r="A1529" s="78"/>
      <c r="B1529" s="78"/>
      <c r="C1529" s="78"/>
      <c r="D1529" s="78"/>
      <c r="E1529" s="78"/>
      <c r="F1529" s="78"/>
      <c r="G1529" s="17" t="s">
        <v>1229</v>
      </c>
    </row>
    <row r="1530" spans="1:25" ht="12.6" customHeight="1" x14ac:dyDescent="0.3">
      <c r="A1530" s="68" t="s">
        <v>504</v>
      </c>
      <c r="B1530" s="102" t="str">
        <f>"  물 : "&amp;TEXT(I1530,"#,##0"&amp;IF(I1530&lt;&gt;INT(I1530),".###",""))&amp;" *  M = "&amp;TEXT(C1530,"#,##0.0")&amp;""</f>
        <v xml:space="preserve">  물 : 1.27 *  M = 38.1</v>
      </c>
      <c r="C1530" s="104">
        <f>E1530+D1530+F1530</f>
        <v>38.1</v>
      </c>
      <c r="D1530" s="104">
        <f>IF(H1530=0,0,ROUNDDOWN(J1530*H1530,1))</f>
        <v>0</v>
      </c>
      <c r="E1530" s="104">
        <f>IF(H1530=0,0,ROUNDDOWN(K1530*H1530,1))</f>
        <v>38.1</v>
      </c>
      <c r="F1530" s="104">
        <f>IF(H1530=0,0,ROUNDDOWN(L1530*H1530,1))</f>
        <v>0</v>
      </c>
      <c r="G1530" s="17" t="s">
        <v>1924</v>
      </c>
      <c r="H1530" s="109">
        <v>30</v>
      </c>
      <c r="I1530" s="110">
        <f>K1530+J1530+L1530</f>
        <v>1.27</v>
      </c>
      <c r="K1530" s="39">
        <f>재료비목록표!E27</f>
        <v>1.27</v>
      </c>
      <c r="M1530" s="35" t="s">
        <v>1925</v>
      </c>
      <c r="N1530" s="35" t="s">
        <v>1247</v>
      </c>
      <c r="X1530" s="111" t="str">
        <f>재료비목록표!B27&amp;" / "&amp;재료비목록표!C27</f>
        <v xml:space="preserve">물 / </v>
      </c>
      <c r="Y1530" s="3" t="str">
        <f ca="1">HYPERLINK("#"&amp;재료비목록표!G2&amp;"!A"&amp;ROW(재료비목록표!A27),"M01054 →")</f>
        <v>M01054 →</v>
      </c>
    </row>
    <row r="1531" spans="1:25" ht="12.6" customHeight="1" x14ac:dyDescent="0.3">
      <c r="A1531" s="78"/>
      <c r="B1531" s="78"/>
      <c r="C1531" s="78"/>
      <c r="D1531" s="78"/>
      <c r="E1531" s="78"/>
      <c r="F1531" s="78"/>
      <c r="G1531" s="17" t="s">
        <v>1229</v>
      </c>
    </row>
    <row r="1532" spans="1:25" ht="12.6" customHeight="1" x14ac:dyDescent="0.3">
      <c r="A1532" s="68"/>
      <c r="B1532" s="77" t="s">
        <v>1246</v>
      </c>
      <c r="C1532" s="105">
        <f>E1532+D1532+F1532</f>
        <v>1236</v>
      </c>
      <c r="D1532" s="105">
        <f>SUMIF(N1501:N1531,M1532,D1501:D1531)</f>
        <v>652.1</v>
      </c>
      <c r="E1532" s="105">
        <f>SUMIF(N1501:N1531,M1532,E1501:E1531)</f>
        <v>564.4</v>
      </c>
      <c r="F1532" s="105">
        <f>SUMIF(N1501:N1531,M1532,F1501:F1531)</f>
        <v>19.5</v>
      </c>
      <c r="G1532" s="17" t="s">
        <v>1245</v>
      </c>
      <c r="M1532" s="35" t="s">
        <v>1247</v>
      </c>
      <c r="N1532" s="35" t="s">
        <v>1348</v>
      </c>
    </row>
    <row r="1533" spans="1:25" ht="12.6" customHeight="1" x14ac:dyDescent="0.3">
      <c r="A1533" s="78"/>
      <c r="B1533" s="78"/>
      <c r="C1533" s="103"/>
      <c r="D1533" s="103"/>
      <c r="E1533" s="103"/>
      <c r="F1533" s="103"/>
      <c r="G1533" s="17" t="s">
        <v>1229</v>
      </c>
    </row>
    <row r="1534" spans="1:25" ht="12.6" customHeight="1" x14ac:dyDescent="0.3">
      <c r="A1534" s="78"/>
      <c r="B1534" s="78"/>
      <c r="C1534" s="78"/>
      <c r="D1534" s="78"/>
      <c r="E1534" s="78"/>
      <c r="F1534" s="78"/>
      <c r="G1534" s="17" t="s">
        <v>1229</v>
      </c>
    </row>
    <row r="1535" spans="1:25" ht="12.6" customHeight="1" x14ac:dyDescent="0.3">
      <c r="A1535" s="68"/>
      <c r="B1535" s="77" t="s">
        <v>1927</v>
      </c>
      <c r="C1535" s="78"/>
      <c r="D1535" s="78"/>
      <c r="E1535" s="78"/>
      <c r="F1535" s="78"/>
      <c r="G1535" s="17" t="s">
        <v>1926</v>
      </c>
    </row>
    <row r="1536" spans="1:25" ht="12.6" customHeight="1" x14ac:dyDescent="0.3">
      <c r="A1536" s="78"/>
      <c r="B1536" s="78"/>
      <c r="C1536" s="78"/>
      <c r="D1536" s="78"/>
      <c r="E1536" s="78"/>
      <c r="F1536" s="78"/>
      <c r="G1536" s="17" t="s">
        <v>1229</v>
      </c>
    </row>
    <row r="1537" spans="1:25" ht="12.6" customHeight="1" x14ac:dyDescent="0.3">
      <c r="A1537" s="68" t="s">
        <v>1929</v>
      </c>
      <c r="B1537" s="102" t="str">
        <f>"   노 무 비 :  "&amp;TEXT(I1537,"#,##0"&amp;IF(I1537&lt;&gt;INT(I1537),".###",""))&amp;" / (Q1/8) * 0.5 = "&amp;TEXT(C1537,"#,##0.0")&amp;""</f>
        <v xml:space="preserve">   노 무 비 :  0 / (Q1/8) * 0.5 = 0.0</v>
      </c>
      <c r="C1537" s="104">
        <f>E1537+D1537+F1537</f>
        <v>0</v>
      </c>
      <c r="D1537" s="104">
        <f>IF(H1537=0,0,ROUNDDOWN(J1537*H1537,1))</f>
        <v>0</v>
      </c>
      <c r="E1537" s="104">
        <f>IF(H1537=0,0,ROUNDDOWN(K1537*H1537,1))</f>
        <v>0</v>
      </c>
      <c r="F1537" s="104">
        <f>IF(H1537=0,0,ROUNDDOWN(L1537*H1537,1))</f>
        <v>0</v>
      </c>
      <c r="G1537" s="17" t="s">
        <v>1928</v>
      </c>
      <c r="H1537" s="109">
        <v>6.6666666669000004E-3</v>
      </c>
      <c r="I1537" s="110">
        <f>K1537+J1537+L1537</f>
        <v>0</v>
      </c>
      <c r="J1537" s="39">
        <f>중기목록표!F27</f>
        <v>0</v>
      </c>
      <c r="M1537" s="35" t="s">
        <v>1930</v>
      </c>
      <c r="N1537" s="35" t="s">
        <v>1247</v>
      </c>
      <c r="X1537" s="111" t="str">
        <f>중기목록표!B27&amp;" / "&amp;중기목록표!C27</f>
        <v>동력분무기 / 4.85㎾</v>
      </c>
      <c r="Y1537" s="3" t="str">
        <f ca="1">HYPERLINK("#"&amp;중기목록표!J2&amp;"!A"&amp;ROW(중기목록표!A27),"X00751 →")</f>
        <v>X00751 →</v>
      </c>
    </row>
    <row r="1538" spans="1:25" ht="12.6" customHeight="1" x14ac:dyDescent="0.3">
      <c r="A1538" s="78"/>
      <c r="B1538" s="78"/>
      <c r="C1538" s="78"/>
      <c r="D1538" s="78"/>
      <c r="E1538" s="78"/>
      <c r="F1538" s="78"/>
      <c r="G1538" s="17" t="s">
        <v>1229</v>
      </c>
    </row>
    <row r="1539" spans="1:25" ht="12.6" customHeight="1" x14ac:dyDescent="0.3">
      <c r="A1539" s="68" t="s">
        <v>1932</v>
      </c>
      <c r="B1539" s="102" t="str">
        <f>"   재 료 비 :  "&amp;TEXT(I1539,"#,##0"&amp;IF(I1539&lt;&gt;INT(I1539),".###",""))&amp;" / (Q1/8) * 0.5 = "&amp;TEXT(C1539,"#,##0.0")&amp;""</f>
        <v xml:space="preserve">   재 료 비 :  2,368 / (Q1/8) * 0.5 = 15.7</v>
      </c>
      <c r="C1539" s="104">
        <f>E1539+D1539+F1539</f>
        <v>15.7</v>
      </c>
      <c r="D1539" s="104">
        <f>IF(H1539=0,0,ROUNDDOWN(J1539*H1539,1))</f>
        <v>0</v>
      </c>
      <c r="E1539" s="104">
        <f>IF(H1539=0,0,ROUNDDOWN(K1539*H1539,1))</f>
        <v>15.7</v>
      </c>
      <c r="F1539" s="104">
        <f>IF(H1539=0,0,ROUNDDOWN(L1539*H1539,1))</f>
        <v>0</v>
      </c>
      <c r="G1539" s="17" t="s">
        <v>1931</v>
      </c>
      <c r="H1539" s="109">
        <v>6.6666666669000004E-3</v>
      </c>
      <c r="I1539" s="110">
        <f>K1539+J1539+L1539</f>
        <v>2368</v>
      </c>
      <c r="K1539" s="39">
        <f>중기목록표!G27</f>
        <v>2368</v>
      </c>
      <c r="M1539" s="35" t="s">
        <v>1930</v>
      </c>
      <c r="N1539" s="35" t="s">
        <v>1247</v>
      </c>
      <c r="X1539" s="111" t="str">
        <f>중기목록표!B27&amp;" / "&amp;중기목록표!C27</f>
        <v>동력분무기 / 4.85㎾</v>
      </c>
      <c r="Y1539" s="3" t="str">
        <f ca="1">HYPERLINK("#"&amp;중기목록표!J2&amp;"!A"&amp;ROW(중기목록표!A27),"X00751 →")</f>
        <v>X00751 →</v>
      </c>
    </row>
    <row r="1540" spans="1:25" ht="12.6" customHeight="1" x14ac:dyDescent="0.3">
      <c r="A1540" s="78"/>
      <c r="B1540" s="78"/>
      <c r="C1540" s="78"/>
      <c r="D1540" s="78"/>
      <c r="E1540" s="78"/>
      <c r="F1540" s="78"/>
      <c r="G1540" s="17" t="s">
        <v>1229</v>
      </c>
    </row>
    <row r="1541" spans="1:25" ht="12.6" customHeight="1" x14ac:dyDescent="0.3">
      <c r="A1541" s="68" t="s">
        <v>1934</v>
      </c>
      <c r="B1541" s="102" t="str">
        <f>"   경    비 :  "&amp;TEXT(I1541,"#,##0"&amp;IF(I1541&lt;&gt;INT(I1541),".###",""))&amp;" / (Q1/8) * 0.5 = "&amp;TEXT(C1541,"#,##0.0")&amp;""</f>
        <v xml:space="preserve">   경    비 :  252 / (Q1/8) * 0.5 = 1.6</v>
      </c>
      <c r="C1541" s="104">
        <f>E1541+D1541+F1541</f>
        <v>1.6</v>
      </c>
      <c r="D1541" s="104">
        <f>IF(H1541=0,0,ROUNDDOWN(J1541*H1541,1))</f>
        <v>0</v>
      </c>
      <c r="E1541" s="104">
        <f>IF(H1541=0,0,ROUNDDOWN(K1541*H1541,1))</f>
        <v>0</v>
      </c>
      <c r="F1541" s="104">
        <f>IF(H1541=0,0,ROUNDDOWN(L1541*H1541,1))</f>
        <v>1.6</v>
      </c>
      <c r="G1541" s="17" t="s">
        <v>1933</v>
      </c>
      <c r="H1541" s="109">
        <v>6.6666666669000004E-3</v>
      </c>
      <c r="I1541" s="110">
        <f>K1541+J1541+L1541</f>
        <v>252</v>
      </c>
      <c r="L1541" s="39">
        <f>중기목록표!H27</f>
        <v>252</v>
      </c>
      <c r="M1541" s="35" t="s">
        <v>1930</v>
      </c>
      <c r="N1541" s="35" t="s">
        <v>1247</v>
      </c>
      <c r="X1541" s="111" t="str">
        <f>중기목록표!B27&amp;" / "&amp;중기목록표!C27</f>
        <v>동력분무기 / 4.85㎾</v>
      </c>
      <c r="Y1541" s="3" t="str">
        <f ca="1">HYPERLINK("#"&amp;중기목록표!J2&amp;"!A"&amp;ROW(중기목록표!A27),"X00751 →")</f>
        <v>X00751 →</v>
      </c>
    </row>
    <row r="1542" spans="1:25" ht="12.6" customHeight="1" x14ac:dyDescent="0.3">
      <c r="A1542" s="78"/>
      <c r="B1542" s="78"/>
      <c r="C1542" s="78"/>
      <c r="D1542" s="78"/>
      <c r="E1542" s="78"/>
      <c r="F1542" s="78"/>
      <c r="G1542" s="17" t="s">
        <v>1229</v>
      </c>
    </row>
    <row r="1543" spans="1:25" ht="12.6" customHeight="1" x14ac:dyDescent="0.3">
      <c r="A1543" s="68"/>
      <c r="B1543" s="77" t="s">
        <v>1246</v>
      </c>
      <c r="C1543" s="105">
        <f>E1543+D1543+F1543</f>
        <v>17.3</v>
      </c>
      <c r="D1543" s="105">
        <f>SUMIF(N1533:N1542,M1543,D1533:D1542)</f>
        <v>0</v>
      </c>
      <c r="E1543" s="105">
        <f>SUMIF(N1533:N1542,M1543,E1533:E1542)</f>
        <v>15.7</v>
      </c>
      <c r="F1543" s="105">
        <f>SUMIF(N1533:N1542,M1543,F1533:F1542)</f>
        <v>1.6</v>
      </c>
      <c r="G1543" s="17" t="s">
        <v>1245</v>
      </c>
      <c r="M1543" s="35" t="s">
        <v>1247</v>
      </c>
      <c r="N1543" s="35" t="s">
        <v>1348</v>
      </c>
    </row>
    <row r="1544" spans="1:25" ht="12.6" customHeight="1" x14ac:dyDescent="0.3">
      <c r="A1544" s="78"/>
      <c r="B1544" s="78"/>
      <c r="C1544" s="103"/>
      <c r="D1544" s="103"/>
      <c r="E1544" s="103"/>
      <c r="F1544" s="103"/>
      <c r="G1544" s="17" t="s">
        <v>1229</v>
      </c>
    </row>
    <row r="1545" spans="1:25" ht="12.6" customHeight="1" x14ac:dyDescent="0.3">
      <c r="A1545" s="78"/>
      <c r="B1545" s="78"/>
      <c r="C1545" s="78"/>
      <c r="D1545" s="78"/>
      <c r="E1545" s="78"/>
      <c r="F1545" s="78"/>
      <c r="G1545" s="17" t="s">
        <v>1229</v>
      </c>
    </row>
    <row r="1546" spans="1:25" ht="12.6" customHeight="1" x14ac:dyDescent="0.3">
      <c r="A1546" s="68"/>
      <c r="B1546" s="77" t="s">
        <v>1936</v>
      </c>
      <c r="C1546" s="78"/>
      <c r="D1546" s="78"/>
      <c r="E1546" s="78"/>
      <c r="F1546" s="78"/>
      <c r="G1546" s="17" t="s">
        <v>1935</v>
      </c>
    </row>
    <row r="1547" spans="1:25" ht="12.6" customHeight="1" x14ac:dyDescent="0.3">
      <c r="A1547" s="78"/>
      <c r="B1547" s="78"/>
      <c r="C1547" s="78"/>
      <c r="D1547" s="78"/>
      <c r="E1547" s="78"/>
      <c r="F1547" s="78"/>
      <c r="G1547" s="17" t="s">
        <v>1229</v>
      </c>
    </row>
    <row r="1548" spans="1:25" ht="12.6" customHeight="1" x14ac:dyDescent="0.3">
      <c r="A1548" s="68"/>
      <c r="B1548" s="77" t="s">
        <v>1938</v>
      </c>
      <c r="C1548" s="78"/>
      <c r="D1548" s="78"/>
      <c r="E1548" s="78"/>
      <c r="F1548" s="78"/>
      <c r="G1548" s="17" t="s">
        <v>1937</v>
      </c>
    </row>
    <row r="1549" spans="1:25" ht="12.6" customHeight="1" x14ac:dyDescent="0.3">
      <c r="A1549" s="78"/>
      <c r="B1549" s="78"/>
      <c r="C1549" s="78"/>
      <c r="D1549" s="78"/>
      <c r="E1549" s="78"/>
      <c r="F1549" s="78"/>
      <c r="G1549" s="17" t="s">
        <v>1229</v>
      </c>
    </row>
    <row r="1550" spans="1:25" ht="12.6" customHeight="1" x14ac:dyDescent="0.3">
      <c r="A1550" s="68" t="s">
        <v>1940</v>
      </c>
      <c r="B1550" s="102" t="str">
        <f>" 노 무 비  : "&amp;TEXT(I1550,"#,##0"&amp;IF(I1550&lt;&gt;INT(I1550),".###",""))&amp;" / V  = "&amp;TEXT(C1550,"#,##0.0")&amp;""</f>
        <v xml:space="preserve"> 노 무 비  : 35,608 / V  = 474.7</v>
      </c>
      <c r="C1550" s="104">
        <f>E1550+D1550+F1550</f>
        <v>474.7</v>
      </c>
      <c r="D1550" s="104">
        <f>IF(H1550=0,0,ROUNDDOWN(J1550*H1550,1))</f>
        <v>474.7</v>
      </c>
      <c r="E1550" s="104">
        <f>IF(H1550=0,0,ROUNDDOWN(K1550*H1550,1))</f>
        <v>0</v>
      </c>
      <c r="F1550" s="104">
        <f>IF(H1550=0,0,ROUNDDOWN(L1550*H1550,1))</f>
        <v>0</v>
      </c>
      <c r="G1550" s="17" t="s">
        <v>1939</v>
      </c>
      <c r="H1550" s="109">
        <v>1.3333333333499999E-2</v>
      </c>
      <c r="I1550" s="110">
        <f>K1550+J1550+L1550</f>
        <v>35608</v>
      </c>
      <c r="J1550" s="39">
        <f>중기목록표!F23</f>
        <v>35608</v>
      </c>
      <c r="M1550" s="35" t="s">
        <v>1941</v>
      </c>
      <c r="N1550" s="35" t="s">
        <v>1247</v>
      </c>
      <c r="X1550" s="111" t="str">
        <f>중기목록표!B23&amp;" / "&amp;중기목록표!C23</f>
        <v>커터(콘크리트 및 아스팔트용) / 320-440mm</v>
      </c>
      <c r="Y1550" s="3" t="str">
        <f ca="1">HYPERLINK("#"&amp;중기목록표!J2&amp;"!A"&amp;ROW(중기목록표!A23),"X00352 →")</f>
        <v>X00352 →</v>
      </c>
    </row>
    <row r="1551" spans="1:25" ht="12.6" customHeight="1" x14ac:dyDescent="0.3">
      <c r="A1551" s="78"/>
      <c r="B1551" s="78"/>
      <c r="C1551" s="78"/>
      <c r="D1551" s="78"/>
      <c r="E1551" s="78"/>
      <c r="F1551" s="78"/>
      <c r="G1551" s="17" t="s">
        <v>1229</v>
      </c>
    </row>
    <row r="1552" spans="1:25" ht="12.6" customHeight="1" x14ac:dyDescent="0.3">
      <c r="A1552" s="68" t="s">
        <v>1943</v>
      </c>
      <c r="B1552" s="102" t="str">
        <f>" 재 료 비  : "&amp;TEXT(I1552,"#,##0"&amp;IF(I1552&lt;&gt;INT(I1552),".###",""))&amp;" / V  = "&amp;TEXT(C1552,"#,##0.0")&amp;""</f>
        <v xml:space="preserve"> 재 료 비  : 10,200 / V  = 136.0</v>
      </c>
      <c r="C1552" s="104">
        <f>E1552+D1552+F1552</f>
        <v>136</v>
      </c>
      <c r="D1552" s="104">
        <f>IF(H1552=0,0,ROUNDDOWN(J1552*H1552,1))</f>
        <v>0</v>
      </c>
      <c r="E1552" s="104">
        <f>IF(H1552=0,0,ROUNDDOWN(K1552*H1552,1))</f>
        <v>136</v>
      </c>
      <c r="F1552" s="104">
        <f>IF(H1552=0,0,ROUNDDOWN(L1552*H1552,1))</f>
        <v>0</v>
      </c>
      <c r="G1552" s="17" t="s">
        <v>1942</v>
      </c>
      <c r="H1552" s="109">
        <v>1.3333333333499999E-2</v>
      </c>
      <c r="I1552" s="110">
        <f>K1552+J1552+L1552</f>
        <v>10200</v>
      </c>
      <c r="K1552" s="39">
        <f>중기목록표!G23</f>
        <v>10200</v>
      </c>
      <c r="M1552" s="35" t="s">
        <v>1941</v>
      </c>
      <c r="N1552" s="35" t="s">
        <v>1247</v>
      </c>
      <c r="X1552" s="111" t="str">
        <f>중기목록표!B23&amp;" / "&amp;중기목록표!C23</f>
        <v>커터(콘크리트 및 아스팔트용) / 320-440mm</v>
      </c>
      <c r="Y1552" s="3" t="str">
        <f ca="1">HYPERLINK("#"&amp;중기목록표!J2&amp;"!A"&amp;ROW(중기목록표!A23),"X00352 →")</f>
        <v>X00352 →</v>
      </c>
    </row>
    <row r="1553" spans="1:25" ht="12.6" customHeight="1" x14ac:dyDescent="0.3">
      <c r="A1553" s="78"/>
      <c r="B1553" s="78"/>
      <c r="C1553" s="78"/>
      <c r="D1553" s="78"/>
      <c r="E1553" s="78"/>
      <c r="F1553" s="78"/>
      <c r="G1553" s="17" t="s">
        <v>1229</v>
      </c>
    </row>
    <row r="1554" spans="1:25" ht="12.6" customHeight="1" x14ac:dyDescent="0.3">
      <c r="A1554" s="68" t="s">
        <v>1945</v>
      </c>
      <c r="B1554" s="102" t="str">
        <f>" 경    비  : "&amp;TEXT(I1554,"#,##0"&amp;IF(I1554&lt;&gt;INT(I1554),".###",""))&amp;" / V  = "&amp;TEXT(C1554,"#,##0.0")&amp;""</f>
        <v xml:space="preserve"> 경    비  : 1,981 / V  = 26.4</v>
      </c>
      <c r="C1554" s="104">
        <f>E1554+D1554+F1554</f>
        <v>26.4</v>
      </c>
      <c r="D1554" s="104">
        <f>IF(H1554=0,0,ROUNDDOWN(J1554*H1554,1))</f>
        <v>0</v>
      </c>
      <c r="E1554" s="104">
        <f>IF(H1554=0,0,ROUNDDOWN(K1554*H1554,1))</f>
        <v>0</v>
      </c>
      <c r="F1554" s="104">
        <f>IF(H1554=0,0,ROUNDDOWN(L1554*H1554,1))</f>
        <v>26.4</v>
      </c>
      <c r="G1554" s="17" t="s">
        <v>1944</v>
      </c>
      <c r="H1554" s="109">
        <v>1.3333333333499999E-2</v>
      </c>
      <c r="I1554" s="110">
        <f>K1554+J1554+L1554</f>
        <v>1981</v>
      </c>
      <c r="L1554" s="39">
        <f>중기목록표!H23</f>
        <v>1981</v>
      </c>
      <c r="M1554" s="35" t="s">
        <v>1941</v>
      </c>
      <c r="N1554" s="35" t="s">
        <v>1247</v>
      </c>
      <c r="X1554" s="111" t="str">
        <f>중기목록표!B23&amp;" / "&amp;중기목록표!C23</f>
        <v>커터(콘크리트 및 아스팔트용) / 320-440mm</v>
      </c>
      <c r="Y1554" s="3" t="str">
        <f ca="1">HYPERLINK("#"&amp;중기목록표!J2&amp;"!A"&amp;ROW(중기목록표!A23),"X00352 →")</f>
        <v>X00352 →</v>
      </c>
    </row>
    <row r="1555" spans="1:25" ht="12.6" customHeight="1" x14ac:dyDescent="0.3">
      <c r="A1555" s="78"/>
      <c r="B1555" s="78"/>
      <c r="C1555" s="78"/>
      <c r="D1555" s="78"/>
      <c r="E1555" s="78"/>
      <c r="F1555" s="78"/>
      <c r="G1555" s="17" t="s">
        <v>1229</v>
      </c>
    </row>
    <row r="1556" spans="1:25" ht="12.6" customHeight="1" x14ac:dyDescent="0.3">
      <c r="A1556" s="68"/>
      <c r="B1556" s="77" t="s">
        <v>1246</v>
      </c>
      <c r="C1556" s="105">
        <f>E1556+D1556+F1556</f>
        <v>637.1</v>
      </c>
      <c r="D1556" s="105">
        <f>SUMIF(N1544:N1555,M1556,D1544:D1555)</f>
        <v>474.7</v>
      </c>
      <c r="E1556" s="105">
        <f>SUMIF(N1544:N1555,M1556,E1544:E1555)</f>
        <v>136</v>
      </c>
      <c r="F1556" s="105">
        <f>SUMIF(N1544:N1555,M1556,F1544:F1555)</f>
        <v>26.4</v>
      </c>
      <c r="G1556" s="17" t="s">
        <v>1245</v>
      </c>
      <c r="M1556" s="35" t="s">
        <v>1247</v>
      </c>
      <c r="N1556" s="35" t="s">
        <v>1348</v>
      </c>
    </row>
    <row r="1557" spans="1:25" ht="12.6" customHeight="1" x14ac:dyDescent="0.3">
      <c r="A1557" s="78"/>
      <c r="B1557" s="78"/>
      <c r="C1557" s="103"/>
      <c r="D1557" s="103"/>
      <c r="E1557" s="103"/>
      <c r="F1557" s="103"/>
      <c r="G1557" s="17" t="s">
        <v>1229</v>
      </c>
    </row>
    <row r="1558" spans="1:25" ht="12.6" customHeight="1" x14ac:dyDescent="0.3">
      <c r="A1558" s="68"/>
      <c r="B1558" s="77" t="s">
        <v>1101</v>
      </c>
      <c r="C1558" s="105">
        <f>E1558+D1558+F1558</f>
        <v>1890.4</v>
      </c>
      <c r="D1558" s="105">
        <f>SUMIF(N1501:N1557,M1558,D1501:D1557)</f>
        <v>1126.8</v>
      </c>
      <c r="E1558" s="105">
        <f>SUMIF(N1501:N1557,M1558,E1501:E1557)</f>
        <v>716.1</v>
      </c>
      <c r="F1558" s="105">
        <f>SUMIF(N1501:N1557,M1558,F1501:F1557)</f>
        <v>47.5</v>
      </c>
      <c r="G1558" s="17" t="s">
        <v>1347</v>
      </c>
      <c r="M1558" s="35" t="s">
        <v>1348</v>
      </c>
      <c r="N1558" s="35" t="s">
        <v>1011</v>
      </c>
    </row>
    <row r="1559" spans="1:25" ht="12.6" customHeight="1" x14ac:dyDescent="0.3">
      <c r="A1559" s="78"/>
      <c r="B1559" s="78"/>
      <c r="C1559" s="103"/>
      <c r="D1559" s="103"/>
      <c r="E1559" s="103"/>
      <c r="F1559" s="103"/>
    </row>
    <row r="1560" spans="1:25" ht="12.6" customHeight="1" x14ac:dyDescent="0.3">
      <c r="A1560" s="78"/>
      <c r="B1560" s="78"/>
      <c r="C1560" s="78"/>
      <c r="D1560" s="78"/>
      <c r="E1560" s="78"/>
      <c r="F1560" s="78"/>
    </row>
    <row r="1561" spans="1:25" ht="12.6" customHeight="1" x14ac:dyDescent="0.3">
      <c r="A1561" s="78"/>
      <c r="B1561" s="78"/>
      <c r="C1561" s="78"/>
      <c r="D1561" s="78"/>
      <c r="E1561" s="78"/>
      <c r="F1561" s="78"/>
    </row>
    <row r="1562" spans="1:25" ht="12.6" customHeight="1" x14ac:dyDescent="0.3">
      <c r="A1562" s="78"/>
      <c r="B1562" s="78"/>
      <c r="C1562" s="78"/>
      <c r="D1562" s="78"/>
      <c r="E1562" s="78"/>
      <c r="F1562" s="78"/>
    </row>
    <row r="1563" spans="1:25" ht="12.6" customHeight="1" x14ac:dyDescent="0.3">
      <c r="A1563" s="78"/>
      <c r="B1563" s="78"/>
      <c r="C1563" s="78"/>
      <c r="D1563" s="78"/>
      <c r="E1563" s="78"/>
      <c r="F1563" s="78"/>
    </row>
    <row r="1564" spans="1:25" ht="12.6" customHeight="1" x14ac:dyDescent="0.3">
      <c r="A1564" s="78"/>
      <c r="B1564" s="78"/>
      <c r="C1564" s="78"/>
      <c r="D1564" s="78"/>
      <c r="E1564" s="78"/>
      <c r="F1564" s="78"/>
    </row>
    <row r="1565" spans="1:25" ht="12.6" customHeight="1" x14ac:dyDescent="0.3">
      <c r="A1565" s="56"/>
      <c r="B1565" s="56"/>
      <c r="C1565" s="56"/>
      <c r="D1565" s="56"/>
      <c r="E1565" s="56"/>
      <c r="F1565" s="56"/>
    </row>
    <row r="1566" spans="1:25" ht="12.6" customHeight="1" x14ac:dyDescent="0.3">
      <c r="A1566" s="143" t="s">
        <v>1101</v>
      </c>
      <c r="B1566" s="144"/>
      <c r="C1566" s="54">
        <f>E1566+D1566+F1566</f>
        <v>1889</v>
      </c>
      <c r="D1566" s="52">
        <f>ROUNDDOWN(SUMIF(N1501:N1558,M1566,D1501:D1558),0)</f>
        <v>1126</v>
      </c>
      <c r="E1566" s="64">
        <f>ROUNDDOWN(SUMIF(N1501:N1558,M1566,E1501:E1558),0)</f>
        <v>716</v>
      </c>
      <c r="F1566" s="54">
        <f>ROUNDDOWN(SUMIF(N1501:N1558,M1566,F1501:F1558),0)</f>
        <v>47</v>
      </c>
      <c r="M1566" s="35" t="s">
        <v>1011</v>
      </c>
      <c r="N1566" s="35" t="s">
        <v>1102</v>
      </c>
    </row>
    <row r="1567" spans="1:25" ht="12.6" customHeight="1" x14ac:dyDescent="0.3">
      <c r="A1567" s="143" t="s">
        <v>1103</v>
      </c>
      <c r="B1567" s="144"/>
      <c r="C1567" s="54">
        <f>E1567+D1567+F1567</f>
        <v>1657</v>
      </c>
      <c r="D1567" s="52">
        <f>ROUNDDOWN(D1566*H1567/100,0)</f>
        <v>988</v>
      </c>
      <c r="E1567" s="64">
        <f>ROUNDDOWN(E1566*H1567/100,0)</f>
        <v>628</v>
      </c>
      <c r="F1567" s="54">
        <f>ROUNDDOWN(F1566*H1567/100,0)</f>
        <v>41</v>
      </c>
      <c r="H1567" s="37">
        <v>87.745000000000005</v>
      </c>
      <c r="M1567" s="35" t="s">
        <v>1102</v>
      </c>
    </row>
    <row r="1568" spans="1:25" ht="12.6" customHeight="1" x14ac:dyDescent="0.3">
      <c r="A1568" s="100" t="s">
        <v>257</v>
      </c>
      <c r="B1568" s="101" t="s">
        <v>253</v>
      </c>
      <c r="C1568" s="150">
        <f>C1636</f>
        <v>369171</v>
      </c>
      <c r="D1568" s="150">
        <f>D1636</f>
        <v>159891</v>
      </c>
      <c r="E1568" s="150">
        <f>E1636</f>
        <v>202128</v>
      </c>
      <c r="F1568" s="150">
        <f>F1636</f>
        <v>7152</v>
      </c>
      <c r="G1568" s="97" t="str">
        <f>HYPERLINK("#G"&amp;ROW(G1631),"_x0005_`BDCOD|D01489_x0007_`POSS|"&amp;ROW(G1570)&amp;"_x0007_`POSE|"&amp;ROW(G1631)&amp;"_x0007_`")</f>
        <v>_x0005_`BDCOD|D01489_x0007_`POSS|1570_x0007_`POSE|1631_x0007_`</v>
      </c>
    </row>
    <row r="1569" spans="1:25" ht="12.6" customHeight="1" x14ac:dyDescent="0.3">
      <c r="A1569" s="83"/>
      <c r="B1569" s="101" t="s">
        <v>252</v>
      </c>
      <c r="C1569" s="139"/>
      <c r="D1569" s="139"/>
      <c r="E1569" s="139"/>
      <c r="F1569" s="139"/>
      <c r="M1569" s="35" t="s">
        <v>257</v>
      </c>
    </row>
    <row r="1570" spans="1:25" ht="12.6" customHeight="1" x14ac:dyDescent="0.3">
      <c r="A1570" s="78"/>
      <c r="B1570" s="78"/>
      <c r="C1570" s="103"/>
      <c r="D1570" s="103"/>
      <c r="E1570" s="103"/>
      <c r="F1570" s="103"/>
      <c r="G1570" s="17" t="s">
        <v>1229</v>
      </c>
    </row>
    <row r="1571" spans="1:25" ht="12.6" customHeight="1" x14ac:dyDescent="0.3">
      <c r="A1571" s="68"/>
      <c r="B1571" s="77" t="s">
        <v>1947</v>
      </c>
      <c r="C1571" s="78"/>
      <c r="D1571" s="78"/>
      <c r="E1571" s="78"/>
      <c r="F1571" s="78"/>
      <c r="G1571" s="17" t="s">
        <v>1946</v>
      </c>
    </row>
    <row r="1572" spans="1:25" ht="12.6" customHeight="1" x14ac:dyDescent="0.3">
      <c r="A1572" s="78"/>
      <c r="B1572" s="78"/>
      <c r="C1572" s="78"/>
      <c r="D1572" s="78"/>
      <c r="E1572" s="78"/>
      <c r="F1572" s="78"/>
      <c r="G1572" s="17" t="s">
        <v>1229</v>
      </c>
    </row>
    <row r="1573" spans="1:25" ht="12.6" customHeight="1" x14ac:dyDescent="0.3">
      <c r="A1573" s="68"/>
      <c r="B1573" s="77" t="s">
        <v>1949</v>
      </c>
      <c r="C1573" s="78"/>
      <c r="D1573" s="78"/>
      <c r="E1573" s="78"/>
      <c r="F1573" s="78"/>
      <c r="G1573" s="17" t="s">
        <v>1948</v>
      </c>
    </row>
    <row r="1574" spans="1:25" ht="12.6" customHeight="1" x14ac:dyDescent="0.3">
      <c r="A1574" s="78"/>
      <c r="B1574" s="78"/>
      <c r="C1574" s="78"/>
      <c r="D1574" s="78"/>
      <c r="E1574" s="78"/>
      <c r="F1574" s="78"/>
      <c r="G1574" s="17" t="s">
        <v>1229</v>
      </c>
    </row>
    <row r="1575" spans="1:25" ht="12.6" customHeight="1" x14ac:dyDescent="0.3">
      <c r="A1575" s="68" t="s">
        <v>522</v>
      </c>
      <c r="B1575" s="102" t="str">
        <f>" 낙석방지책 : "&amp;TEXT(I1575,"#,##0"&amp;IF(I1575&lt;&gt;INT(I1575),".###",""))&amp;" * 1 경간  = "&amp;TEXT(C1575,"#,##0.0")&amp;""</f>
        <v xml:space="preserve"> 낙석방지책 : 227,000 * 1 경간  = 227,000.0</v>
      </c>
      <c r="C1575" s="104">
        <f>E1575+D1575+F1575</f>
        <v>227000</v>
      </c>
      <c r="D1575" s="104">
        <f>IF(H1575=0,0,ROUNDDOWN(J1575*H1575,1))</f>
        <v>0</v>
      </c>
      <c r="E1575" s="104">
        <f>IF(H1575=0,0,ROUNDDOWN(K1575*H1575,1))</f>
        <v>227000</v>
      </c>
      <c r="F1575" s="104">
        <f>IF(H1575=0,0,ROUNDDOWN(L1575*H1575,1))</f>
        <v>0</v>
      </c>
      <c r="G1575" s="17" t="s">
        <v>1950</v>
      </c>
      <c r="H1575" s="109">
        <v>1</v>
      </c>
      <c r="I1575" s="110">
        <f>K1575+J1575+L1575</f>
        <v>227000</v>
      </c>
      <c r="K1575" s="39">
        <f>재료비목록표!E31</f>
        <v>227000</v>
      </c>
      <c r="M1575" s="35" t="s">
        <v>1951</v>
      </c>
      <c r="N1575" s="35" t="s">
        <v>1348</v>
      </c>
      <c r="X1575" s="111" t="str">
        <f>재료비목록표!B31&amp;" / "&amp;재료비목록표!C31</f>
        <v>낙석방지책 / H2500×W2000(표준)</v>
      </c>
      <c r="Y1575" s="3" t="str">
        <f ca="1">HYPERLINK("#"&amp;재료비목록표!G2&amp;"!A"&amp;ROW(재료비목록표!A31),"M01324 →")</f>
        <v>M01324 →</v>
      </c>
    </row>
    <row r="1576" spans="1:25" ht="12.6" customHeight="1" x14ac:dyDescent="0.3">
      <c r="A1576" s="78"/>
      <c r="B1576" s="78"/>
      <c r="C1576" s="78"/>
      <c r="D1576" s="78"/>
      <c r="E1576" s="78"/>
      <c r="F1576" s="78"/>
      <c r="G1576" s="17" t="s">
        <v>1229</v>
      </c>
    </row>
    <row r="1577" spans="1:25" ht="12.6" customHeight="1" x14ac:dyDescent="0.3">
      <c r="A1577" s="68"/>
      <c r="B1577" s="77" t="s">
        <v>1101</v>
      </c>
      <c r="C1577" s="105">
        <f>E1577+D1577+F1577</f>
        <v>227000</v>
      </c>
      <c r="D1577" s="105">
        <f>SUMIF(N1570:N1576,M1577,D1570:D1576)</f>
        <v>0</v>
      </c>
      <c r="E1577" s="105">
        <f>SUMIF(N1570:N1576,M1577,E1570:E1576)</f>
        <v>227000</v>
      </c>
      <c r="F1577" s="105">
        <f>SUMIF(N1570:N1576,M1577,F1570:F1576)</f>
        <v>0</v>
      </c>
      <c r="G1577" s="17" t="s">
        <v>1498</v>
      </c>
      <c r="M1577" s="35" t="s">
        <v>1348</v>
      </c>
      <c r="N1577" s="35" t="s">
        <v>1989</v>
      </c>
    </row>
    <row r="1578" spans="1:25" ht="12.6" customHeight="1" x14ac:dyDescent="0.3">
      <c r="A1578" s="78"/>
      <c r="B1578" s="78"/>
      <c r="C1578" s="103"/>
      <c r="D1578" s="103"/>
      <c r="E1578" s="103"/>
      <c r="F1578" s="103"/>
      <c r="G1578" s="17" t="s">
        <v>1496</v>
      </c>
    </row>
    <row r="1579" spans="1:25" ht="12.6" customHeight="1" x14ac:dyDescent="0.3">
      <c r="A1579" s="68"/>
      <c r="B1579" s="77" t="s">
        <v>1953</v>
      </c>
      <c r="C1579" s="78"/>
      <c r="D1579" s="78"/>
      <c r="E1579" s="78"/>
      <c r="F1579" s="78"/>
      <c r="G1579" s="17" t="s">
        <v>1952</v>
      </c>
    </row>
    <row r="1580" spans="1:25" ht="12.6" customHeight="1" x14ac:dyDescent="0.3">
      <c r="A1580" s="78"/>
      <c r="B1580" s="78"/>
      <c r="C1580" s="78"/>
      <c r="D1580" s="78"/>
      <c r="E1580" s="78"/>
      <c r="F1580" s="78"/>
      <c r="G1580" s="17" t="s">
        <v>1496</v>
      </c>
    </row>
    <row r="1581" spans="1:25" ht="12.6" customHeight="1" x14ac:dyDescent="0.3">
      <c r="A1581" s="68"/>
      <c r="B1581" s="77" t="s">
        <v>1955</v>
      </c>
      <c r="C1581" s="78"/>
      <c r="D1581" s="78"/>
      <c r="E1581" s="78"/>
      <c r="F1581" s="78"/>
      <c r="G1581" s="17" t="s">
        <v>1954</v>
      </c>
    </row>
    <row r="1582" spans="1:25" ht="12.6" customHeight="1" x14ac:dyDescent="0.3">
      <c r="A1582" s="78"/>
      <c r="B1582" s="78"/>
      <c r="C1582" s="78"/>
      <c r="D1582" s="78"/>
      <c r="E1582" s="78"/>
      <c r="F1582" s="78"/>
      <c r="G1582" s="17" t="s">
        <v>1229</v>
      </c>
    </row>
    <row r="1583" spans="1:25" ht="12.6" customHeight="1" x14ac:dyDescent="0.3">
      <c r="A1583" s="68"/>
      <c r="B1583" s="77" t="s">
        <v>1957</v>
      </c>
      <c r="C1583" s="78"/>
      <c r="D1583" s="78"/>
      <c r="E1583" s="78"/>
      <c r="F1583" s="78"/>
      <c r="G1583" s="17" t="s">
        <v>1956</v>
      </c>
    </row>
    <row r="1584" spans="1:25" ht="12.6" customHeight="1" x14ac:dyDescent="0.3">
      <c r="A1584" s="78"/>
      <c r="B1584" s="78"/>
      <c r="C1584" s="78"/>
      <c r="D1584" s="78"/>
      <c r="E1584" s="78"/>
      <c r="F1584" s="78"/>
      <c r="G1584" s="17" t="s">
        <v>1229</v>
      </c>
    </row>
    <row r="1585" spans="1:25" ht="12.6" customHeight="1" x14ac:dyDescent="0.3">
      <c r="A1585" s="68" t="s">
        <v>591</v>
      </c>
      <c r="B1585" s="102" t="str">
        <f>" 용접공 : "&amp;TEXT(I1585,"#,##0"&amp;IF(I1585&lt;&gt;INT(I1585),".###",""))&amp;" * 1 / N = "&amp;TEXT(C1585,"#,##0.0")&amp;""</f>
        <v xml:space="preserve"> 용접공 : 278,326 * 1 / N = 6,958.1</v>
      </c>
      <c r="C1585" s="104">
        <f>E1585+D1585+F1585</f>
        <v>6958.1</v>
      </c>
      <c r="D1585" s="104">
        <f>IF(H1585=0,0,ROUNDDOWN(J1585*H1585,1))</f>
        <v>6958.1</v>
      </c>
      <c r="E1585" s="104">
        <f>IF(H1585=0,0,ROUNDDOWN(K1585*H1585,1))</f>
        <v>0</v>
      </c>
      <c r="F1585" s="104">
        <f>IF(H1585=0,0,ROUNDDOWN(L1585*H1585,1))</f>
        <v>0</v>
      </c>
      <c r="G1585" s="17" t="s">
        <v>1958</v>
      </c>
      <c r="H1585" s="109">
        <v>2.5000000000100001E-2</v>
      </c>
      <c r="I1585" s="110">
        <f>K1585+J1585+L1585</f>
        <v>278326</v>
      </c>
      <c r="J1585" s="39">
        <f>노무비목록표!E12</f>
        <v>278326</v>
      </c>
      <c r="M1585" s="35" t="s">
        <v>1959</v>
      </c>
      <c r="N1585" s="35" t="s">
        <v>1247</v>
      </c>
      <c r="X1585" s="111" t="str">
        <f>노무비목록표!B12&amp;" / "&amp;노무비목록표!C12</f>
        <v xml:space="preserve">용접공 / </v>
      </c>
      <c r="Y1585" s="3" t="str">
        <f ca="1">HYPERLINK("#"&amp;노무비목록표!G2&amp;"!A"&amp;ROW(노무비목록표!A12),"L00019 →")</f>
        <v>L00019 →</v>
      </c>
    </row>
    <row r="1586" spans="1:25" ht="12.6" customHeight="1" x14ac:dyDescent="0.3">
      <c r="A1586" s="78"/>
      <c r="B1586" s="78"/>
      <c r="C1586" s="78"/>
      <c r="D1586" s="78"/>
      <c r="E1586" s="78"/>
      <c r="F1586" s="78"/>
      <c r="G1586" s="17" t="s">
        <v>1229</v>
      </c>
    </row>
    <row r="1587" spans="1:25" ht="12.6" customHeight="1" x14ac:dyDescent="0.3">
      <c r="A1587" s="68" t="s">
        <v>585</v>
      </c>
      <c r="B1587" s="102" t="str">
        <f>" 특별인부 : "&amp;TEXT(I1587,"#,##0"&amp;IF(I1587&lt;&gt;INT(I1587),".###",""))&amp;" * 3 / N = "&amp;TEXT(C1587,"#,##0.0")&amp;""</f>
        <v xml:space="preserve"> 특별인부 : 221,506 * 3 / N = 16,612.9</v>
      </c>
      <c r="C1587" s="104">
        <f>E1587+D1587+F1587</f>
        <v>16612.900000000001</v>
      </c>
      <c r="D1587" s="104">
        <f>IF(H1587=0,0,ROUNDDOWN(J1587*H1587,1))</f>
        <v>16612.900000000001</v>
      </c>
      <c r="E1587" s="104">
        <f>IF(H1587=0,0,ROUNDDOWN(K1587*H1587,1))</f>
        <v>0</v>
      </c>
      <c r="F1587" s="104">
        <f>IF(H1587=0,0,ROUNDDOWN(L1587*H1587,1))</f>
        <v>0</v>
      </c>
      <c r="G1587" s="17" t="s">
        <v>1960</v>
      </c>
      <c r="H1587" s="109">
        <v>7.5000000000100001E-2</v>
      </c>
      <c r="I1587" s="110">
        <f>K1587+J1587+L1587</f>
        <v>221506</v>
      </c>
      <c r="J1587" s="39">
        <f>노무비목록표!E10</f>
        <v>221506</v>
      </c>
      <c r="M1587" s="35" t="s">
        <v>1405</v>
      </c>
      <c r="N1587" s="35" t="s">
        <v>1247</v>
      </c>
      <c r="X1587" s="111" t="str">
        <f>노무비목록표!B10&amp;" / "&amp;노무비목록표!C10</f>
        <v xml:space="preserve">특별인부 / </v>
      </c>
      <c r="Y1587" s="3" t="str">
        <f ca="1">HYPERLINK("#"&amp;노무비목록표!G2&amp;"!A"&amp;ROW(노무비목록표!A10),"L00015 →")</f>
        <v>L00015 →</v>
      </c>
    </row>
    <row r="1588" spans="1:25" ht="12.6" customHeight="1" x14ac:dyDescent="0.3">
      <c r="A1588" s="78"/>
      <c r="B1588" s="78"/>
      <c r="C1588" s="78"/>
      <c r="D1588" s="78"/>
      <c r="E1588" s="78"/>
      <c r="F1588" s="78"/>
      <c r="G1588" s="17" t="s">
        <v>1229</v>
      </c>
    </row>
    <row r="1589" spans="1:25" ht="12.6" customHeight="1" x14ac:dyDescent="0.3">
      <c r="A1589" s="68" t="s">
        <v>588</v>
      </c>
      <c r="B1589" s="102" t="str">
        <f>" 보통인부 : "&amp;TEXT(I1589,"#,##0"&amp;IF(I1589&lt;&gt;INT(I1589),".###",""))&amp;" * 2 / N = "&amp;TEXT(C1589,"#,##0.0")&amp;""</f>
        <v xml:space="preserve"> 보통인부 : 169,804 * 2 / N = 8,490.2</v>
      </c>
      <c r="C1589" s="104">
        <f>E1589+D1589+F1589</f>
        <v>8490.2000000000007</v>
      </c>
      <c r="D1589" s="104">
        <f>IF(H1589=0,0,ROUNDDOWN(J1589*H1589,1))</f>
        <v>8490.2000000000007</v>
      </c>
      <c r="E1589" s="104">
        <f>IF(H1589=0,0,ROUNDDOWN(K1589*H1589,1))</f>
        <v>0</v>
      </c>
      <c r="F1589" s="104">
        <f>IF(H1589=0,0,ROUNDDOWN(L1589*H1589,1))</f>
        <v>0</v>
      </c>
      <c r="G1589" s="17" t="s">
        <v>1961</v>
      </c>
      <c r="H1589" s="109">
        <v>5.0000000000099999E-2</v>
      </c>
      <c r="I1589" s="110">
        <f>K1589+J1589+L1589</f>
        <v>169804</v>
      </c>
      <c r="J1589" s="39">
        <f>노무비목록표!E11</f>
        <v>169804</v>
      </c>
      <c r="M1589" s="35" t="s">
        <v>1018</v>
      </c>
      <c r="N1589" s="35" t="s">
        <v>1247</v>
      </c>
      <c r="X1589" s="111" t="str">
        <f>노무비목록표!B11&amp;" / "&amp;노무비목록표!C11</f>
        <v xml:space="preserve">보통인부 / </v>
      </c>
      <c r="Y1589" s="3" t="str">
        <f ca="1">HYPERLINK("#"&amp;노무비목록표!G2&amp;"!A"&amp;ROW(노무비목록표!A11),"L00016 →")</f>
        <v>L00016 →</v>
      </c>
    </row>
    <row r="1590" spans="1:25" ht="12.6" customHeight="1" x14ac:dyDescent="0.3">
      <c r="A1590" s="78"/>
      <c r="B1590" s="78"/>
      <c r="C1590" s="78"/>
      <c r="D1590" s="78"/>
      <c r="E1590" s="78"/>
      <c r="F1590" s="78"/>
      <c r="G1590" s="17" t="s">
        <v>1229</v>
      </c>
    </row>
    <row r="1591" spans="1:25" ht="12.6" customHeight="1" x14ac:dyDescent="0.3">
      <c r="A1591" s="68"/>
      <c r="B1591" s="77" t="s">
        <v>1246</v>
      </c>
      <c r="C1591" s="105">
        <f>E1591+D1591+F1591</f>
        <v>32061.200000000001</v>
      </c>
      <c r="D1591" s="105">
        <f>SUMIF(N1578:N1590,M1591,D1578:D1590)</f>
        <v>32061.200000000001</v>
      </c>
      <c r="E1591" s="105">
        <f>SUMIF(N1578:N1590,M1591,E1578:E1590)</f>
        <v>0</v>
      </c>
      <c r="F1591" s="105">
        <f>SUMIF(N1578:N1590,M1591,F1578:F1590)</f>
        <v>0</v>
      </c>
      <c r="G1591" s="17" t="s">
        <v>1245</v>
      </c>
      <c r="M1591" s="35" t="s">
        <v>1247</v>
      </c>
      <c r="N1591" s="35" t="s">
        <v>1348</v>
      </c>
    </row>
    <row r="1592" spans="1:25" ht="12.6" customHeight="1" x14ac:dyDescent="0.3">
      <c r="A1592" s="78"/>
      <c r="B1592" s="78"/>
      <c r="C1592" s="103"/>
      <c r="D1592" s="103"/>
      <c r="E1592" s="103"/>
      <c r="F1592" s="103"/>
      <c r="G1592" s="17" t="s">
        <v>1229</v>
      </c>
    </row>
    <row r="1593" spans="1:25" ht="12.6" customHeight="1" x14ac:dyDescent="0.3">
      <c r="A1593" s="68"/>
      <c r="B1593" s="77" t="s">
        <v>1963</v>
      </c>
      <c r="C1593" s="78"/>
      <c r="D1593" s="78"/>
      <c r="E1593" s="78"/>
      <c r="F1593" s="78"/>
      <c r="G1593" s="17" t="s">
        <v>1962</v>
      </c>
    </row>
    <row r="1594" spans="1:25" ht="12.6" customHeight="1" x14ac:dyDescent="0.3">
      <c r="A1594" s="78"/>
      <c r="B1594" s="78"/>
      <c r="C1594" s="78"/>
      <c r="D1594" s="78"/>
      <c r="E1594" s="78"/>
      <c r="F1594" s="78"/>
      <c r="G1594" s="17" t="s">
        <v>1229</v>
      </c>
    </row>
    <row r="1595" spans="1:25" ht="12.6" customHeight="1" x14ac:dyDescent="0.3">
      <c r="A1595" s="68" t="s">
        <v>1965</v>
      </c>
      <c r="B1595" s="102" t="str">
        <f>"  노 무 비 :  "&amp;TEXT(I1595,"#,##0"&amp;IF(I1595&lt;&gt;INT(I1595),".###",""))&amp;" / N * 8 hr = "&amp;TEXT(C1595,"#,##0.0")&amp;""</f>
        <v xml:space="preserve">  노 무 비 :  49,479 / N * 8 hr = 9,895.8</v>
      </c>
      <c r="C1595" s="104">
        <f>E1595+D1595+F1595</f>
        <v>9895.7999999999993</v>
      </c>
      <c r="D1595" s="104">
        <f>IF(H1595=0,0,ROUNDDOWN(J1595*H1595,1))</f>
        <v>9895.7999999999993</v>
      </c>
      <c r="E1595" s="104">
        <f>IF(H1595=0,0,ROUNDDOWN(K1595*H1595,1))</f>
        <v>0</v>
      </c>
      <c r="F1595" s="104">
        <f>IF(H1595=0,0,ROUNDDOWN(L1595*H1595,1))</f>
        <v>0</v>
      </c>
      <c r="G1595" s="17" t="s">
        <v>1964</v>
      </c>
      <c r="H1595" s="109">
        <v>0.20000000000009999</v>
      </c>
      <c r="I1595" s="110">
        <f>K1595+J1595+L1595</f>
        <v>49479</v>
      </c>
      <c r="J1595" s="39">
        <f>중기목록표!F24</f>
        <v>49479</v>
      </c>
      <c r="M1595" s="35" t="s">
        <v>1966</v>
      </c>
      <c r="N1595" s="35" t="s">
        <v>1247</v>
      </c>
      <c r="X1595" s="111" t="str">
        <f>중기목록표!B24&amp;" / "&amp;중기목록표!C24</f>
        <v>트럭탑재형 크레인 / 10톤</v>
      </c>
      <c r="Y1595" s="3" t="str">
        <f ca="1">HYPERLINK("#"&amp;중기목록표!J2&amp;"!A"&amp;ROW(중기목록표!A24),"X00568 →")</f>
        <v>X00568 →</v>
      </c>
    </row>
    <row r="1596" spans="1:25" ht="12.6" customHeight="1" x14ac:dyDescent="0.3">
      <c r="A1596" s="78"/>
      <c r="B1596" s="78"/>
      <c r="C1596" s="78"/>
      <c r="D1596" s="78"/>
      <c r="E1596" s="78"/>
      <c r="F1596" s="78"/>
      <c r="G1596" s="17" t="s">
        <v>1229</v>
      </c>
    </row>
    <row r="1597" spans="1:25" ht="12.6" customHeight="1" x14ac:dyDescent="0.3">
      <c r="A1597" s="68" t="s">
        <v>1968</v>
      </c>
      <c r="B1597" s="102" t="str">
        <f>"  재 료 비 :  "&amp;TEXT(I1597,"#,##0"&amp;IF(I1597&lt;&gt;INT(I1597),".###",""))&amp;" / N * 8 hr = "&amp;TEXT(C1597,"#,##0.0")&amp;""</f>
        <v xml:space="preserve">  재 료 비 :  16,797 / N * 8 hr = 3,359.4</v>
      </c>
      <c r="C1597" s="104">
        <f>E1597+D1597+F1597</f>
        <v>3359.4</v>
      </c>
      <c r="D1597" s="104">
        <f>IF(H1597=0,0,ROUNDDOWN(J1597*H1597,1))</f>
        <v>0</v>
      </c>
      <c r="E1597" s="104">
        <f>IF(H1597=0,0,ROUNDDOWN(K1597*H1597,1))</f>
        <v>3359.4</v>
      </c>
      <c r="F1597" s="104">
        <f>IF(H1597=0,0,ROUNDDOWN(L1597*H1597,1))</f>
        <v>0</v>
      </c>
      <c r="G1597" s="17" t="s">
        <v>1967</v>
      </c>
      <c r="H1597" s="109">
        <v>0.20000000000009999</v>
      </c>
      <c r="I1597" s="110">
        <f>K1597+J1597+L1597</f>
        <v>16797</v>
      </c>
      <c r="K1597" s="39">
        <f>중기목록표!G24</f>
        <v>16797</v>
      </c>
      <c r="M1597" s="35" t="s">
        <v>1966</v>
      </c>
      <c r="N1597" s="35" t="s">
        <v>1247</v>
      </c>
      <c r="X1597" s="111" t="str">
        <f>중기목록표!B24&amp;" / "&amp;중기목록표!C24</f>
        <v>트럭탑재형 크레인 / 10톤</v>
      </c>
      <c r="Y1597" s="3" t="str">
        <f ca="1">HYPERLINK("#"&amp;중기목록표!J2&amp;"!A"&amp;ROW(중기목록표!A24),"X00568 →")</f>
        <v>X00568 →</v>
      </c>
    </row>
    <row r="1598" spans="1:25" ht="12.6" customHeight="1" x14ac:dyDescent="0.3">
      <c r="A1598" s="78"/>
      <c r="B1598" s="78"/>
      <c r="C1598" s="78"/>
      <c r="D1598" s="78"/>
      <c r="E1598" s="78"/>
      <c r="F1598" s="78"/>
      <c r="G1598" s="17" t="s">
        <v>1229</v>
      </c>
    </row>
    <row r="1599" spans="1:25" ht="12.6" customHeight="1" x14ac:dyDescent="0.3">
      <c r="A1599" s="68" t="s">
        <v>1970</v>
      </c>
      <c r="B1599" s="102" t="str">
        <f>"  경    비 :  "&amp;TEXT(I1599,"#,##0"&amp;IF(I1599&lt;&gt;INT(I1599),".###",""))&amp;" / N * 8 hr = "&amp;TEXT(C1599,"#,##0.0")&amp;""</f>
        <v xml:space="preserve">  경    비 :  22,539 / N * 8 hr = 4,507.8</v>
      </c>
      <c r="C1599" s="104">
        <f>E1599+D1599+F1599</f>
        <v>4507.8</v>
      </c>
      <c r="D1599" s="104">
        <f>IF(H1599=0,0,ROUNDDOWN(J1599*H1599,1))</f>
        <v>0</v>
      </c>
      <c r="E1599" s="104">
        <f>IF(H1599=0,0,ROUNDDOWN(K1599*H1599,1))</f>
        <v>0</v>
      </c>
      <c r="F1599" s="104">
        <f>IF(H1599=0,0,ROUNDDOWN(L1599*H1599,1))</f>
        <v>4507.8</v>
      </c>
      <c r="G1599" s="17" t="s">
        <v>1969</v>
      </c>
      <c r="H1599" s="109">
        <v>0.20000000000009999</v>
      </c>
      <c r="I1599" s="110">
        <f>K1599+J1599+L1599</f>
        <v>22539</v>
      </c>
      <c r="L1599" s="39">
        <f>중기목록표!H24</f>
        <v>22539</v>
      </c>
      <c r="M1599" s="35" t="s">
        <v>1966</v>
      </c>
      <c r="N1599" s="35" t="s">
        <v>1247</v>
      </c>
      <c r="X1599" s="111" t="str">
        <f>중기목록표!B24&amp;" / "&amp;중기목록표!C24</f>
        <v>트럭탑재형 크레인 / 10톤</v>
      </c>
      <c r="Y1599" s="3" t="str">
        <f ca="1">HYPERLINK("#"&amp;중기목록표!J2&amp;"!A"&amp;ROW(중기목록표!A24),"X00568 →")</f>
        <v>X00568 →</v>
      </c>
    </row>
    <row r="1600" spans="1:25" ht="12.6" customHeight="1" x14ac:dyDescent="0.3">
      <c r="A1600" s="78"/>
      <c r="B1600" s="78"/>
      <c r="C1600" s="78"/>
      <c r="D1600" s="78"/>
      <c r="E1600" s="78"/>
      <c r="F1600" s="78"/>
      <c r="G1600" s="17" t="s">
        <v>1229</v>
      </c>
    </row>
    <row r="1601" spans="1:25" ht="12.6" customHeight="1" x14ac:dyDescent="0.3">
      <c r="A1601" s="68"/>
      <c r="B1601" s="77" t="s">
        <v>1246</v>
      </c>
      <c r="C1601" s="105">
        <f>E1601+D1601+F1601</f>
        <v>17763</v>
      </c>
      <c r="D1601" s="105">
        <f>SUMIF(N1592:N1600,M1601,D1592:D1600)</f>
        <v>9895.7999999999993</v>
      </c>
      <c r="E1601" s="105">
        <f>SUMIF(N1592:N1600,M1601,E1592:E1600)</f>
        <v>3359.4</v>
      </c>
      <c r="F1601" s="105">
        <f>SUMIF(N1592:N1600,M1601,F1592:F1600)</f>
        <v>4507.8</v>
      </c>
      <c r="G1601" s="17" t="s">
        <v>1497</v>
      </c>
      <c r="M1601" s="35" t="s">
        <v>1247</v>
      </c>
      <c r="N1601" s="35" t="s">
        <v>1348</v>
      </c>
    </row>
    <row r="1602" spans="1:25" ht="12.6" customHeight="1" x14ac:dyDescent="0.3">
      <c r="A1602" s="78"/>
      <c r="B1602" s="78"/>
      <c r="C1602" s="103"/>
      <c r="D1602" s="103"/>
      <c r="E1602" s="103"/>
      <c r="F1602" s="103"/>
      <c r="G1602" s="17" t="s">
        <v>1496</v>
      </c>
    </row>
    <row r="1603" spans="1:25" ht="12.6" customHeight="1" x14ac:dyDescent="0.3">
      <c r="A1603" s="68"/>
      <c r="B1603" s="77" t="s">
        <v>1101</v>
      </c>
      <c r="C1603" s="105">
        <f>E1603+D1603+F1603</f>
        <v>49824.200000000004</v>
      </c>
      <c r="D1603" s="105">
        <f>SUMIF(N1578:N1602,M1603,D1578:D1602)</f>
        <v>41957</v>
      </c>
      <c r="E1603" s="105">
        <f>SUMIF(N1578:N1602,M1603,E1578:E1602)</f>
        <v>3359.4</v>
      </c>
      <c r="F1603" s="105">
        <f>SUMIF(N1578:N1602,M1603,F1578:F1602)</f>
        <v>4507.8</v>
      </c>
      <c r="G1603" s="17" t="s">
        <v>1498</v>
      </c>
      <c r="M1603" s="35" t="s">
        <v>1348</v>
      </c>
      <c r="N1603" s="35" t="s">
        <v>1989</v>
      </c>
    </row>
    <row r="1604" spans="1:25" ht="12.6" customHeight="1" x14ac:dyDescent="0.3">
      <c r="A1604" s="78"/>
      <c r="B1604" s="78"/>
      <c r="C1604" s="103"/>
      <c r="D1604" s="103"/>
      <c r="E1604" s="103"/>
      <c r="F1604" s="103"/>
      <c r="G1604" s="17" t="s">
        <v>1229</v>
      </c>
    </row>
    <row r="1605" spans="1:25" ht="12.6" customHeight="1" x14ac:dyDescent="0.3">
      <c r="A1605" s="68"/>
      <c r="B1605" s="77" t="s">
        <v>1972</v>
      </c>
      <c r="C1605" s="78"/>
      <c r="D1605" s="78"/>
      <c r="E1605" s="78"/>
      <c r="F1605" s="78"/>
      <c r="G1605" s="17" t="s">
        <v>1971</v>
      </c>
    </row>
    <row r="1606" spans="1:25" ht="12.6" customHeight="1" x14ac:dyDescent="0.3">
      <c r="A1606" s="78"/>
      <c r="B1606" s="78"/>
      <c r="C1606" s="78"/>
      <c r="D1606" s="78"/>
      <c r="E1606" s="78"/>
      <c r="F1606" s="78"/>
      <c r="G1606" s="17" t="s">
        <v>1229</v>
      </c>
    </row>
    <row r="1607" spans="1:25" ht="12.6" customHeight="1" x14ac:dyDescent="0.3">
      <c r="A1607" s="68"/>
      <c r="B1607" s="77" t="s">
        <v>1974</v>
      </c>
      <c r="C1607" s="78"/>
      <c r="D1607" s="78"/>
      <c r="E1607" s="78"/>
      <c r="F1607" s="78"/>
      <c r="G1607" s="17" t="s">
        <v>1973</v>
      </c>
    </row>
    <row r="1608" spans="1:25" ht="12.6" customHeight="1" x14ac:dyDescent="0.3">
      <c r="A1608" s="78"/>
      <c r="B1608" s="78"/>
      <c r="C1608" s="78"/>
      <c r="D1608" s="78"/>
      <c r="E1608" s="78"/>
      <c r="F1608" s="78"/>
      <c r="G1608" s="17" t="s">
        <v>1229</v>
      </c>
    </row>
    <row r="1609" spans="1:25" ht="12.6" customHeight="1" x14ac:dyDescent="0.3">
      <c r="A1609" s="68" t="s">
        <v>585</v>
      </c>
      <c r="B1609" s="102" t="str">
        <f>" 특별인부: "&amp;TEXT(I1609,"#,##0"&amp;IF(I1609&lt;&gt;INT(I1609),".###",""))&amp;" * 4 / Q * L  = "&amp;TEXT(C1609,"#,##0.0")&amp;""</f>
        <v xml:space="preserve"> 특별인부: 221,506 * 4 / Q * L  = 88,602.4</v>
      </c>
      <c r="C1609" s="104">
        <f>E1609+D1609+F1609</f>
        <v>88602.4</v>
      </c>
      <c r="D1609" s="104">
        <f>IF(H1609=0,0,ROUNDDOWN(J1609*H1609,1))</f>
        <v>88602.4</v>
      </c>
      <c r="E1609" s="104">
        <f>IF(H1609=0,0,ROUNDDOWN(K1609*H1609,1))</f>
        <v>0</v>
      </c>
      <c r="F1609" s="104">
        <f>IF(H1609=0,0,ROUNDDOWN(L1609*H1609,1))</f>
        <v>0</v>
      </c>
      <c r="G1609" s="17" t="s">
        <v>1975</v>
      </c>
      <c r="H1609" s="109">
        <v>0.4000000000001</v>
      </c>
      <c r="I1609" s="110">
        <f>K1609+J1609+L1609</f>
        <v>221506</v>
      </c>
      <c r="J1609" s="39">
        <f>노무비목록표!E10</f>
        <v>221506</v>
      </c>
      <c r="M1609" s="35" t="s">
        <v>1405</v>
      </c>
      <c r="N1609" s="35" t="s">
        <v>1348</v>
      </c>
      <c r="X1609" s="111" t="str">
        <f>노무비목록표!B10&amp;" / "&amp;노무비목록표!C10</f>
        <v xml:space="preserve">특별인부 / </v>
      </c>
      <c r="Y1609" s="3" t="str">
        <f ca="1">HYPERLINK("#"&amp;노무비목록표!G2&amp;"!A"&amp;ROW(노무비목록표!A10),"L00015 →")</f>
        <v>L00015 →</v>
      </c>
    </row>
    <row r="1610" spans="1:25" ht="12.6" customHeight="1" x14ac:dyDescent="0.3">
      <c r="A1610" s="78"/>
      <c r="B1610" s="78"/>
      <c r="C1610" s="78"/>
      <c r="D1610" s="78"/>
      <c r="E1610" s="78"/>
      <c r="F1610" s="78"/>
      <c r="G1610" s="17" t="s">
        <v>1229</v>
      </c>
    </row>
    <row r="1611" spans="1:25" ht="12.6" customHeight="1" x14ac:dyDescent="0.3">
      <c r="A1611" s="68" t="s">
        <v>588</v>
      </c>
      <c r="B1611" s="102" t="str">
        <f>" 보통인부 : "&amp;TEXT(I1611,"#,##0"&amp;IF(I1611&lt;&gt;INT(I1611),".###",""))&amp;" *2 / Q * L = "&amp;TEXT(C1611,"#,##0.0")&amp;""</f>
        <v xml:space="preserve"> 보통인부 : 169,804 *2 / Q * L = 33,960.8</v>
      </c>
      <c r="C1611" s="104">
        <f>E1611+D1611+F1611</f>
        <v>33960.800000000003</v>
      </c>
      <c r="D1611" s="104">
        <f>IF(H1611=0,0,ROUNDDOWN(J1611*H1611,1))</f>
        <v>33960.800000000003</v>
      </c>
      <c r="E1611" s="104">
        <f>IF(H1611=0,0,ROUNDDOWN(K1611*H1611,1))</f>
        <v>0</v>
      </c>
      <c r="F1611" s="104">
        <f>IF(H1611=0,0,ROUNDDOWN(L1611*H1611,1))</f>
        <v>0</v>
      </c>
      <c r="G1611" s="17" t="s">
        <v>1976</v>
      </c>
      <c r="H1611" s="109">
        <v>0.20000000000009999</v>
      </c>
      <c r="I1611" s="110">
        <f>K1611+J1611+L1611</f>
        <v>169804</v>
      </c>
      <c r="J1611" s="39">
        <f>노무비목록표!E11</f>
        <v>169804</v>
      </c>
      <c r="M1611" s="35" t="s">
        <v>1018</v>
      </c>
      <c r="N1611" s="35" t="s">
        <v>1348</v>
      </c>
      <c r="X1611" s="111" t="str">
        <f>노무비목록표!B11&amp;" / "&amp;노무비목록표!C11</f>
        <v xml:space="preserve">보통인부 / </v>
      </c>
      <c r="Y1611" s="3" t="str">
        <f ca="1">HYPERLINK("#"&amp;노무비목록표!G2&amp;"!A"&amp;ROW(노무비목록표!A11),"L00016 →")</f>
        <v>L00016 →</v>
      </c>
    </row>
    <row r="1612" spans="1:25" ht="12.6" customHeight="1" x14ac:dyDescent="0.3">
      <c r="A1612" s="78"/>
      <c r="B1612" s="78"/>
      <c r="C1612" s="78"/>
      <c r="D1612" s="78"/>
      <c r="E1612" s="78"/>
      <c r="F1612" s="78"/>
      <c r="G1612" s="17" t="s">
        <v>1229</v>
      </c>
    </row>
    <row r="1613" spans="1:25" ht="12.6" customHeight="1" x14ac:dyDescent="0.3">
      <c r="A1613" s="68"/>
      <c r="B1613" s="77" t="s">
        <v>1101</v>
      </c>
      <c r="C1613" s="105">
        <f>E1613+D1613+F1613</f>
        <v>122563.2</v>
      </c>
      <c r="D1613" s="105">
        <f>SUMIF(N1604:N1612,M1613,D1604:D1612)</f>
        <v>122563.2</v>
      </c>
      <c r="E1613" s="105">
        <f>SUMIF(N1604:N1612,M1613,E1604:E1612)</f>
        <v>0</v>
      </c>
      <c r="F1613" s="105">
        <f>SUMIF(N1604:N1612,M1613,F1604:F1612)</f>
        <v>0</v>
      </c>
      <c r="G1613" s="17" t="s">
        <v>1498</v>
      </c>
      <c r="M1613" s="35" t="s">
        <v>1348</v>
      </c>
      <c r="N1613" s="35" t="s">
        <v>1989</v>
      </c>
    </row>
    <row r="1614" spans="1:25" ht="12.6" customHeight="1" x14ac:dyDescent="0.3">
      <c r="A1614" s="78"/>
      <c r="B1614" s="78"/>
      <c r="C1614" s="103"/>
      <c r="D1614" s="103"/>
      <c r="E1614" s="103"/>
      <c r="F1614" s="103"/>
      <c r="G1614" s="17" t="s">
        <v>1229</v>
      </c>
    </row>
    <row r="1615" spans="1:25" ht="12.6" customHeight="1" x14ac:dyDescent="0.3">
      <c r="A1615" s="68"/>
      <c r="B1615" s="77" t="s">
        <v>1978</v>
      </c>
      <c r="C1615" s="78"/>
      <c r="D1615" s="78"/>
      <c r="E1615" s="78"/>
      <c r="F1615" s="78"/>
      <c r="G1615" s="17" t="s">
        <v>1977</v>
      </c>
    </row>
    <row r="1616" spans="1:25" ht="12.6" customHeight="1" x14ac:dyDescent="0.3">
      <c r="A1616" s="78"/>
      <c r="B1616" s="78"/>
      <c r="C1616" s="78"/>
      <c r="D1616" s="78"/>
      <c r="E1616" s="78"/>
      <c r="F1616" s="78"/>
      <c r="G1616" s="17" t="s">
        <v>1229</v>
      </c>
    </row>
    <row r="1617" spans="1:25" ht="12.6" customHeight="1" x14ac:dyDescent="0.3">
      <c r="A1617" s="68"/>
      <c r="B1617" s="77" t="s">
        <v>1980</v>
      </c>
      <c r="C1617" s="78"/>
      <c r="D1617" s="78"/>
      <c r="E1617" s="78"/>
      <c r="F1617" s="78"/>
      <c r="G1617" s="17" t="s">
        <v>1979</v>
      </c>
    </row>
    <row r="1618" spans="1:25" ht="12.6" customHeight="1" x14ac:dyDescent="0.3">
      <c r="A1618" s="78"/>
      <c r="B1618" s="78"/>
      <c r="C1618" s="78"/>
      <c r="D1618" s="78"/>
      <c r="E1618" s="78"/>
      <c r="F1618" s="78"/>
      <c r="G1618" s="17" t="s">
        <v>1229</v>
      </c>
    </row>
    <row r="1619" spans="1:25" ht="12.6" customHeight="1" x14ac:dyDescent="0.3">
      <c r="A1619" s="68" t="s">
        <v>585</v>
      </c>
      <c r="B1619" s="102" t="str">
        <f>" 특별인부: "&amp;TEXT(I1619,"#,##0"&amp;IF(I1619&lt;&gt;INT(I1619),".###",""))&amp;" * 4 / Q1 * A = "&amp;TEXT(C1619,"#,##0.0")&amp;""</f>
        <v xml:space="preserve"> 특별인부: 221,506 * 4 / Q1 * A = 12,798.1</v>
      </c>
      <c r="C1619" s="104">
        <f>E1619+D1619+F1619</f>
        <v>12798.1</v>
      </c>
      <c r="D1619" s="104">
        <f>IF(H1619=0,0,ROUNDDOWN(J1619*H1619,1))</f>
        <v>12798.1</v>
      </c>
      <c r="E1619" s="104">
        <f>IF(H1619=0,0,ROUNDDOWN(K1619*H1619,1))</f>
        <v>0</v>
      </c>
      <c r="F1619" s="104">
        <f>IF(H1619=0,0,ROUNDDOWN(L1619*H1619,1))</f>
        <v>0</v>
      </c>
      <c r="G1619" s="17" t="s">
        <v>1981</v>
      </c>
      <c r="H1619" s="109">
        <v>5.7777777778E-2</v>
      </c>
      <c r="I1619" s="110">
        <f>K1619+J1619+L1619</f>
        <v>221506</v>
      </c>
      <c r="J1619" s="39">
        <f>노무비목록표!E10</f>
        <v>221506</v>
      </c>
      <c r="M1619" s="35" t="s">
        <v>1405</v>
      </c>
      <c r="N1619" s="35" t="s">
        <v>1348</v>
      </c>
      <c r="X1619" s="111" t="str">
        <f>노무비목록표!B10&amp;" / "&amp;노무비목록표!C10</f>
        <v xml:space="preserve">특별인부 / </v>
      </c>
      <c r="Y1619" s="3" t="str">
        <f ca="1">HYPERLINK("#"&amp;노무비목록표!G2&amp;"!A"&amp;ROW(노무비목록표!A10),"L00015 →")</f>
        <v>L00015 →</v>
      </c>
    </row>
    <row r="1620" spans="1:25" ht="12.6" customHeight="1" x14ac:dyDescent="0.3">
      <c r="A1620" s="78"/>
      <c r="B1620" s="78"/>
      <c r="C1620" s="78"/>
      <c r="D1620" s="78"/>
      <c r="E1620" s="78"/>
      <c r="F1620" s="78"/>
      <c r="G1620" s="17" t="s">
        <v>1229</v>
      </c>
    </row>
    <row r="1621" spans="1:25" ht="12.6" customHeight="1" x14ac:dyDescent="0.3">
      <c r="A1621" s="68" t="s">
        <v>588</v>
      </c>
      <c r="B1621" s="102" t="str">
        <f>" 보통인부: "&amp;TEXT(I1621,"#,##0"&amp;IF(I1621&lt;&gt;INT(I1621),".###",""))&amp;" * 2 / Q1 * A = "&amp;TEXT(C1621,"#,##0.0")&amp;""</f>
        <v xml:space="preserve"> 보통인부: 169,804 * 2 / Q1 * A = 4,905.4</v>
      </c>
      <c r="C1621" s="104">
        <f>E1621+D1621+F1621</f>
        <v>4905.3999999999996</v>
      </c>
      <c r="D1621" s="104">
        <f>IF(H1621=0,0,ROUNDDOWN(J1621*H1621,1))</f>
        <v>4905.3999999999996</v>
      </c>
      <c r="E1621" s="104">
        <f>IF(H1621=0,0,ROUNDDOWN(K1621*H1621,1))</f>
        <v>0</v>
      </c>
      <c r="F1621" s="104">
        <f>IF(H1621=0,0,ROUNDDOWN(L1621*H1621,1))</f>
        <v>0</v>
      </c>
      <c r="G1621" s="17" t="s">
        <v>1982</v>
      </c>
      <c r="H1621" s="109">
        <v>2.88888888891E-2</v>
      </c>
      <c r="I1621" s="110">
        <f>K1621+J1621+L1621</f>
        <v>169804</v>
      </c>
      <c r="J1621" s="39">
        <f>노무비목록표!E11</f>
        <v>169804</v>
      </c>
      <c r="M1621" s="35" t="s">
        <v>1018</v>
      </c>
      <c r="N1621" s="35" t="s">
        <v>1348</v>
      </c>
      <c r="X1621" s="111" t="str">
        <f>노무비목록표!B11&amp;" / "&amp;노무비목록표!C11</f>
        <v xml:space="preserve">보통인부 / </v>
      </c>
      <c r="Y1621" s="3" t="str">
        <f ca="1">HYPERLINK("#"&amp;노무비목록표!G2&amp;"!A"&amp;ROW(노무비목록표!A11),"L00016 →")</f>
        <v>L00016 →</v>
      </c>
    </row>
    <row r="1622" spans="1:25" ht="12.6" customHeight="1" x14ac:dyDescent="0.3">
      <c r="A1622" s="78"/>
      <c r="B1622" s="78"/>
      <c r="C1622" s="78"/>
      <c r="D1622" s="78"/>
      <c r="E1622" s="78"/>
      <c r="F1622" s="78"/>
      <c r="G1622" s="17" t="s">
        <v>1229</v>
      </c>
    </row>
    <row r="1623" spans="1:25" ht="12.6" customHeight="1" x14ac:dyDescent="0.3">
      <c r="A1623" s="68"/>
      <c r="B1623" s="77" t="s">
        <v>1101</v>
      </c>
      <c r="C1623" s="105">
        <f>E1623+D1623+F1623</f>
        <v>17703.5</v>
      </c>
      <c r="D1623" s="105">
        <f>SUMIF(N1614:N1622,M1623,D1614:D1622)</f>
        <v>17703.5</v>
      </c>
      <c r="E1623" s="105">
        <f>SUMIF(N1614:N1622,M1623,E1614:E1622)</f>
        <v>0</v>
      </c>
      <c r="F1623" s="105">
        <f>SUMIF(N1614:N1622,M1623,F1614:F1622)</f>
        <v>0</v>
      </c>
      <c r="G1623" s="17" t="s">
        <v>1347</v>
      </c>
      <c r="M1623" s="35" t="s">
        <v>1348</v>
      </c>
      <c r="N1623" s="35" t="s">
        <v>1989</v>
      </c>
    </row>
    <row r="1624" spans="1:25" ht="12.6" customHeight="1" x14ac:dyDescent="0.3">
      <c r="A1624" s="78"/>
      <c r="B1624" s="78"/>
      <c r="C1624" s="103"/>
      <c r="D1624" s="103"/>
      <c r="E1624" s="103"/>
      <c r="F1624" s="103"/>
      <c r="G1624" s="17" t="s">
        <v>1229</v>
      </c>
    </row>
    <row r="1625" spans="1:25" ht="12.6" customHeight="1" x14ac:dyDescent="0.3">
      <c r="A1625" s="68"/>
      <c r="B1625" s="77" t="s">
        <v>1984</v>
      </c>
      <c r="C1625" s="78"/>
      <c r="D1625" s="78"/>
      <c r="E1625" s="78"/>
      <c r="F1625" s="78"/>
      <c r="G1625" s="17" t="s">
        <v>1983</v>
      </c>
    </row>
    <row r="1626" spans="1:25" ht="12.6" customHeight="1" x14ac:dyDescent="0.3">
      <c r="A1626" s="78"/>
      <c r="B1626" s="78"/>
      <c r="C1626" s="78"/>
      <c r="D1626" s="78"/>
      <c r="E1626" s="78"/>
      <c r="F1626" s="78"/>
      <c r="G1626" s="17" t="s">
        <v>1229</v>
      </c>
    </row>
    <row r="1627" spans="1:25" ht="12.6" customHeight="1" x14ac:dyDescent="0.3">
      <c r="A1627" s="68" t="s">
        <v>658</v>
      </c>
      <c r="B1627" s="102" t="str">
        <f>" 공구손료 : "&amp;TEXT(I1627,"#,##0"&amp;IF(I1627&lt;&gt;INT(I1627),".###",""))&amp;" * 2 %  = "&amp;TEXT(C1627,"#,##0.0")&amp;""</f>
        <v xml:space="preserve"> 공구손료 : 182,223.7 * 2 %  = 3,644.4</v>
      </c>
      <c r="C1627" s="104">
        <f>E1627+D1627+F1627</f>
        <v>3644.4</v>
      </c>
      <c r="D1627" s="104">
        <f>IF(H1627=0,0,ROUNDDOWN(J1627*H1627/100,1))</f>
        <v>0</v>
      </c>
      <c r="E1627" s="104">
        <f>IF(H1627=0,0,ROUNDDOWN(K1627*H1627/100,1))</f>
        <v>0</v>
      </c>
      <c r="F1627" s="104">
        <f>IF(H1627=0,0,ROUNDDOWN(L1627*H1627/100,1))</f>
        <v>3644.4</v>
      </c>
      <c r="G1627" s="17" t="s">
        <v>1985</v>
      </c>
      <c r="H1627" s="109">
        <v>2</v>
      </c>
      <c r="I1627" s="110">
        <f>K1627+J1627+L1627</f>
        <v>182223.7</v>
      </c>
      <c r="J1627" s="36">
        <v>0</v>
      </c>
      <c r="K1627" s="36">
        <v>0</v>
      </c>
      <c r="L1627" s="37">
        <v>182223.7</v>
      </c>
      <c r="M1627" s="35" t="s">
        <v>1986</v>
      </c>
      <c r="N1627" s="35" t="s">
        <v>1348</v>
      </c>
    </row>
    <row r="1628" spans="1:25" ht="12.6" customHeight="1" x14ac:dyDescent="0.3">
      <c r="A1628" s="78"/>
      <c r="B1628" s="78"/>
      <c r="C1628" s="78"/>
      <c r="D1628" s="78"/>
      <c r="E1628" s="78"/>
      <c r="F1628" s="78"/>
      <c r="G1628" s="17" t="s">
        <v>1229</v>
      </c>
    </row>
    <row r="1629" spans="1:25" ht="12.6" customHeight="1" x14ac:dyDescent="0.3">
      <c r="A1629" s="68"/>
      <c r="B1629" s="77" t="s">
        <v>1101</v>
      </c>
      <c r="C1629" s="105">
        <f>E1629+D1629+F1629</f>
        <v>3644.4</v>
      </c>
      <c r="D1629" s="105">
        <f>SUMIF(N1624:N1628,M1629,D1624:D1628)</f>
        <v>0</v>
      </c>
      <c r="E1629" s="105">
        <f>SUMIF(N1624:N1628,M1629,E1624:E1628)</f>
        <v>0</v>
      </c>
      <c r="F1629" s="105">
        <f>SUMIF(N1624:N1628,M1629,F1624:F1628)</f>
        <v>3644.4</v>
      </c>
      <c r="G1629" s="17" t="s">
        <v>1347</v>
      </c>
      <c r="M1629" s="35" t="s">
        <v>1348</v>
      </c>
      <c r="N1629" s="35" t="s">
        <v>1989</v>
      </c>
    </row>
    <row r="1630" spans="1:25" ht="12.6" customHeight="1" x14ac:dyDescent="0.3">
      <c r="A1630" s="78"/>
      <c r="B1630" s="78"/>
      <c r="C1630" s="103"/>
      <c r="D1630" s="103"/>
      <c r="E1630" s="103"/>
      <c r="F1630" s="103"/>
      <c r="G1630" s="17" t="s">
        <v>1229</v>
      </c>
    </row>
    <row r="1631" spans="1:25" ht="12.6" customHeight="1" x14ac:dyDescent="0.3">
      <c r="A1631" s="68"/>
      <c r="B1631" s="77" t="s">
        <v>1988</v>
      </c>
      <c r="C1631" s="105">
        <f>E1631+D1631+F1631</f>
        <v>420735.3</v>
      </c>
      <c r="D1631" s="105">
        <f>SUMIF(N1570:N1630,M1631,D1570:D1630)</f>
        <v>182223.7</v>
      </c>
      <c r="E1631" s="105">
        <f>SUMIF(N1570:N1630,M1631,E1570:E1630)</f>
        <v>230359.4</v>
      </c>
      <c r="F1631" s="105">
        <f>SUMIF(N1570:N1630,M1631,F1570:F1630)</f>
        <v>8152.2000000000007</v>
      </c>
      <c r="G1631" s="17" t="s">
        <v>1987</v>
      </c>
      <c r="M1631" s="35" t="s">
        <v>1989</v>
      </c>
      <c r="N1631" s="35" t="s">
        <v>1011</v>
      </c>
    </row>
    <row r="1632" spans="1:25" ht="12.6" customHeight="1" x14ac:dyDescent="0.3">
      <c r="A1632" s="78"/>
      <c r="B1632" s="78"/>
      <c r="C1632" s="103"/>
      <c r="D1632" s="103"/>
      <c r="E1632" s="103"/>
      <c r="F1632" s="103"/>
    </row>
    <row r="1633" spans="1:25" ht="12.6" customHeight="1" x14ac:dyDescent="0.3">
      <c r="A1633" s="78"/>
      <c r="B1633" s="78"/>
      <c r="C1633" s="78"/>
      <c r="D1633" s="78"/>
      <c r="E1633" s="78"/>
      <c r="F1633" s="78"/>
    </row>
    <row r="1634" spans="1:25" ht="12.6" customHeight="1" x14ac:dyDescent="0.3">
      <c r="A1634" s="56"/>
      <c r="B1634" s="56"/>
      <c r="C1634" s="56"/>
      <c r="D1634" s="56"/>
      <c r="E1634" s="56"/>
      <c r="F1634" s="56"/>
    </row>
    <row r="1635" spans="1:25" ht="12.6" customHeight="1" x14ac:dyDescent="0.3">
      <c r="A1635" s="143" t="s">
        <v>1101</v>
      </c>
      <c r="B1635" s="144"/>
      <c r="C1635" s="54">
        <f>E1635+D1635+F1635</f>
        <v>420734</v>
      </c>
      <c r="D1635" s="52">
        <f>ROUNDDOWN(SUMIF(N1570:N1631,M1635,D1570:D1631),0)</f>
        <v>182223</v>
      </c>
      <c r="E1635" s="64">
        <f>ROUNDDOWN(SUMIF(N1570:N1631,M1635,E1570:E1631),0)</f>
        <v>230359</v>
      </c>
      <c r="F1635" s="54">
        <f>ROUNDDOWN(SUMIF(N1570:N1631,M1635,F1570:F1631),0)</f>
        <v>8152</v>
      </c>
      <c r="M1635" s="35" t="s">
        <v>1011</v>
      </c>
      <c r="N1635" s="35" t="s">
        <v>1102</v>
      </c>
    </row>
    <row r="1636" spans="1:25" ht="12.6" customHeight="1" x14ac:dyDescent="0.3">
      <c r="A1636" s="143" t="s">
        <v>1103</v>
      </c>
      <c r="B1636" s="144"/>
      <c r="C1636" s="54">
        <f>E1636+D1636+F1636</f>
        <v>369171</v>
      </c>
      <c r="D1636" s="52">
        <f>ROUNDDOWN(D1635*H1636/100,0)</f>
        <v>159891</v>
      </c>
      <c r="E1636" s="64">
        <f>ROUNDDOWN(E1635*H1636/100,0)</f>
        <v>202128</v>
      </c>
      <c r="F1636" s="54">
        <f>ROUNDDOWN(F1635*H1636/100,0)</f>
        <v>7152</v>
      </c>
      <c r="H1636" s="37">
        <v>87.745000000000005</v>
      </c>
      <c r="M1636" s="35" t="s">
        <v>1102</v>
      </c>
    </row>
    <row r="1637" spans="1:25" ht="12.6" customHeight="1" x14ac:dyDescent="0.3">
      <c r="A1637" s="100" t="s">
        <v>261</v>
      </c>
      <c r="B1637" s="101" t="s">
        <v>259</v>
      </c>
      <c r="C1637" s="150">
        <f>C1705</f>
        <v>929862</v>
      </c>
      <c r="D1637" s="150">
        <f>D1705</f>
        <v>159891</v>
      </c>
      <c r="E1637" s="150">
        <f>E1705</f>
        <v>762819</v>
      </c>
      <c r="F1637" s="150">
        <f>F1705</f>
        <v>7152</v>
      </c>
      <c r="G1637" s="97" t="str">
        <f>HYPERLINK("#G"&amp;ROW(G1697),"_x0005_`BDCOD|D01490_x0007_`POSS|"&amp;ROW(G1639)&amp;"_x0007_`POSE|"&amp;ROW(G1697)&amp;"_x0007_`")</f>
        <v>_x0005_`BDCOD|D01490_x0007_`POSS|1639_x0007_`POSE|1697_x0007_`</v>
      </c>
    </row>
    <row r="1638" spans="1:25" ht="12.6" customHeight="1" x14ac:dyDescent="0.3">
      <c r="A1638" s="83"/>
      <c r="B1638" s="101" t="s">
        <v>258</v>
      </c>
      <c r="C1638" s="139"/>
      <c r="D1638" s="139"/>
      <c r="E1638" s="139"/>
      <c r="F1638" s="139"/>
      <c r="M1638" s="35" t="s">
        <v>261</v>
      </c>
    </row>
    <row r="1639" spans="1:25" ht="12.6" customHeight="1" x14ac:dyDescent="0.3">
      <c r="A1639" s="68"/>
      <c r="B1639" s="77" t="s">
        <v>1947</v>
      </c>
      <c r="C1639" s="103"/>
      <c r="D1639" s="103"/>
      <c r="E1639" s="103"/>
      <c r="F1639" s="103"/>
      <c r="G1639" s="17" t="s">
        <v>1946</v>
      </c>
    </row>
    <row r="1640" spans="1:25" ht="12.6" customHeight="1" x14ac:dyDescent="0.3">
      <c r="A1640" s="78"/>
      <c r="B1640" s="78"/>
      <c r="C1640" s="78"/>
      <c r="D1640" s="78"/>
      <c r="E1640" s="78"/>
      <c r="F1640" s="78"/>
      <c r="G1640" s="17" t="s">
        <v>1229</v>
      </c>
    </row>
    <row r="1641" spans="1:25" ht="12.6" customHeight="1" x14ac:dyDescent="0.3">
      <c r="A1641" s="68"/>
      <c r="B1641" s="77" t="s">
        <v>1949</v>
      </c>
      <c r="C1641" s="78"/>
      <c r="D1641" s="78"/>
      <c r="E1641" s="78"/>
      <c r="F1641" s="78"/>
      <c r="G1641" s="17" t="s">
        <v>1948</v>
      </c>
    </row>
    <row r="1642" spans="1:25" ht="12.6" customHeight="1" x14ac:dyDescent="0.3">
      <c r="A1642" s="78"/>
      <c r="B1642" s="78"/>
      <c r="C1642" s="78"/>
      <c r="D1642" s="78"/>
      <c r="E1642" s="78"/>
      <c r="F1642" s="78"/>
      <c r="G1642" s="17" t="s">
        <v>1229</v>
      </c>
    </row>
    <row r="1643" spans="1:25" ht="12.6" customHeight="1" x14ac:dyDescent="0.3">
      <c r="A1643" s="68" t="s">
        <v>526</v>
      </c>
      <c r="B1643" s="102" t="str">
        <f>" 낙석방지책 : "&amp;TEXT(I1643,"#,##0"&amp;IF(I1643&lt;&gt;INT(I1643),".###",""))&amp;" * 1 경간  = "&amp;TEXT(C1643,"#,##0.0")&amp;""</f>
        <v xml:space="preserve"> 낙석방지책 : 866,000 * 1 경간  = 866,000.0</v>
      </c>
      <c r="C1643" s="104">
        <f>E1643+D1643+F1643</f>
        <v>866000</v>
      </c>
      <c r="D1643" s="104">
        <f>IF(H1643=0,0,ROUNDDOWN(J1643*H1643,1))</f>
        <v>0</v>
      </c>
      <c r="E1643" s="104">
        <f>IF(H1643=0,0,ROUNDDOWN(K1643*H1643,1))</f>
        <v>866000</v>
      </c>
      <c r="F1643" s="104">
        <f>IF(H1643=0,0,ROUNDDOWN(L1643*H1643,1))</f>
        <v>0</v>
      </c>
      <c r="G1643" s="17" t="s">
        <v>1990</v>
      </c>
      <c r="H1643" s="109">
        <v>1</v>
      </c>
      <c r="I1643" s="110">
        <f>K1643+J1643+L1643</f>
        <v>866000</v>
      </c>
      <c r="K1643" s="39">
        <f>재료비목록표!E32</f>
        <v>866000</v>
      </c>
      <c r="M1643" s="35" t="s">
        <v>1991</v>
      </c>
      <c r="N1643" s="35" t="s">
        <v>1247</v>
      </c>
      <c r="X1643" s="111" t="str">
        <f>재료비목록표!B32&amp;" / "&amp;재료비목록표!C32</f>
        <v>낙석방지책 / H2500×W2000(단부)</v>
      </c>
      <c r="Y1643" s="3" t="str">
        <f ca="1">HYPERLINK("#"&amp;재료비목록표!G2&amp;"!A"&amp;ROW(재료비목록표!A32),"M01325 →")</f>
        <v>M01325 →</v>
      </c>
    </row>
    <row r="1644" spans="1:25" ht="12.6" customHeight="1" x14ac:dyDescent="0.3">
      <c r="A1644" s="78"/>
      <c r="B1644" s="78"/>
      <c r="C1644" s="78"/>
      <c r="D1644" s="78"/>
      <c r="E1644" s="78"/>
      <c r="F1644" s="78"/>
      <c r="G1644" s="17" t="s">
        <v>1229</v>
      </c>
    </row>
    <row r="1645" spans="1:25" ht="12.6" customHeight="1" x14ac:dyDescent="0.3">
      <c r="A1645" s="68"/>
      <c r="B1645" s="77" t="s">
        <v>1246</v>
      </c>
      <c r="C1645" s="105">
        <f>E1645+D1645+F1645</f>
        <v>866000</v>
      </c>
      <c r="D1645" s="105">
        <f>SUMIF(N1639:N1644,M1645,D1639:D1644)</f>
        <v>0</v>
      </c>
      <c r="E1645" s="105">
        <f>SUMIF(N1639:N1644,M1645,E1639:E1644)</f>
        <v>866000</v>
      </c>
      <c r="F1645" s="105">
        <f>SUMIF(N1639:N1644,M1645,F1639:F1644)</f>
        <v>0</v>
      </c>
      <c r="G1645" s="17" t="s">
        <v>1245</v>
      </c>
      <c r="M1645" s="35" t="s">
        <v>1247</v>
      </c>
      <c r="N1645" s="35" t="s">
        <v>1348</v>
      </c>
    </row>
    <row r="1646" spans="1:25" ht="12.6" customHeight="1" x14ac:dyDescent="0.3">
      <c r="A1646" s="78"/>
      <c r="B1646" s="78"/>
      <c r="C1646" s="103"/>
      <c r="D1646" s="103"/>
      <c r="E1646" s="103"/>
      <c r="F1646" s="103"/>
      <c r="G1646" s="17" t="s">
        <v>1229</v>
      </c>
    </row>
    <row r="1647" spans="1:25" ht="12.6" customHeight="1" x14ac:dyDescent="0.3">
      <c r="A1647" s="68"/>
      <c r="B1647" s="77" t="s">
        <v>1953</v>
      </c>
      <c r="C1647" s="78"/>
      <c r="D1647" s="78"/>
      <c r="E1647" s="78"/>
      <c r="F1647" s="78"/>
      <c r="G1647" s="17" t="s">
        <v>1952</v>
      </c>
    </row>
    <row r="1648" spans="1:25" ht="12.6" customHeight="1" x14ac:dyDescent="0.3">
      <c r="A1648" s="78"/>
      <c r="B1648" s="78"/>
      <c r="C1648" s="78"/>
      <c r="D1648" s="78"/>
      <c r="E1648" s="78"/>
      <c r="F1648" s="78"/>
      <c r="G1648" s="17" t="s">
        <v>1496</v>
      </c>
    </row>
    <row r="1649" spans="1:25" ht="12.6" customHeight="1" x14ac:dyDescent="0.3">
      <c r="A1649" s="68"/>
      <c r="B1649" s="77" t="s">
        <v>1955</v>
      </c>
      <c r="C1649" s="78"/>
      <c r="D1649" s="78"/>
      <c r="E1649" s="78"/>
      <c r="F1649" s="78"/>
      <c r="G1649" s="17" t="s">
        <v>1954</v>
      </c>
    </row>
    <row r="1650" spans="1:25" ht="12.6" customHeight="1" x14ac:dyDescent="0.3">
      <c r="A1650" s="78"/>
      <c r="B1650" s="78"/>
      <c r="C1650" s="78"/>
      <c r="D1650" s="78"/>
      <c r="E1650" s="78"/>
      <c r="F1650" s="78"/>
      <c r="G1650" s="17" t="s">
        <v>1229</v>
      </c>
    </row>
    <row r="1651" spans="1:25" ht="12.6" customHeight="1" x14ac:dyDescent="0.3">
      <c r="A1651" s="68"/>
      <c r="B1651" s="77" t="s">
        <v>1957</v>
      </c>
      <c r="C1651" s="78"/>
      <c r="D1651" s="78"/>
      <c r="E1651" s="78"/>
      <c r="F1651" s="78"/>
      <c r="G1651" s="17" t="s">
        <v>1956</v>
      </c>
    </row>
    <row r="1652" spans="1:25" ht="12.6" customHeight="1" x14ac:dyDescent="0.3">
      <c r="A1652" s="78"/>
      <c r="B1652" s="78"/>
      <c r="C1652" s="78"/>
      <c r="D1652" s="78"/>
      <c r="E1652" s="78"/>
      <c r="F1652" s="78"/>
      <c r="G1652" s="17" t="s">
        <v>1229</v>
      </c>
    </row>
    <row r="1653" spans="1:25" ht="12.6" customHeight="1" x14ac:dyDescent="0.3">
      <c r="A1653" s="68" t="s">
        <v>591</v>
      </c>
      <c r="B1653" s="102" t="str">
        <f>" 용접공 : "&amp;TEXT(I1653,"#,##0"&amp;IF(I1653&lt;&gt;INT(I1653),".###",""))&amp;" * 1 / N = "&amp;TEXT(C1653,"#,##0.0")&amp;""</f>
        <v xml:space="preserve"> 용접공 : 278,326 * 1 / N = 6,958.1</v>
      </c>
      <c r="C1653" s="104">
        <f>E1653+D1653+F1653</f>
        <v>6958.1</v>
      </c>
      <c r="D1653" s="104">
        <f>IF(H1653=0,0,ROUNDDOWN(J1653*H1653,1))</f>
        <v>6958.1</v>
      </c>
      <c r="E1653" s="104">
        <f>IF(H1653=0,0,ROUNDDOWN(K1653*H1653,1))</f>
        <v>0</v>
      </c>
      <c r="F1653" s="104">
        <f>IF(H1653=0,0,ROUNDDOWN(L1653*H1653,1))</f>
        <v>0</v>
      </c>
      <c r="G1653" s="17" t="s">
        <v>1958</v>
      </c>
      <c r="H1653" s="109">
        <v>2.5000000000100001E-2</v>
      </c>
      <c r="I1653" s="110">
        <f>K1653+J1653+L1653</f>
        <v>278326</v>
      </c>
      <c r="J1653" s="39">
        <f>노무비목록표!E12</f>
        <v>278326</v>
      </c>
      <c r="M1653" s="35" t="s">
        <v>1959</v>
      </c>
      <c r="N1653" s="35" t="s">
        <v>1247</v>
      </c>
      <c r="X1653" s="111" t="str">
        <f>노무비목록표!B12&amp;" / "&amp;노무비목록표!C12</f>
        <v xml:space="preserve">용접공 / </v>
      </c>
      <c r="Y1653" s="3" t="str">
        <f ca="1">HYPERLINK("#"&amp;노무비목록표!G2&amp;"!A"&amp;ROW(노무비목록표!A12),"L00019 →")</f>
        <v>L00019 →</v>
      </c>
    </row>
    <row r="1654" spans="1:25" ht="12.6" customHeight="1" x14ac:dyDescent="0.3">
      <c r="A1654" s="78"/>
      <c r="B1654" s="78"/>
      <c r="C1654" s="78"/>
      <c r="D1654" s="78"/>
      <c r="E1654" s="78"/>
      <c r="F1654" s="78"/>
      <c r="G1654" s="17" t="s">
        <v>1229</v>
      </c>
    </row>
    <row r="1655" spans="1:25" ht="12.6" customHeight="1" x14ac:dyDescent="0.3">
      <c r="A1655" s="68" t="s">
        <v>585</v>
      </c>
      <c r="B1655" s="102" t="str">
        <f>" 특별인부 : "&amp;TEXT(I1655,"#,##0"&amp;IF(I1655&lt;&gt;INT(I1655),".###",""))&amp;" * 3 / N = "&amp;TEXT(C1655,"#,##0.0")&amp;""</f>
        <v xml:space="preserve"> 특별인부 : 221,506 * 3 / N = 16,612.9</v>
      </c>
      <c r="C1655" s="104">
        <f>E1655+D1655+F1655</f>
        <v>16612.900000000001</v>
      </c>
      <c r="D1655" s="104">
        <f>IF(H1655=0,0,ROUNDDOWN(J1655*H1655,1))</f>
        <v>16612.900000000001</v>
      </c>
      <c r="E1655" s="104">
        <f>IF(H1655=0,0,ROUNDDOWN(K1655*H1655,1))</f>
        <v>0</v>
      </c>
      <c r="F1655" s="104">
        <f>IF(H1655=0,0,ROUNDDOWN(L1655*H1655,1))</f>
        <v>0</v>
      </c>
      <c r="G1655" s="17" t="s">
        <v>1960</v>
      </c>
      <c r="H1655" s="109">
        <v>7.5000000000100001E-2</v>
      </c>
      <c r="I1655" s="110">
        <f>K1655+J1655+L1655</f>
        <v>221506</v>
      </c>
      <c r="J1655" s="39">
        <f>노무비목록표!E10</f>
        <v>221506</v>
      </c>
      <c r="M1655" s="35" t="s">
        <v>1405</v>
      </c>
      <c r="N1655" s="35" t="s">
        <v>1247</v>
      </c>
      <c r="X1655" s="111" t="str">
        <f>노무비목록표!B10&amp;" / "&amp;노무비목록표!C10</f>
        <v xml:space="preserve">특별인부 / </v>
      </c>
      <c r="Y1655" s="3" t="str">
        <f ca="1">HYPERLINK("#"&amp;노무비목록표!G2&amp;"!A"&amp;ROW(노무비목록표!A10),"L00015 →")</f>
        <v>L00015 →</v>
      </c>
    </row>
    <row r="1656" spans="1:25" ht="12.6" customHeight="1" x14ac:dyDescent="0.3">
      <c r="A1656" s="78"/>
      <c r="B1656" s="78"/>
      <c r="C1656" s="78"/>
      <c r="D1656" s="78"/>
      <c r="E1656" s="78"/>
      <c r="F1656" s="78"/>
      <c r="G1656" s="17" t="s">
        <v>1229</v>
      </c>
    </row>
    <row r="1657" spans="1:25" ht="12.6" customHeight="1" x14ac:dyDescent="0.3">
      <c r="A1657" s="68" t="s">
        <v>588</v>
      </c>
      <c r="B1657" s="102" t="str">
        <f>" 보통인부 : "&amp;TEXT(I1657,"#,##0"&amp;IF(I1657&lt;&gt;INT(I1657),".###",""))&amp;" * 2 / N = "&amp;TEXT(C1657,"#,##0.0")&amp;""</f>
        <v xml:space="preserve"> 보통인부 : 169,804 * 2 / N = 8,490.2</v>
      </c>
      <c r="C1657" s="104">
        <f>E1657+D1657+F1657</f>
        <v>8490.2000000000007</v>
      </c>
      <c r="D1657" s="104">
        <f>IF(H1657=0,0,ROUNDDOWN(J1657*H1657,1))</f>
        <v>8490.2000000000007</v>
      </c>
      <c r="E1657" s="104">
        <f>IF(H1657=0,0,ROUNDDOWN(K1657*H1657,1))</f>
        <v>0</v>
      </c>
      <c r="F1657" s="104">
        <f>IF(H1657=0,0,ROUNDDOWN(L1657*H1657,1))</f>
        <v>0</v>
      </c>
      <c r="G1657" s="17" t="s">
        <v>1961</v>
      </c>
      <c r="H1657" s="109">
        <v>5.0000000000099999E-2</v>
      </c>
      <c r="I1657" s="110">
        <f>K1657+J1657+L1657</f>
        <v>169804</v>
      </c>
      <c r="J1657" s="39">
        <f>노무비목록표!E11</f>
        <v>169804</v>
      </c>
      <c r="M1657" s="35" t="s">
        <v>1018</v>
      </c>
      <c r="N1657" s="35" t="s">
        <v>1247</v>
      </c>
      <c r="X1657" s="111" t="str">
        <f>노무비목록표!B11&amp;" / "&amp;노무비목록표!C11</f>
        <v xml:space="preserve">보통인부 / </v>
      </c>
      <c r="Y1657" s="3" t="str">
        <f ca="1">HYPERLINK("#"&amp;노무비목록표!G2&amp;"!A"&amp;ROW(노무비목록표!A11),"L00016 →")</f>
        <v>L00016 →</v>
      </c>
    </row>
    <row r="1658" spans="1:25" ht="12.6" customHeight="1" x14ac:dyDescent="0.3">
      <c r="A1658" s="78"/>
      <c r="B1658" s="78"/>
      <c r="C1658" s="78"/>
      <c r="D1658" s="78"/>
      <c r="E1658" s="78"/>
      <c r="F1658" s="78"/>
      <c r="G1658" s="17" t="s">
        <v>1229</v>
      </c>
    </row>
    <row r="1659" spans="1:25" ht="12.6" customHeight="1" x14ac:dyDescent="0.3">
      <c r="A1659" s="68"/>
      <c r="B1659" s="77" t="s">
        <v>1246</v>
      </c>
      <c r="C1659" s="105">
        <f>E1659+D1659+F1659</f>
        <v>32061.200000000001</v>
      </c>
      <c r="D1659" s="105">
        <f>SUMIF(N1646:N1658,M1659,D1646:D1658)</f>
        <v>32061.200000000001</v>
      </c>
      <c r="E1659" s="105">
        <f>SUMIF(N1646:N1658,M1659,E1646:E1658)</f>
        <v>0</v>
      </c>
      <c r="F1659" s="105">
        <f>SUMIF(N1646:N1658,M1659,F1646:F1658)</f>
        <v>0</v>
      </c>
      <c r="G1659" s="17" t="s">
        <v>1245</v>
      </c>
      <c r="M1659" s="35" t="s">
        <v>1247</v>
      </c>
      <c r="N1659" s="35" t="s">
        <v>1348</v>
      </c>
    </row>
    <row r="1660" spans="1:25" ht="12.6" customHeight="1" x14ac:dyDescent="0.3">
      <c r="A1660" s="78"/>
      <c r="B1660" s="78"/>
      <c r="C1660" s="103"/>
      <c r="D1660" s="103"/>
      <c r="E1660" s="103"/>
      <c r="F1660" s="103"/>
      <c r="G1660" s="17" t="s">
        <v>1229</v>
      </c>
    </row>
    <row r="1661" spans="1:25" ht="12.6" customHeight="1" x14ac:dyDescent="0.3">
      <c r="A1661" s="68"/>
      <c r="B1661" s="77" t="s">
        <v>1963</v>
      </c>
      <c r="C1661" s="78"/>
      <c r="D1661" s="78"/>
      <c r="E1661" s="78"/>
      <c r="F1661" s="78"/>
      <c r="G1661" s="17" t="s">
        <v>1962</v>
      </c>
    </row>
    <row r="1662" spans="1:25" ht="12.6" customHeight="1" x14ac:dyDescent="0.3">
      <c r="A1662" s="78"/>
      <c r="B1662" s="78"/>
      <c r="C1662" s="78"/>
      <c r="D1662" s="78"/>
      <c r="E1662" s="78"/>
      <c r="F1662" s="78"/>
      <c r="G1662" s="17" t="s">
        <v>1229</v>
      </c>
    </row>
    <row r="1663" spans="1:25" ht="12.6" customHeight="1" x14ac:dyDescent="0.3">
      <c r="A1663" s="68" t="s">
        <v>1965</v>
      </c>
      <c r="B1663" s="102" t="str">
        <f>"  노 무 비 :  "&amp;TEXT(I1663,"#,##0"&amp;IF(I1663&lt;&gt;INT(I1663),".###",""))&amp;" / N * 8 hr = "&amp;TEXT(C1663,"#,##0.0")&amp;""</f>
        <v xml:space="preserve">  노 무 비 :  49,479 / N * 8 hr = 9,895.8</v>
      </c>
      <c r="C1663" s="104">
        <f>E1663+D1663+F1663</f>
        <v>9895.7999999999993</v>
      </c>
      <c r="D1663" s="104">
        <f>IF(H1663=0,0,ROUNDDOWN(J1663*H1663,1))</f>
        <v>9895.7999999999993</v>
      </c>
      <c r="E1663" s="104">
        <f>IF(H1663=0,0,ROUNDDOWN(K1663*H1663,1))</f>
        <v>0</v>
      </c>
      <c r="F1663" s="104">
        <f>IF(H1663=0,0,ROUNDDOWN(L1663*H1663,1))</f>
        <v>0</v>
      </c>
      <c r="G1663" s="17" t="s">
        <v>1964</v>
      </c>
      <c r="H1663" s="109">
        <v>0.20000000000009999</v>
      </c>
      <c r="I1663" s="110">
        <f>K1663+J1663+L1663</f>
        <v>49479</v>
      </c>
      <c r="J1663" s="39">
        <f>중기목록표!F24</f>
        <v>49479</v>
      </c>
      <c r="M1663" s="35" t="s">
        <v>1966</v>
      </c>
      <c r="N1663" s="35" t="s">
        <v>1247</v>
      </c>
      <c r="X1663" s="111" t="str">
        <f>중기목록표!B24&amp;" / "&amp;중기목록표!C24</f>
        <v>트럭탑재형 크레인 / 10톤</v>
      </c>
      <c r="Y1663" s="3" t="str">
        <f ca="1">HYPERLINK("#"&amp;중기목록표!J2&amp;"!A"&amp;ROW(중기목록표!A24),"X00568 →")</f>
        <v>X00568 →</v>
      </c>
    </row>
    <row r="1664" spans="1:25" ht="12.6" customHeight="1" x14ac:dyDescent="0.3">
      <c r="A1664" s="78"/>
      <c r="B1664" s="78"/>
      <c r="C1664" s="78"/>
      <c r="D1664" s="78"/>
      <c r="E1664" s="78"/>
      <c r="F1664" s="78"/>
      <c r="G1664" s="17" t="s">
        <v>1229</v>
      </c>
    </row>
    <row r="1665" spans="1:25" ht="12.6" customHeight="1" x14ac:dyDescent="0.3">
      <c r="A1665" s="68" t="s">
        <v>1968</v>
      </c>
      <c r="B1665" s="102" t="str">
        <f>"  재 료 비 :  "&amp;TEXT(I1665,"#,##0"&amp;IF(I1665&lt;&gt;INT(I1665),".###",""))&amp;" / N * 8 hr = "&amp;TEXT(C1665,"#,##0.0")&amp;""</f>
        <v xml:space="preserve">  재 료 비 :  16,797 / N * 8 hr = 3,359.4</v>
      </c>
      <c r="C1665" s="104">
        <f>E1665+D1665+F1665</f>
        <v>3359.4</v>
      </c>
      <c r="D1665" s="104">
        <f>IF(H1665=0,0,ROUNDDOWN(J1665*H1665,1))</f>
        <v>0</v>
      </c>
      <c r="E1665" s="104">
        <f>IF(H1665=0,0,ROUNDDOWN(K1665*H1665,1))</f>
        <v>3359.4</v>
      </c>
      <c r="F1665" s="104">
        <f>IF(H1665=0,0,ROUNDDOWN(L1665*H1665,1))</f>
        <v>0</v>
      </c>
      <c r="G1665" s="17" t="s">
        <v>1967</v>
      </c>
      <c r="H1665" s="109">
        <v>0.20000000000009999</v>
      </c>
      <c r="I1665" s="110">
        <f>K1665+J1665+L1665</f>
        <v>16797</v>
      </c>
      <c r="K1665" s="39">
        <f>중기목록표!G24</f>
        <v>16797</v>
      </c>
      <c r="M1665" s="35" t="s">
        <v>1966</v>
      </c>
      <c r="N1665" s="35" t="s">
        <v>1247</v>
      </c>
      <c r="X1665" s="111" t="str">
        <f>중기목록표!B24&amp;" / "&amp;중기목록표!C24</f>
        <v>트럭탑재형 크레인 / 10톤</v>
      </c>
      <c r="Y1665" s="3" t="str">
        <f ca="1">HYPERLINK("#"&amp;중기목록표!J2&amp;"!A"&amp;ROW(중기목록표!A24),"X00568 →")</f>
        <v>X00568 →</v>
      </c>
    </row>
    <row r="1666" spans="1:25" ht="12.6" customHeight="1" x14ac:dyDescent="0.3">
      <c r="A1666" s="78"/>
      <c r="B1666" s="78"/>
      <c r="C1666" s="78"/>
      <c r="D1666" s="78"/>
      <c r="E1666" s="78"/>
      <c r="F1666" s="78"/>
      <c r="G1666" s="17" t="s">
        <v>1229</v>
      </c>
    </row>
    <row r="1667" spans="1:25" ht="12.6" customHeight="1" x14ac:dyDescent="0.3">
      <c r="A1667" s="68" t="s">
        <v>1970</v>
      </c>
      <c r="B1667" s="102" t="str">
        <f>"  경    비 :  "&amp;TEXT(I1667,"#,##0"&amp;IF(I1667&lt;&gt;INT(I1667),".###",""))&amp;" / N * 8 hr = "&amp;TEXT(C1667,"#,##0.0")&amp;""</f>
        <v xml:space="preserve">  경    비 :  22,539 / N * 8 hr = 4,507.8</v>
      </c>
      <c r="C1667" s="104">
        <f>E1667+D1667+F1667</f>
        <v>4507.8</v>
      </c>
      <c r="D1667" s="104">
        <f>IF(H1667=0,0,ROUNDDOWN(J1667*H1667,1))</f>
        <v>0</v>
      </c>
      <c r="E1667" s="104">
        <f>IF(H1667=0,0,ROUNDDOWN(K1667*H1667,1))</f>
        <v>0</v>
      </c>
      <c r="F1667" s="104">
        <f>IF(H1667=0,0,ROUNDDOWN(L1667*H1667,1))</f>
        <v>4507.8</v>
      </c>
      <c r="G1667" s="17" t="s">
        <v>1969</v>
      </c>
      <c r="H1667" s="109">
        <v>0.20000000000009999</v>
      </c>
      <c r="I1667" s="110">
        <f>K1667+J1667+L1667</f>
        <v>22539</v>
      </c>
      <c r="L1667" s="39">
        <f>중기목록표!H24</f>
        <v>22539</v>
      </c>
      <c r="M1667" s="35" t="s">
        <v>1966</v>
      </c>
      <c r="N1667" s="35" t="s">
        <v>1247</v>
      </c>
      <c r="X1667" s="111" t="str">
        <f>중기목록표!B24&amp;" / "&amp;중기목록표!C24</f>
        <v>트럭탑재형 크레인 / 10톤</v>
      </c>
      <c r="Y1667" s="3" t="str">
        <f ca="1">HYPERLINK("#"&amp;중기목록표!J2&amp;"!A"&amp;ROW(중기목록표!A24),"X00568 →")</f>
        <v>X00568 →</v>
      </c>
    </row>
    <row r="1668" spans="1:25" ht="12.6" customHeight="1" x14ac:dyDescent="0.3">
      <c r="A1668" s="78"/>
      <c r="B1668" s="78"/>
      <c r="C1668" s="78"/>
      <c r="D1668" s="78"/>
      <c r="E1668" s="78"/>
      <c r="F1668" s="78"/>
      <c r="G1668" s="17" t="s">
        <v>1229</v>
      </c>
    </row>
    <row r="1669" spans="1:25" ht="12.6" customHeight="1" x14ac:dyDescent="0.3">
      <c r="A1669" s="68"/>
      <c r="B1669" s="77" t="s">
        <v>1246</v>
      </c>
      <c r="C1669" s="105">
        <f>E1669+D1669+F1669</f>
        <v>17763</v>
      </c>
      <c r="D1669" s="105">
        <f>SUMIF(N1660:N1668,M1669,D1660:D1668)</f>
        <v>9895.7999999999993</v>
      </c>
      <c r="E1669" s="105">
        <f>SUMIF(N1660:N1668,M1669,E1660:E1668)</f>
        <v>3359.4</v>
      </c>
      <c r="F1669" s="105">
        <f>SUMIF(N1660:N1668,M1669,F1660:F1668)</f>
        <v>4507.8</v>
      </c>
      <c r="G1669" s="17" t="s">
        <v>1245</v>
      </c>
      <c r="M1669" s="35" t="s">
        <v>1247</v>
      </c>
      <c r="N1669" s="35" t="s">
        <v>1348</v>
      </c>
    </row>
    <row r="1670" spans="1:25" ht="12.6" customHeight="1" x14ac:dyDescent="0.3">
      <c r="A1670" s="78"/>
      <c r="B1670" s="78"/>
      <c r="C1670" s="103"/>
      <c r="D1670" s="103"/>
      <c r="E1670" s="103"/>
      <c r="F1670" s="103"/>
      <c r="G1670" s="17" t="s">
        <v>1229</v>
      </c>
    </row>
    <row r="1671" spans="1:25" ht="12.6" customHeight="1" x14ac:dyDescent="0.3">
      <c r="A1671" s="68"/>
      <c r="B1671" s="77" t="s">
        <v>1972</v>
      </c>
      <c r="C1671" s="78"/>
      <c r="D1671" s="78"/>
      <c r="E1671" s="78"/>
      <c r="F1671" s="78"/>
      <c r="G1671" s="17" t="s">
        <v>1971</v>
      </c>
    </row>
    <row r="1672" spans="1:25" ht="12.6" customHeight="1" x14ac:dyDescent="0.3">
      <c r="A1672" s="78"/>
      <c r="B1672" s="78"/>
      <c r="C1672" s="78"/>
      <c r="D1672" s="78"/>
      <c r="E1672" s="78"/>
      <c r="F1672" s="78"/>
      <c r="G1672" s="17" t="s">
        <v>1229</v>
      </c>
    </row>
    <row r="1673" spans="1:25" ht="12.6" customHeight="1" x14ac:dyDescent="0.3">
      <c r="A1673" s="68"/>
      <c r="B1673" s="77" t="s">
        <v>1974</v>
      </c>
      <c r="C1673" s="78"/>
      <c r="D1673" s="78"/>
      <c r="E1673" s="78"/>
      <c r="F1673" s="78"/>
      <c r="G1673" s="17" t="s">
        <v>1973</v>
      </c>
    </row>
    <row r="1674" spans="1:25" ht="12.6" customHeight="1" x14ac:dyDescent="0.3">
      <c r="A1674" s="78"/>
      <c r="B1674" s="78"/>
      <c r="C1674" s="78"/>
      <c r="D1674" s="78"/>
      <c r="E1674" s="78"/>
      <c r="F1674" s="78"/>
      <c r="G1674" s="17" t="s">
        <v>1229</v>
      </c>
    </row>
    <row r="1675" spans="1:25" ht="12.6" customHeight="1" x14ac:dyDescent="0.3">
      <c r="A1675" s="68" t="s">
        <v>585</v>
      </c>
      <c r="B1675" s="102" t="str">
        <f>" 특별인부: "&amp;TEXT(I1675,"#,##0"&amp;IF(I1675&lt;&gt;INT(I1675),".###",""))&amp;" * 4 / Q * L  = "&amp;TEXT(C1675,"#,##0.0")&amp;""</f>
        <v xml:space="preserve"> 특별인부: 221,506 * 4 / Q * L  = 88,602.4</v>
      </c>
      <c r="C1675" s="104">
        <f>E1675+D1675+F1675</f>
        <v>88602.4</v>
      </c>
      <c r="D1675" s="104">
        <f>IF(H1675=0,0,ROUNDDOWN(J1675*H1675,1))</f>
        <v>88602.4</v>
      </c>
      <c r="E1675" s="104">
        <f>IF(H1675=0,0,ROUNDDOWN(K1675*H1675,1))</f>
        <v>0</v>
      </c>
      <c r="F1675" s="104">
        <f>IF(H1675=0,0,ROUNDDOWN(L1675*H1675,1))</f>
        <v>0</v>
      </c>
      <c r="G1675" s="17" t="s">
        <v>1975</v>
      </c>
      <c r="H1675" s="109">
        <v>0.4000000000001</v>
      </c>
      <c r="I1675" s="110">
        <f>K1675+J1675+L1675</f>
        <v>221506</v>
      </c>
      <c r="J1675" s="39">
        <f>노무비목록표!E10</f>
        <v>221506</v>
      </c>
      <c r="M1675" s="35" t="s">
        <v>1405</v>
      </c>
      <c r="N1675" s="35" t="s">
        <v>1348</v>
      </c>
      <c r="X1675" s="111" t="str">
        <f>노무비목록표!B10&amp;" / "&amp;노무비목록표!C10</f>
        <v xml:space="preserve">특별인부 / </v>
      </c>
      <c r="Y1675" s="3" t="str">
        <f ca="1">HYPERLINK("#"&amp;노무비목록표!G2&amp;"!A"&amp;ROW(노무비목록표!A10),"L00015 →")</f>
        <v>L00015 →</v>
      </c>
    </row>
    <row r="1676" spans="1:25" ht="12.6" customHeight="1" x14ac:dyDescent="0.3">
      <c r="A1676" s="78"/>
      <c r="B1676" s="78"/>
      <c r="C1676" s="78"/>
      <c r="D1676" s="78"/>
      <c r="E1676" s="78"/>
      <c r="F1676" s="78"/>
      <c r="G1676" s="17" t="s">
        <v>1229</v>
      </c>
    </row>
    <row r="1677" spans="1:25" ht="12.6" customHeight="1" x14ac:dyDescent="0.3">
      <c r="A1677" s="68" t="s">
        <v>588</v>
      </c>
      <c r="B1677" s="102" t="str">
        <f>" 보통인부 : "&amp;TEXT(I1677,"#,##0"&amp;IF(I1677&lt;&gt;INT(I1677),".###",""))&amp;" *2 / Q * L = "&amp;TEXT(C1677,"#,##0.0")&amp;""</f>
        <v xml:space="preserve"> 보통인부 : 169,804 *2 / Q * L = 33,960.8</v>
      </c>
      <c r="C1677" s="104">
        <f>E1677+D1677+F1677</f>
        <v>33960.800000000003</v>
      </c>
      <c r="D1677" s="104">
        <f>IF(H1677=0,0,ROUNDDOWN(J1677*H1677,1))</f>
        <v>33960.800000000003</v>
      </c>
      <c r="E1677" s="104">
        <f>IF(H1677=0,0,ROUNDDOWN(K1677*H1677,1))</f>
        <v>0</v>
      </c>
      <c r="F1677" s="104">
        <f>IF(H1677=0,0,ROUNDDOWN(L1677*H1677,1))</f>
        <v>0</v>
      </c>
      <c r="G1677" s="17" t="s">
        <v>1976</v>
      </c>
      <c r="H1677" s="109">
        <v>0.20000000000009999</v>
      </c>
      <c r="I1677" s="110">
        <f>K1677+J1677+L1677</f>
        <v>169804</v>
      </c>
      <c r="J1677" s="39">
        <f>노무비목록표!E11</f>
        <v>169804</v>
      </c>
      <c r="M1677" s="35" t="s">
        <v>1018</v>
      </c>
      <c r="N1677" s="35" t="s">
        <v>1348</v>
      </c>
      <c r="X1677" s="111" t="str">
        <f>노무비목록표!B11&amp;" / "&amp;노무비목록표!C11</f>
        <v xml:space="preserve">보통인부 / </v>
      </c>
      <c r="Y1677" s="3" t="str">
        <f ca="1">HYPERLINK("#"&amp;노무비목록표!G2&amp;"!A"&amp;ROW(노무비목록표!A11),"L00016 →")</f>
        <v>L00016 →</v>
      </c>
    </row>
    <row r="1678" spans="1:25" ht="12.6" customHeight="1" x14ac:dyDescent="0.3">
      <c r="A1678" s="78"/>
      <c r="B1678" s="78"/>
      <c r="C1678" s="78"/>
      <c r="D1678" s="78"/>
      <c r="E1678" s="78"/>
      <c r="F1678" s="78"/>
      <c r="G1678" s="17" t="s">
        <v>1229</v>
      </c>
    </row>
    <row r="1679" spans="1:25" ht="12.6" customHeight="1" x14ac:dyDescent="0.3">
      <c r="A1679" s="68"/>
      <c r="B1679" s="77" t="s">
        <v>1101</v>
      </c>
      <c r="C1679" s="105">
        <f>E1679+D1679+F1679</f>
        <v>1038387.4000000001</v>
      </c>
      <c r="D1679" s="105">
        <f>SUMIF(N1639:N1678,M1679,D1639:D1678)</f>
        <v>164520.20000000001</v>
      </c>
      <c r="E1679" s="105">
        <f>SUMIF(N1639:N1678,M1679,E1639:E1678)</f>
        <v>869359.4</v>
      </c>
      <c r="F1679" s="105">
        <f>SUMIF(N1639:N1678,M1679,F1639:F1678)</f>
        <v>4507.8</v>
      </c>
      <c r="G1679" s="17" t="s">
        <v>1498</v>
      </c>
      <c r="M1679" s="35" t="s">
        <v>1348</v>
      </c>
      <c r="N1679" s="35" t="s">
        <v>1011</v>
      </c>
    </row>
    <row r="1680" spans="1:25" ht="12.6" customHeight="1" x14ac:dyDescent="0.3">
      <c r="A1680" s="78"/>
      <c r="B1680" s="78"/>
      <c r="C1680" s="103"/>
      <c r="D1680" s="103"/>
      <c r="E1680" s="103"/>
      <c r="F1680" s="103"/>
      <c r="G1680" s="17" t="s">
        <v>1229</v>
      </c>
    </row>
    <row r="1681" spans="1:25" ht="12.6" customHeight="1" x14ac:dyDescent="0.3">
      <c r="A1681" s="68"/>
      <c r="B1681" s="77" t="s">
        <v>1978</v>
      </c>
      <c r="C1681" s="78"/>
      <c r="D1681" s="78"/>
      <c r="E1681" s="78"/>
      <c r="F1681" s="78"/>
      <c r="G1681" s="17" t="s">
        <v>1977</v>
      </c>
    </row>
    <row r="1682" spans="1:25" ht="12.6" customHeight="1" x14ac:dyDescent="0.3">
      <c r="A1682" s="78"/>
      <c r="B1682" s="78"/>
      <c r="C1682" s="78"/>
      <c r="D1682" s="78"/>
      <c r="E1682" s="78"/>
      <c r="F1682" s="78"/>
      <c r="G1682" s="17" t="s">
        <v>1229</v>
      </c>
    </row>
    <row r="1683" spans="1:25" ht="12.6" customHeight="1" x14ac:dyDescent="0.3">
      <c r="A1683" s="68"/>
      <c r="B1683" s="77" t="s">
        <v>1980</v>
      </c>
      <c r="C1683" s="78"/>
      <c r="D1683" s="78"/>
      <c r="E1683" s="78"/>
      <c r="F1683" s="78"/>
      <c r="G1683" s="17" t="s">
        <v>1979</v>
      </c>
    </row>
    <row r="1684" spans="1:25" ht="12.6" customHeight="1" x14ac:dyDescent="0.3">
      <c r="A1684" s="78"/>
      <c r="B1684" s="78"/>
      <c r="C1684" s="78"/>
      <c r="D1684" s="78"/>
      <c r="E1684" s="78"/>
      <c r="F1684" s="78"/>
      <c r="G1684" s="17" t="s">
        <v>1229</v>
      </c>
    </row>
    <row r="1685" spans="1:25" ht="12.6" customHeight="1" x14ac:dyDescent="0.3">
      <c r="A1685" s="68" t="s">
        <v>585</v>
      </c>
      <c r="B1685" s="102" t="str">
        <f>" 특별인부: "&amp;TEXT(I1685,"#,##0"&amp;IF(I1685&lt;&gt;INT(I1685),".###",""))&amp;" * 4 / Q1 * A = "&amp;TEXT(C1685,"#,##0.0")&amp;""</f>
        <v xml:space="preserve"> 특별인부: 221,506 * 4 / Q1 * A = 12,798.1</v>
      </c>
      <c r="C1685" s="104">
        <f>E1685+D1685+F1685</f>
        <v>12798.1</v>
      </c>
      <c r="D1685" s="104">
        <f>IF(H1685=0,0,ROUNDDOWN(J1685*H1685,1))</f>
        <v>12798.1</v>
      </c>
      <c r="E1685" s="104">
        <f>IF(H1685=0,0,ROUNDDOWN(K1685*H1685,1))</f>
        <v>0</v>
      </c>
      <c r="F1685" s="104">
        <f>IF(H1685=0,0,ROUNDDOWN(L1685*H1685,1))</f>
        <v>0</v>
      </c>
      <c r="G1685" s="17" t="s">
        <v>1981</v>
      </c>
      <c r="H1685" s="109">
        <v>5.7777777778E-2</v>
      </c>
      <c r="I1685" s="110">
        <f>K1685+J1685+L1685</f>
        <v>221506</v>
      </c>
      <c r="J1685" s="39">
        <f>노무비목록표!E10</f>
        <v>221506</v>
      </c>
      <c r="M1685" s="35" t="s">
        <v>1405</v>
      </c>
      <c r="N1685" s="35" t="s">
        <v>1348</v>
      </c>
      <c r="X1685" s="111" t="str">
        <f>노무비목록표!B10&amp;" / "&amp;노무비목록표!C10</f>
        <v xml:space="preserve">특별인부 / </v>
      </c>
      <c r="Y1685" s="3" t="str">
        <f ca="1">HYPERLINK("#"&amp;노무비목록표!G2&amp;"!A"&amp;ROW(노무비목록표!A10),"L00015 →")</f>
        <v>L00015 →</v>
      </c>
    </row>
    <row r="1686" spans="1:25" ht="12.6" customHeight="1" x14ac:dyDescent="0.3">
      <c r="A1686" s="78"/>
      <c r="B1686" s="78"/>
      <c r="C1686" s="78"/>
      <c r="D1686" s="78"/>
      <c r="E1686" s="78"/>
      <c r="F1686" s="78"/>
      <c r="G1686" s="17" t="s">
        <v>1229</v>
      </c>
    </row>
    <row r="1687" spans="1:25" ht="12.6" customHeight="1" x14ac:dyDescent="0.3">
      <c r="A1687" s="68" t="s">
        <v>588</v>
      </c>
      <c r="B1687" s="102" t="str">
        <f>" 보통인부: "&amp;TEXT(I1687,"#,##0"&amp;IF(I1687&lt;&gt;INT(I1687),".###",""))&amp;" * 2 / Q1 * A = "&amp;TEXT(C1687,"#,##0.0")&amp;""</f>
        <v xml:space="preserve"> 보통인부: 169,804 * 2 / Q1 * A = 4,905.4</v>
      </c>
      <c r="C1687" s="104">
        <f>E1687+D1687+F1687</f>
        <v>4905.3999999999996</v>
      </c>
      <c r="D1687" s="104">
        <f>IF(H1687=0,0,ROUNDDOWN(J1687*H1687,1))</f>
        <v>4905.3999999999996</v>
      </c>
      <c r="E1687" s="104">
        <f>IF(H1687=0,0,ROUNDDOWN(K1687*H1687,1))</f>
        <v>0</v>
      </c>
      <c r="F1687" s="104">
        <f>IF(H1687=0,0,ROUNDDOWN(L1687*H1687,1))</f>
        <v>0</v>
      </c>
      <c r="G1687" s="17" t="s">
        <v>1982</v>
      </c>
      <c r="H1687" s="109">
        <v>2.88888888891E-2</v>
      </c>
      <c r="I1687" s="110">
        <f>K1687+J1687+L1687</f>
        <v>169804</v>
      </c>
      <c r="J1687" s="39">
        <f>노무비목록표!E11</f>
        <v>169804</v>
      </c>
      <c r="M1687" s="35" t="s">
        <v>1018</v>
      </c>
      <c r="N1687" s="35" t="s">
        <v>1348</v>
      </c>
      <c r="X1687" s="111" t="str">
        <f>노무비목록표!B11&amp;" / "&amp;노무비목록표!C11</f>
        <v xml:space="preserve">보통인부 / </v>
      </c>
      <c r="Y1687" s="3" t="str">
        <f ca="1">HYPERLINK("#"&amp;노무비목록표!G2&amp;"!A"&amp;ROW(노무비목록표!A11),"L00016 →")</f>
        <v>L00016 →</v>
      </c>
    </row>
    <row r="1688" spans="1:25" ht="12.6" customHeight="1" x14ac:dyDescent="0.3">
      <c r="A1688" s="78"/>
      <c r="B1688" s="78"/>
      <c r="C1688" s="78"/>
      <c r="D1688" s="78"/>
      <c r="E1688" s="78"/>
      <c r="F1688" s="78"/>
      <c r="G1688" s="17" t="s">
        <v>1229</v>
      </c>
    </row>
    <row r="1689" spans="1:25" ht="12.6" customHeight="1" x14ac:dyDescent="0.3">
      <c r="A1689" s="68"/>
      <c r="B1689" s="77" t="s">
        <v>1101</v>
      </c>
      <c r="C1689" s="105">
        <f>E1689+D1689+F1689</f>
        <v>17703.5</v>
      </c>
      <c r="D1689" s="105">
        <f>SUMIF(N1680:N1688,M1689,D1680:D1688)</f>
        <v>17703.5</v>
      </c>
      <c r="E1689" s="105">
        <f>SUMIF(N1680:N1688,M1689,E1680:E1688)</f>
        <v>0</v>
      </c>
      <c r="F1689" s="105">
        <f>SUMIF(N1680:N1688,M1689,F1680:F1688)</f>
        <v>0</v>
      </c>
      <c r="G1689" s="17" t="s">
        <v>1347</v>
      </c>
      <c r="M1689" s="35" t="s">
        <v>1348</v>
      </c>
      <c r="N1689" s="35" t="s">
        <v>1011</v>
      </c>
    </row>
    <row r="1690" spans="1:25" ht="12.6" customHeight="1" x14ac:dyDescent="0.3">
      <c r="A1690" s="78"/>
      <c r="B1690" s="78"/>
      <c r="C1690" s="103"/>
      <c r="D1690" s="103"/>
      <c r="E1690" s="103"/>
      <c r="F1690" s="103"/>
      <c r="G1690" s="17" t="s">
        <v>1229</v>
      </c>
    </row>
    <row r="1691" spans="1:25" ht="12.6" customHeight="1" x14ac:dyDescent="0.3">
      <c r="A1691" s="68"/>
      <c r="B1691" s="77" t="s">
        <v>1984</v>
      </c>
      <c r="C1691" s="78"/>
      <c r="D1691" s="78"/>
      <c r="E1691" s="78"/>
      <c r="F1691" s="78"/>
      <c r="G1691" s="17" t="s">
        <v>1983</v>
      </c>
    </row>
    <row r="1692" spans="1:25" ht="12.6" customHeight="1" x14ac:dyDescent="0.3">
      <c r="A1692" s="78"/>
      <c r="B1692" s="78"/>
      <c r="C1692" s="78"/>
      <c r="D1692" s="78"/>
      <c r="E1692" s="78"/>
      <c r="F1692" s="78"/>
      <c r="G1692" s="17" t="s">
        <v>1229</v>
      </c>
    </row>
    <row r="1693" spans="1:25" ht="12.6" customHeight="1" x14ac:dyDescent="0.3">
      <c r="A1693" s="68" t="s">
        <v>658</v>
      </c>
      <c r="B1693" s="102" t="str">
        <f>" 공구손료 : "&amp;TEXT(I1693,"#,##0"&amp;IF(I1693&lt;&gt;INT(I1693),".###",""))&amp;" * 2 %  = "&amp;TEXT(C1693,"#,##0.0")&amp;""</f>
        <v xml:space="preserve"> 공구손료 : 182,223.7 * 2 %  = 3,644.4</v>
      </c>
      <c r="C1693" s="104">
        <f>E1693+D1693+F1693</f>
        <v>3644.4</v>
      </c>
      <c r="D1693" s="104">
        <f>IF(H1693=0,0,ROUNDDOWN(J1693*H1693/100,1))</f>
        <v>0</v>
      </c>
      <c r="E1693" s="104">
        <f>IF(H1693=0,0,ROUNDDOWN(K1693*H1693/100,1))</f>
        <v>0</v>
      </c>
      <c r="F1693" s="104">
        <f>IF(H1693=0,0,ROUNDDOWN(L1693*H1693/100,1))</f>
        <v>3644.4</v>
      </c>
      <c r="G1693" s="17" t="s">
        <v>1985</v>
      </c>
      <c r="H1693" s="109">
        <v>2</v>
      </c>
      <c r="I1693" s="110">
        <f>K1693+J1693+L1693</f>
        <v>182223.7</v>
      </c>
      <c r="J1693" s="36">
        <v>0</v>
      </c>
      <c r="K1693" s="36">
        <v>0</v>
      </c>
      <c r="L1693" s="37">
        <v>182223.7</v>
      </c>
      <c r="M1693" s="35" t="s">
        <v>1986</v>
      </c>
      <c r="N1693" s="35" t="s">
        <v>1348</v>
      </c>
    </row>
    <row r="1694" spans="1:25" ht="12.6" customHeight="1" x14ac:dyDescent="0.3">
      <c r="A1694" s="78"/>
      <c r="B1694" s="78"/>
      <c r="C1694" s="78"/>
      <c r="D1694" s="78"/>
      <c r="E1694" s="78"/>
      <c r="F1694" s="78"/>
      <c r="G1694" s="17" t="s">
        <v>1229</v>
      </c>
    </row>
    <row r="1695" spans="1:25" ht="12.6" customHeight="1" x14ac:dyDescent="0.3">
      <c r="A1695" s="68"/>
      <c r="B1695" s="77" t="s">
        <v>1101</v>
      </c>
      <c r="C1695" s="105">
        <f>E1695+D1695+F1695</f>
        <v>3644.4</v>
      </c>
      <c r="D1695" s="105">
        <f>SUMIF(N1690:N1694,M1695,D1690:D1694)</f>
        <v>0</v>
      </c>
      <c r="E1695" s="105">
        <f>SUMIF(N1690:N1694,M1695,E1690:E1694)</f>
        <v>0</v>
      </c>
      <c r="F1695" s="105">
        <f>SUMIF(N1690:N1694,M1695,F1690:F1694)</f>
        <v>3644.4</v>
      </c>
      <c r="G1695" s="17" t="s">
        <v>1347</v>
      </c>
      <c r="M1695" s="35" t="s">
        <v>1348</v>
      </c>
      <c r="N1695" s="35" t="s">
        <v>1011</v>
      </c>
    </row>
    <row r="1696" spans="1:25" ht="12.6" customHeight="1" x14ac:dyDescent="0.3">
      <c r="A1696" s="78"/>
      <c r="B1696" s="78"/>
      <c r="C1696" s="103"/>
      <c r="D1696" s="103"/>
      <c r="E1696" s="103"/>
      <c r="F1696" s="103"/>
      <c r="G1696" s="17" t="s">
        <v>1229</v>
      </c>
    </row>
    <row r="1697" spans="1:14" ht="12.6" customHeight="1" x14ac:dyDescent="0.3">
      <c r="A1697" s="68"/>
      <c r="B1697" s="77" t="s">
        <v>1101</v>
      </c>
      <c r="C1697" s="105">
        <f>E1697+D1697+F1697</f>
        <v>0</v>
      </c>
      <c r="D1697" s="105">
        <f>SUMIF(N1696:N1696,M1697,D1696:D1696)</f>
        <v>0</v>
      </c>
      <c r="E1697" s="105">
        <f>SUMIF(N1696:N1696,M1697,E1696:E1696)</f>
        <v>0</v>
      </c>
      <c r="F1697" s="105">
        <f>SUMIF(N1696:N1696,M1697,F1696:F1696)</f>
        <v>0</v>
      </c>
      <c r="G1697" s="17" t="s">
        <v>1347</v>
      </c>
      <c r="M1697" s="35" t="s">
        <v>1348</v>
      </c>
      <c r="N1697" s="35" t="s">
        <v>1011</v>
      </c>
    </row>
    <row r="1698" spans="1:14" ht="12.6" customHeight="1" x14ac:dyDescent="0.3">
      <c r="A1698" s="78"/>
      <c r="B1698" s="78"/>
      <c r="C1698" s="103"/>
      <c r="D1698" s="103"/>
      <c r="E1698" s="103"/>
      <c r="F1698" s="103"/>
    </row>
    <row r="1699" spans="1:14" ht="12.6" customHeight="1" x14ac:dyDescent="0.3">
      <c r="A1699" s="78"/>
      <c r="B1699" s="78"/>
      <c r="C1699" s="78"/>
      <c r="D1699" s="78"/>
      <c r="E1699" s="78"/>
      <c r="F1699" s="78"/>
    </row>
    <row r="1700" spans="1:14" ht="12.6" customHeight="1" x14ac:dyDescent="0.3">
      <c r="A1700" s="78"/>
      <c r="B1700" s="78"/>
      <c r="C1700" s="78"/>
      <c r="D1700" s="78"/>
      <c r="E1700" s="78"/>
      <c r="F1700" s="78"/>
    </row>
    <row r="1701" spans="1:14" ht="12.6" customHeight="1" x14ac:dyDescent="0.3">
      <c r="A1701" s="78"/>
      <c r="B1701" s="78"/>
      <c r="C1701" s="78"/>
      <c r="D1701" s="78"/>
      <c r="E1701" s="78"/>
      <c r="F1701" s="78"/>
    </row>
    <row r="1702" spans="1:14" ht="12.6" customHeight="1" x14ac:dyDescent="0.3">
      <c r="A1702" s="78"/>
      <c r="B1702" s="78"/>
      <c r="C1702" s="78"/>
      <c r="D1702" s="78"/>
      <c r="E1702" s="78"/>
      <c r="F1702" s="78"/>
    </row>
    <row r="1703" spans="1:14" ht="12.6" customHeight="1" x14ac:dyDescent="0.3">
      <c r="A1703" s="56"/>
      <c r="B1703" s="56"/>
      <c r="C1703" s="56"/>
      <c r="D1703" s="56"/>
      <c r="E1703" s="56"/>
      <c r="F1703" s="56"/>
    </row>
    <row r="1704" spans="1:14" ht="12.6" customHeight="1" x14ac:dyDescent="0.3">
      <c r="A1704" s="143" t="s">
        <v>1101</v>
      </c>
      <c r="B1704" s="144"/>
      <c r="C1704" s="54">
        <f>E1704+D1704+F1704</f>
        <v>1059734</v>
      </c>
      <c r="D1704" s="52">
        <f>ROUNDDOWN(SUMIF(N1639:N1697,M1704,D1639:D1697),0)</f>
        <v>182223</v>
      </c>
      <c r="E1704" s="64">
        <f>ROUNDDOWN(SUMIF(N1639:N1697,M1704,E1639:E1697),0)</f>
        <v>869359</v>
      </c>
      <c r="F1704" s="54">
        <f>ROUNDDOWN(SUMIF(N1639:N1697,M1704,F1639:F1697),0)</f>
        <v>8152</v>
      </c>
      <c r="M1704" s="35" t="s">
        <v>1011</v>
      </c>
      <c r="N1704" s="35" t="s">
        <v>1102</v>
      </c>
    </row>
    <row r="1705" spans="1:14" ht="12.6" customHeight="1" x14ac:dyDescent="0.3">
      <c r="A1705" s="143" t="s">
        <v>1103</v>
      </c>
      <c r="B1705" s="144"/>
      <c r="C1705" s="54">
        <f>E1705+D1705+F1705</f>
        <v>929862</v>
      </c>
      <c r="D1705" s="52">
        <f>ROUNDDOWN(D1704*H1705/100,0)</f>
        <v>159891</v>
      </c>
      <c r="E1705" s="64">
        <f>ROUNDDOWN(E1704*H1705/100,0)</f>
        <v>762819</v>
      </c>
      <c r="F1705" s="54">
        <f>ROUNDDOWN(F1704*H1705/100,0)</f>
        <v>7152</v>
      </c>
      <c r="H1705" s="37">
        <v>87.745000000000005</v>
      </c>
      <c r="M1705" s="35" t="s">
        <v>1102</v>
      </c>
    </row>
    <row r="1706" spans="1:14" ht="12.6" customHeight="1" x14ac:dyDescent="0.3">
      <c r="A1706" s="100" t="s">
        <v>266</v>
      </c>
      <c r="B1706" s="101" t="s">
        <v>263</v>
      </c>
      <c r="C1706" s="150">
        <f>C1774</f>
        <v>25297</v>
      </c>
      <c r="D1706" s="150">
        <f>D1774</f>
        <v>14935</v>
      </c>
      <c r="E1706" s="150">
        <f>E1774</f>
        <v>3667</v>
      </c>
      <c r="F1706" s="150">
        <f>F1774</f>
        <v>6695</v>
      </c>
      <c r="G1706" s="97" t="str">
        <f>HYPERLINK("#G"&amp;ROW(G1740),"_x0005_`BDCOD|D01491_x0007_`POSS|"&amp;ROW(G1708)&amp;"_x0007_`POSE|"&amp;ROW(G1740)&amp;"_x0007_`")</f>
        <v>_x0005_`BDCOD|D01491_x0007_`POSS|1708_x0007_`POSE|1740_x0007_`</v>
      </c>
    </row>
    <row r="1707" spans="1:14" ht="12.6" customHeight="1" x14ac:dyDescent="0.3">
      <c r="A1707" s="83"/>
      <c r="B1707" s="101" t="s">
        <v>262</v>
      </c>
      <c r="C1707" s="139"/>
      <c r="D1707" s="139"/>
      <c r="E1707" s="139"/>
      <c r="F1707" s="139"/>
      <c r="M1707" s="35" t="s">
        <v>266</v>
      </c>
    </row>
    <row r="1708" spans="1:14" ht="12.6" customHeight="1" x14ac:dyDescent="0.3">
      <c r="A1708" s="68"/>
      <c r="B1708" s="77" t="s">
        <v>1993</v>
      </c>
      <c r="C1708" s="103"/>
      <c r="D1708" s="103"/>
      <c r="E1708" s="103"/>
      <c r="F1708" s="103"/>
      <c r="G1708" s="17" t="s">
        <v>1992</v>
      </c>
    </row>
    <row r="1709" spans="1:14" ht="12.6" customHeight="1" x14ac:dyDescent="0.3">
      <c r="A1709" s="78"/>
      <c r="B1709" s="78"/>
      <c r="C1709" s="78"/>
      <c r="D1709" s="78"/>
      <c r="E1709" s="78"/>
      <c r="F1709" s="78"/>
      <c r="G1709" s="17" t="s">
        <v>1229</v>
      </c>
    </row>
    <row r="1710" spans="1:14" ht="12.6" customHeight="1" x14ac:dyDescent="0.3">
      <c r="A1710" s="68"/>
      <c r="B1710" s="77" t="s">
        <v>1995</v>
      </c>
      <c r="C1710" s="78"/>
      <c r="D1710" s="78"/>
      <c r="E1710" s="78"/>
      <c r="F1710" s="78"/>
      <c r="G1710" s="17" t="s">
        <v>1994</v>
      </c>
    </row>
    <row r="1711" spans="1:14" ht="12.6" customHeight="1" x14ac:dyDescent="0.3">
      <c r="A1711" s="78"/>
      <c r="B1711" s="78"/>
      <c r="C1711" s="78"/>
      <c r="D1711" s="78"/>
      <c r="E1711" s="78"/>
      <c r="F1711" s="78"/>
      <c r="G1711" s="17" t="s">
        <v>1229</v>
      </c>
    </row>
    <row r="1712" spans="1:14" ht="12.6" customHeight="1" x14ac:dyDescent="0.3">
      <c r="A1712" s="68"/>
      <c r="B1712" s="77" t="s">
        <v>1997</v>
      </c>
      <c r="C1712" s="78"/>
      <c r="D1712" s="78"/>
      <c r="E1712" s="78"/>
      <c r="F1712" s="78"/>
      <c r="G1712" s="17" t="s">
        <v>1996</v>
      </c>
    </row>
    <row r="1713" spans="1:25" ht="12.6" customHeight="1" x14ac:dyDescent="0.3">
      <c r="A1713" s="78"/>
      <c r="B1713" s="78"/>
      <c r="C1713" s="78"/>
      <c r="D1713" s="78"/>
      <c r="E1713" s="78"/>
      <c r="F1713" s="78"/>
      <c r="G1713" s="17" t="s">
        <v>1229</v>
      </c>
    </row>
    <row r="1714" spans="1:25" ht="12.6" customHeight="1" x14ac:dyDescent="0.3">
      <c r="A1714" s="68"/>
      <c r="B1714" s="77" t="s">
        <v>1999</v>
      </c>
      <c r="C1714" s="78"/>
      <c r="D1714" s="78"/>
      <c r="E1714" s="78"/>
      <c r="F1714" s="78"/>
      <c r="G1714" s="17" t="s">
        <v>1998</v>
      </c>
    </row>
    <row r="1715" spans="1:25" ht="12.6" customHeight="1" x14ac:dyDescent="0.3">
      <c r="A1715" s="78"/>
      <c r="B1715" s="78"/>
      <c r="C1715" s="78"/>
      <c r="D1715" s="78"/>
      <c r="E1715" s="78"/>
      <c r="F1715" s="78"/>
      <c r="G1715" s="17" t="s">
        <v>1229</v>
      </c>
    </row>
    <row r="1716" spans="1:25" ht="12.6" customHeight="1" x14ac:dyDescent="0.3">
      <c r="A1716" s="68" t="s">
        <v>1270</v>
      </c>
      <c r="B1716" s="102" t="str">
        <f>" 노 무 비  :   "&amp;TEXT(I1716,"#,##0"&amp;IF(I1716&lt;&gt;INT(I1716),".###",""))&amp;" / Q = "&amp;TEXT(C1716,"#,##0.0")&amp;""</f>
        <v xml:space="preserve"> 노 무 비  :   57,077 / Q = 12,408.0</v>
      </c>
      <c r="C1716" s="104">
        <f>E1716+D1716+F1716</f>
        <v>12408</v>
      </c>
      <c r="D1716" s="104">
        <f>IF(H1716=0,0,ROUNDDOWN(J1716*H1716,1))</f>
        <v>12408</v>
      </c>
      <c r="E1716" s="104">
        <f>IF(H1716=0,0,ROUNDDOWN(K1716*H1716,1))</f>
        <v>0</v>
      </c>
      <c r="F1716" s="104">
        <f>IF(H1716=0,0,ROUNDDOWN(L1716*H1716,1))</f>
        <v>0</v>
      </c>
      <c r="G1716" s="17" t="s">
        <v>2000</v>
      </c>
      <c r="H1716" s="109">
        <v>0.217391304348</v>
      </c>
      <c r="I1716" s="110">
        <f>K1716+J1716+L1716</f>
        <v>57077</v>
      </c>
      <c r="J1716" s="39">
        <f>중기목록표!F8</f>
        <v>57077</v>
      </c>
      <c r="M1716" s="35" t="s">
        <v>1271</v>
      </c>
      <c r="N1716" s="35" t="s">
        <v>1247</v>
      </c>
      <c r="X1716" s="111" t="str">
        <f>중기목록표!B8&amp;" / "&amp;중기목록표!C8</f>
        <v>굴삭기(무한궤도) / 0.7㎥</v>
      </c>
      <c r="Y1716" s="3" t="str">
        <f ca="1">HYPERLINK("#"&amp;중기목록표!J2&amp;"!A"&amp;ROW(중기목록표!A8),"X00022 →")</f>
        <v>X00022 →</v>
      </c>
    </row>
    <row r="1717" spans="1:25" ht="12.6" customHeight="1" x14ac:dyDescent="0.3">
      <c r="A1717" s="78"/>
      <c r="B1717" s="78"/>
      <c r="C1717" s="78"/>
      <c r="D1717" s="78"/>
      <c r="E1717" s="78"/>
      <c r="F1717" s="78"/>
      <c r="G1717" s="17" t="s">
        <v>1229</v>
      </c>
    </row>
    <row r="1718" spans="1:25" ht="12.6" customHeight="1" x14ac:dyDescent="0.3">
      <c r="A1718" s="68" t="s">
        <v>1273</v>
      </c>
      <c r="B1718" s="102" t="str">
        <f>" 재 료 비  :   "&amp;TEXT(I1718,"#,##0"&amp;IF(I1718&lt;&gt;INT(I1718),".###",""))&amp;" / Q = "&amp;TEXT(C1718,"#,##0.0")&amp;""</f>
        <v xml:space="preserve"> 재 료 비  :   19,232 / Q = 4,180.8</v>
      </c>
      <c r="C1718" s="104">
        <f>E1718+D1718+F1718</f>
        <v>4180.8</v>
      </c>
      <c r="D1718" s="104">
        <f>IF(H1718=0,0,ROUNDDOWN(J1718*H1718,1))</f>
        <v>0</v>
      </c>
      <c r="E1718" s="104">
        <f>IF(H1718=0,0,ROUNDDOWN(K1718*H1718,1))</f>
        <v>4180.8</v>
      </c>
      <c r="F1718" s="104">
        <f>IF(H1718=0,0,ROUNDDOWN(L1718*H1718,1))</f>
        <v>0</v>
      </c>
      <c r="G1718" s="17" t="s">
        <v>2001</v>
      </c>
      <c r="H1718" s="109">
        <v>0.217391304348</v>
      </c>
      <c r="I1718" s="110">
        <f>K1718+J1718+L1718</f>
        <v>19232</v>
      </c>
      <c r="K1718" s="39">
        <f>중기목록표!G8</f>
        <v>19232</v>
      </c>
      <c r="M1718" s="35" t="s">
        <v>1271</v>
      </c>
      <c r="N1718" s="35" t="s">
        <v>1247</v>
      </c>
      <c r="X1718" s="111" t="str">
        <f>중기목록표!B8&amp;" / "&amp;중기목록표!C8</f>
        <v>굴삭기(무한궤도) / 0.7㎥</v>
      </c>
      <c r="Y1718" s="3" t="str">
        <f ca="1">HYPERLINK("#"&amp;중기목록표!J2&amp;"!A"&amp;ROW(중기목록표!A8),"X00022 →")</f>
        <v>X00022 →</v>
      </c>
    </row>
    <row r="1719" spans="1:25" ht="12.6" customHeight="1" x14ac:dyDescent="0.3">
      <c r="A1719" s="78"/>
      <c r="B1719" s="78"/>
      <c r="C1719" s="78"/>
      <c r="D1719" s="78"/>
      <c r="E1719" s="78"/>
      <c r="F1719" s="78"/>
      <c r="G1719" s="17" t="s">
        <v>1229</v>
      </c>
    </row>
    <row r="1720" spans="1:25" ht="12.6" customHeight="1" x14ac:dyDescent="0.3">
      <c r="A1720" s="68" t="s">
        <v>1275</v>
      </c>
      <c r="B1720" s="102" t="str">
        <f>" 경    비  :   "&amp;TEXT(I1720,"#,##0"&amp;IF(I1720&lt;&gt;INT(I1720),".###",""))&amp;" / Q = "&amp;TEXT(C1720,"#,##0.0")&amp;""</f>
        <v xml:space="preserve"> 경    비  :   24,001 / Q = 5,217.6</v>
      </c>
      <c r="C1720" s="104">
        <f>E1720+D1720+F1720</f>
        <v>5217.6000000000004</v>
      </c>
      <c r="D1720" s="104">
        <f>IF(H1720=0,0,ROUNDDOWN(J1720*H1720,1))</f>
        <v>0</v>
      </c>
      <c r="E1720" s="104">
        <f>IF(H1720=0,0,ROUNDDOWN(K1720*H1720,1))</f>
        <v>0</v>
      </c>
      <c r="F1720" s="104">
        <f>IF(H1720=0,0,ROUNDDOWN(L1720*H1720,1))</f>
        <v>5217.6000000000004</v>
      </c>
      <c r="G1720" s="17" t="s">
        <v>2002</v>
      </c>
      <c r="H1720" s="109">
        <v>0.217391304348</v>
      </c>
      <c r="I1720" s="110">
        <f>K1720+J1720+L1720</f>
        <v>24001</v>
      </c>
      <c r="L1720" s="39">
        <f>중기목록표!H8</f>
        <v>24001</v>
      </c>
      <c r="M1720" s="35" t="s">
        <v>1271</v>
      </c>
      <c r="N1720" s="35" t="s">
        <v>1247</v>
      </c>
      <c r="X1720" s="111" t="str">
        <f>중기목록표!B8&amp;" / "&amp;중기목록표!C8</f>
        <v>굴삭기(무한궤도) / 0.7㎥</v>
      </c>
      <c r="Y1720" s="3" t="str">
        <f ca="1">HYPERLINK("#"&amp;중기목록표!J2&amp;"!A"&amp;ROW(중기목록표!A8),"X00022 →")</f>
        <v>X00022 →</v>
      </c>
    </row>
    <row r="1721" spans="1:25" ht="12.6" customHeight="1" x14ac:dyDescent="0.3">
      <c r="A1721" s="78"/>
      <c r="B1721" s="78"/>
      <c r="C1721" s="78"/>
      <c r="D1721" s="78"/>
      <c r="E1721" s="78"/>
      <c r="F1721" s="78"/>
      <c r="G1721" s="17" t="s">
        <v>1229</v>
      </c>
    </row>
    <row r="1722" spans="1:25" ht="12.6" customHeight="1" x14ac:dyDescent="0.3">
      <c r="A1722" s="68" t="s">
        <v>2004</v>
      </c>
      <c r="B1722" s="102" t="str">
        <f>"               "&amp;TEXT(I1722,"#,##0"&amp;IF(I1722&lt;&gt;INT(I1722),".###",""))&amp;" / Q = "&amp;TEXT(C1722,"#,##0.0")&amp;""</f>
        <v xml:space="preserve">               11,100 / Q = 2,413.0</v>
      </c>
      <c r="C1722" s="104">
        <f>E1722+D1722+F1722</f>
        <v>2413</v>
      </c>
      <c r="D1722" s="104">
        <f>IF(H1722=0,0,ROUNDDOWN(J1722*H1722,1))</f>
        <v>0</v>
      </c>
      <c r="E1722" s="104">
        <f>IF(H1722=0,0,ROUNDDOWN(K1722*H1722,1))</f>
        <v>0</v>
      </c>
      <c r="F1722" s="104">
        <f>IF(H1722=0,0,ROUNDDOWN(L1722*H1722,1))</f>
        <v>2413</v>
      </c>
      <c r="G1722" s="17" t="s">
        <v>2003</v>
      </c>
      <c r="H1722" s="109">
        <v>0.217391304348</v>
      </c>
      <c r="I1722" s="110">
        <f>K1722+J1722+L1722</f>
        <v>11100</v>
      </c>
      <c r="L1722" s="39">
        <f>중기목록표!H9</f>
        <v>11100</v>
      </c>
      <c r="M1722" s="35" t="s">
        <v>2005</v>
      </c>
      <c r="N1722" s="35" t="s">
        <v>1247</v>
      </c>
      <c r="X1722" s="111" t="str">
        <f>중기목록표!B9&amp;" / "&amp;중기목록표!C9</f>
        <v>대형 브레이커 / 0.7㎥</v>
      </c>
      <c r="Y1722" s="3" t="str">
        <f ca="1">HYPERLINK("#"&amp;중기목록표!J2&amp;"!A"&amp;ROW(중기목록표!A9),"X00029 →")</f>
        <v>X00029 →</v>
      </c>
    </row>
    <row r="1723" spans="1:25" ht="12.6" customHeight="1" x14ac:dyDescent="0.3">
      <c r="A1723" s="78"/>
      <c r="B1723" s="78"/>
      <c r="C1723" s="78"/>
      <c r="D1723" s="78"/>
      <c r="E1723" s="78"/>
      <c r="F1723" s="78"/>
      <c r="G1723" s="17" t="s">
        <v>1229</v>
      </c>
    </row>
    <row r="1724" spans="1:25" ht="12.6" customHeight="1" x14ac:dyDescent="0.3">
      <c r="A1724" s="68"/>
      <c r="B1724" s="77" t="s">
        <v>1246</v>
      </c>
      <c r="C1724" s="105">
        <f>E1724+D1724+F1724</f>
        <v>24219.4</v>
      </c>
      <c r="D1724" s="105">
        <f>SUMIF(N1708:N1723,M1724,D1708:D1723)</f>
        <v>12408</v>
      </c>
      <c r="E1724" s="105">
        <f>SUMIF(N1708:N1723,M1724,E1708:E1723)</f>
        <v>4180.8</v>
      </c>
      <c r="F1724" s="105">
        <f>SUMIF(N1708:N1723,M1724,F1708:F1723)</f>
        <v>7630.6</v>
      </c>
      <c r="G1724" s="17" t="s">
        <v>1245</v>
      </c>
      <c r="M1724" s="35" t="s">
        <v>1247</v>
      </c>
      <c r="N1724" s="35" t="s">
        <v>1348</v>
      </c>
    </row>
    <row r="1725" spans="1:25" ht="12.6" customHeight="1" x14ac:dyDescent="0.3">
      <c r="A1725" s="78"/>
      <c r="B1725" s="78"/>
      <c r="C1725" s="103"/>
      <c r="D1725" s="103"/>
      <c r="E1725" s="103"/>
      <c r="F1725" s="103"/>
      <c r="G1725" s="17" t="s">
        <v>1229</v>
      </c>
    </row>
    <row r="1726" spans="1:25" ht="12.6" customHeight="1" x14ac:dyDescent="0.3">
      <c r="A1726" s="68"/>
      <c r="B1726" s="77" t="s">
        <v>2007</v>
      </c>
      <c r="C1726" s="78"/>
      <c r="D1726" s="78"/>
      <c r="E1726" s="78"/>
      <c r="F1726" s="78"/>
      <c r="G1726" s="17" t="s">
        <v>2006</v>
      </c>
    </row>
    <row r="1727" spans="1:25" ht="12.6" customHeight="1" x14ac:dyDescent="0.3">
      <c r="A1727" s="78"/>
      <c r="B1727" s="78"/>
      <c r="C1727" s="78"/>
      <c r="D1727" s="78"/>
      <c r="E1727" s="78"/>
      <c r="F1727" s="78"/>
      <c r="G1727" s="17" t="s">
        <v>1229</v>
      </c>
    </row>
    <row r="1728" spans="1:25" ht="12.6" customHeight="1" x14ac:dyDescent="0.3">
      <c r="A1728" s="68"/>
      <c r="B1728" s="77" t="s">
        <v>2009</v>
      </c>
      <c r="C1728" s="78"/>
      <c r="D1728" s="78"/>
      <c r="E1728" s="78"/>
      <c r="F1728" s="78"/>
      <c r="G1728" s="17" t="s">
        <v>2008</v>
      </c>
    </row>
    <row r="1729" spans="1:25" ht="12.6" customHeight="1" x14ac:dyDescent="0.3">
      <c r="A1729" s="78"/>
      <c r="B1729" s="78"/>
      <c r="C1729" s="78"/>
      <c r="D1729" s="78"/>
      <c r="E1729" s="78"/>
      <c r="F1729" s="78"/>
      <c r="G1729" s="17" t="s">
        <v>1229</v>
      </c>
    </row>
    <row r="1730" spans="1:25" ht="12.6" customHeight="1" x14ac:dyDescent="0.3">
      <c r="A1730" s="68" t="s">
        <v>621</v>
      </c>
      <c r="B1730" s="102" t="str">
        <f>" S * "&amp;TEXT(I1730,"#,##0"&amp;IF(I1730&lt;&gt;INT(I1730),".###",""))&amp;" / Q = "&amp;TEXT(C1730,"#,##0.0")&amp;"  W/㎥ "</f>
        <v xml:space="preserve"> S * 200 / Q = 0.4  W/㎥ </v>
      </c>
      <c r="C1730" s="104">
        <f>E1730+D1730+F1730</f>
        <v>0.4</v>
      </c>
      <c r="D1730" s="104">
        <f>IF(H1730=0,0,ROUNDDOWN(J1730*H1730,1))</f>
        <v>0</v>
      </c>
      <c r="E1730" s="104">
        <f>IF(H1730=0,0,ROUNDDOWN(K1730*H1730,1))</f>
        <v>0</v>
      </c>
      <c r="F1730" s="104">
        <f>IF(H1730=0,0,ROUNDDOWN(L1730*H1730,1))</f>
        <v>0.4</v>
      </c>
      <c r="G1730" s="17" t="s">
        <v>2010</v>
      </c>
      <c r="H1730" s="109">
        <v>2.1739130437000002E-3</v>
      </c>
      <c r="I1730" s="110">
        <f>K1730+J1730+L1730</f>
        <v>200</v>
      </c>
      <c r="L1730" s="39">
        <f>경비목록표!E9</f>
        <v>200</v>
      </c>
      <c r="M1730" s="35" t="s">
        <v>2011</v>
      </c>
      <c r="N1730" s="35" t="s">
        <v>1247</v>
      </c>
      <c r="X1730" s="111" t="str">
        <f>경비목록표!B9&amp;" / "&amp;경비목록표!C9</f>
        <v xml:space="preserve">치즐(0.7m3) / </v>
      </c>
      <c r="Y1730" s="3" t="str">
        <f ca="1">HYPERLINK("#"&amp;경비목록표!G2&amp;"!A"&amp;ROW(경비목록표!A9),"S00051 →")</f>
        <v>S00051 →</v>
      </c>
    </row>
    <row r="1731" spans="1:25" ht="12.6" customHeight="1" x14ac:dyDescent="0.3">
      <c r="A1731" s="78"/>
      <c r="B1731" s="78"/>
      <c r="C1731" s="78"/>
      <c r="D1731" s="78"/>
      <c r="E1731" s="78"/>
      <c r="F1731" s="78"/>
      <c r="G1731" s="17" t="s">
        <v>1229</v>
      </c>
    </row>
    <row r="1732" spans="1:25" ht="12.6" customHeight="1" x14ac:dyDescent="0.3">
      <c r="A1732" s="68"/>
      <c r="B1732" s="77" t="s">
        <v>1246</v>
      </c>
      <c r="C1732" s="105">
        <f>E1732+D1732+F1732</f>
        <v>0.4</v>
      </c>
      <c r="D1732" s="105">
        <f>SUMIF(N1725:N1731,M1732,D1725:D1731)</f>
        <v>0</v>
      </c>
      <c r="E1732" s="105">
        <f>SUMIF(N1725:N1731,M1732,E1725:E1731)</f>
        <v>0</v>
      </c>
      <c r="F1732" s="105">
        <f>SUMIF(N1725:N1731,M1732,F1725:F1731)</f>
        <v>0.4</v>
      </c>
      <c r="G1732" s="17" t="s">
        <v>1245</v>
      </c>
      <c r="M1732" s="35" t="s">
        <v>1247</v>
      </c>
      <c r="N1732" s="35" t="s">
        <v>1348</v>
      </c>
    </row>
    <row r="1733" spans="1:25" ht="12.6" customHeight="1" x14ac:dyDescent="0.3">
      <c r="A1733" s="78"/>
      <c r="B1733" s="78"/>
      <c r="C1733" s="103"/>
      <c r="D1733" s="103"/>
      <c r="E1733" s="103"/>
      <c r="F1733" s="103"/>
      <c r="G1733" s="17" t="s">
        <v>1229</v>
      </c>
    </row>
    <row r="1734" spans="1:25" ht="12.6" customHeight="1" x14ac:dyDescent="0.3">
      <c r="A1734" s="68"/>
      <c r="B1734" s="77" t="s">
        <v>2013</v>
      </c>
      <c r="C1734" s="78"/>
      <c r="D1734" s="78"/>
      <c r="E1734" s="78"/>
      <c r="F1734" s="78"/>
      <c r="G1734" s="17" t="s">
        <v>2012</v>
      </c>
    </row>
    <row r="1735" spans="1:25" ht="12.6" customHeight="1" x14ac:dyDescent="0.3">
      <c r="A1735" s="78"/>
      <c r="B1735" s="78"/>
      <c r="C1735" s="78"/>
      <c r="D1735" s="78"/>
      <c r="E1735" s="78"/>
      <c r="F1735" s="78"/>
      <c r="G1735" s="17" t="s">
        <v>1229</v>
      </c>
    </row>
    <row r="1736" spans="1:25" ht="12.6" customHeight="1" x14ac:dyDescent="0.3">
      <c r="A1736" s="68" t="s">
        <v>588</v>
      </c>
      <c r="B1736" s="102" t="str">
        <f>"     "&amp;TEXT(I1736,"#,##0"&amp;IF(I1736&lt;&gt;INT(I1736),".###",""))&amp;" / Q / 8= "&amp;TEXT(C1736,"#,##0.0")&amp;"  W/㎥ "</f>
        <v xml:space="preserve">     169,804 / Q / 8= 4,614.2  W/㎥ </v>
      </c>
      <c r="C1736" s="104">
        <f>E1736+D1736+F1736</f>
        <v>4614.2</v>
      </c>
      <c r="D1736" s="104">
        <f>IF(H1736=0,0,ROUNDDOWN(J1736*H1736,1))</f>
        <v>4614.2</v>
      </c>
      <c r="E1736" s="104">
        <f>IF(H1736=0,0,ROUNDDOWN(K1736*H1736,1))</f>
        <v>0</v>
      </c>
      <c r="F1736" s="104">
        <f>IF(H1736=0,0,ROUNDDOWN(L1736*H1736,1))</f>
        <v>0</v>
      </c>
      <c r="G1736" s="17" t="s">
        <v>2014</v>
      </c>
      <c r="H1736" s="109">
        <v>2.7173913043699999E-2</v>
      </c>
      <c r="I1736" s="110">
        <f>K1736+J1736+L1736</f>
        <v>169804</v>
      </c>
      <c r="J1736" s="39">
        <f>노무비목록표!E11</f>
        <v>169804</v>
      </c>
      <c r="M1736" s="35" t="s">
        <v>1018</v>
      </c>
      <c r="N1736" s="35" t="s">
        <v>1247</v>
      </c>
      <c r="X1736" s="111" t="str">
        <f>노무비목록표!B11&amp;" / "&amp;노무비목록표!C11</f>
        <v xml:space="preserve">보통인부 / </v>
      </c>
      <c r="Y1736" s="3" t="str">
        <f ca="1">HYPERLINK("#"&amp;노무비목록표!G2&amp;"!A"&amp;ROW(노무비목록표!A11),"L00016 →")</f>
        <v>L00016 →</v>
      </c>
    </row>
    <row r="1737" spans="1:25" ht="12.6" customHeight="1" x14ac:dyDescent="0.3">
      <c r="A1737" s="78"/>
      <c r="B1737" s="78"/>
      <c r="C1737" s="78"/>
      <c r="D1737" s="78"/>
      <c r="E1737" s="78"/>
      <c r="F1737" s="78"/>
      <c r="G1737" s="17" t="s">
        <v>1229</v>
      </c>
    </row>
    <row r="1738" spans="1:25" ht="12.6" customHeight="1" x14ac:dyDescent="0.3">
      <c r="A1738" s="68"/>
      <c r="B1738" s="77" t="s">
        <v>1246</v>
      </c>
      <c r="C1738" s="105">
        <f>E1738+D1738+F1738</f>
        <v>4614.2</v>
      </c>
      <c r="D1738" s="105">
        <f>SUMIF(N1733:N1737,M1738,D1733:D1737)</f>
        <v>4614.2</v>
      </c>
      <c r="E1738" s="105">
        <f>SUMIF(N1733:N1737,M1738,E1733:E1737)</f>
        <v>0</v>
      </c>
      <c r="F1738" s="105">
        <f>SUMIF(N1733:N1737,M1738,F1733:F1737)</f>
        <v>0</v>
      </c>
      <c r="G1738" s="17" t="s">
        <v>1245</v>
      </c>
      <c r="M1738" s="35" t="s">
        <v>1247</v>
      </c>
      <c r="N1738" s="35" t="s">
        <v>1348</v>
      </c>
    </row>
    <row r="1739" spans="1:25" ht="12.6" customHeight="1" x14ac:dyDescent="0.3">
      <c r="A1739" s="78"/>
      <c r="B1739" s="78"/>
      <c r="C1739" s="103"/>
      <c r="D1739" s="103"/>
      <c r="E1739" s="103"/>
      <c r="F1739" s="103"/>
      <c r="G1739" s="17" t="s">
        <v>1229</v>
      </c>
    </row>
    <row r="1740" spans="1:25" ht="12.6" customHeight="1" x14ac:dyDescent="0.3">
      <c r="A1740" s="68"/>
      <c r="B1740" s="77" t="s">
        <v>1101</v>
      </c>
      <c r="C1740" s="105">
        <f>E1740+D1740+F1740</f>
        <v>28834</v>
      </c>
      <c r="D1740" s="105">
        <f>SUMIF(N1708:N1739,M1740,D1708:D1739)</f>
        <v>17022.2</v>
      </c>
      <c r="E1740" s="105">
        <f>SUMIF(N1708:N1739,M1740,E1708:E1739)</f>
        <v>4180.8</v>
      </c>
      <c r="F1740" s="105">
        <f>SUMIF(N1708:N1739,M1740,F1708:F1739)</f>
        <v>7631</v>
      </c>
      <c r="G1740" s="17" t="s">
        <v>1347</v>
      </c>
      <c r="M1740" s="35" t="s">
        <v>1348</v>
      </c>
      <c r="N1740" s="35" t="s">
        <v>1011</v>
      </c>
    </row>
    <row r="1741" spans="1:25" ht="12.6" customHeight="1" x14ac:dyDescent="0.3">
      <c r="A1741" s="78"/>
      <c r="B1741" s="78"/>
      <c r="C1741" s="103"/>
      <c r="D1741" s="103"/>
      <c r="E1741" s="103"/>
      <c r="F1741" s="103"/>
    </row>
    <row r="1742" spans="1:25" ht="12.6" customHeight="1" x14ac:dyDescent="0.3">
      <c r="A1742" s="78"/>
      <c r="B1742" s="78"/>
      <c r="C1742" s="78"/>
      <c r="D1742" s="78"/>
      <c r="E1742" s="78"/>
      <c r="F1742" s="78"/>
    </row>
    <row r="1743" spans="1:25" ht="12.6" customHeight="1" x14ac:dyDescent="0.3">
      <c r="A1743" s="78"/>
      <c r="B1743" s="78"/>
      <c r="C1743" s="78"/>
      <c r="D1743" s="78"/>
      <c r="E1743" s="78"/>
      <c r="F1743" s="78"/>
    </row>
    <row r="1744" spans="1:25" ht="12.6" customHeight="1" x14ac:dyDescent="0.3">
      <c r="A1744" s="78"/>
      <c r="B1744" s="78"/>
      <c r="C1744" s="78"/>
      <c r="D1744" s="78"/>
      <c r="E1744" s="78"/>
      <c r="F1744" s="78"/>
    </row>
    <row r="1745" spans="1:6" ht="12.6" customHeight="1" x14ac:dyDescent="0.3">
      <c r="A1745" s="78"/>
      <c r="B1745" s="78"/>
      <c r="C1745" s="78"/>
      <c r="D1745" s="78"/>
      <c r="E1745" s="78"/>
      <c r="F1745" s="78"/>
    </row>
    <row r="1746" spans="1:6" ht="12.6" customHeight="1" x14ac:dyDescent="0.3">
      <c r="A1746" s="78"/>
      <c r="B1746" s="78"/>
      <c r="C1746" s="78"/>
      <c r="D1746" s="78"/>
      <c r="E1746" s="78"/>
      <c r="F1746" s="78"/>
    </row>
    <row r="1747" spans="1:6" ht="12.6" customHeight="1" x14ac:dyDescent="0.3">
      <c r="A1747" s="78"/>
      <c r="B1747" s="78"/>
      <c r="C1747" s="78"/>
      <c r="D1747" s="78"/>
      <c r="E1747" s="78"/>
      <c r="F1747" s="78"/>
    </row>
    <row r="1748" spans="1:6" ht="12.6" customHeight="1" x14ac:dyDescent="0.3">
      <c r="A1748" s="78"/>
      <c r="B1748" s="78"/>
      <c r="C1748" s="78"/>
      <c r="D1748" s="78"/>
      <c r="E1748" s="78"/>
      <c r="F1748" s="78"/>
    </row>
    <row r="1749" spans="1:6" ht="12.6" customHeight="1" x14ac:dyDescent="0.3">
      <c r="A1749" s="78"/>
      <c r="B1749" s="78"/>
      <c r="C1749" s="78"/>
      <c r="D1749" s="78"/>
      <c r="E1749" s="78"/>
      <c r="F1749" s="78"/>
    </row>
    <row r="1750" spans="1:6" ht="12.6" customHeight="1" x14ac:dyDescent="0.3">
      <c r="A1750" s="78"/>
      <c r="B1750" s="78"/>
      <c r="C1750" s="78"/>
      <c r="D1750" s="78"/>
      <c r="E1750" s="78"/>
      <c r="F1750" s="78"/>
    </row>
    <row r="1751" spans="1:6" ht="12.6" customHeight="1" x14ac:dyDescent="0.3">
      <c r="A1751" s="78"/>
      <c r="B1751" s="78"/>
      <c r="C1751" s="78"/>
      <c r="D1751" s="78"/>
      <c r="E1751" s="78"/>
      <c r="F1751" s="78"/>
    </row>
    <row r="1752" spans="1:6" ht="12.6" customHeight="1" x14ac:dyDescent="0.3">
      <c r="A1752" s="78"/>
      <c r="B1752" s="78"/>
      <c r="C1752" s="78"/>
      <c r="D1752" s="78"/>
      <c r="E1752" s="78"/>
      <c r="F1752" s="78"/>
    </row>
    <row r="1753" spans="1:6" ht="12.6" customHeight="1" x14ac:dyDescent="0.3">
      <c r="A1753" s="78"/>
      <c r="B1753" s="78"/>
      <c r="C1753" s="78"/>
      <c r="D1753" s="78"/>
      <c r="E1753" s="78"/>
      <c r="F1753" s="78"/>
    </row>
    <row r="1754" spans="1:6" ht="12.6" customHeight="1" x14ac:dyDescent="0.3">
      <c r="A1754" s="78"/>
      <c r="B1754" s="78"/>
      <c r="C1754" s="78"/>
      <c r="D1754" s="78"/>
      <c r="E1754" s="78"/>
      <c r="F1754" s="78"/>
    </row>
    <row r="1755" spans="1:6" ht="12.6" customHeight="1" x14ac:dyDescent="0.3">
      <c r="A1755" s="78"/>
      <c r="B1755" s="78"/>
      <c r="C1755" s="78"/>
      <c r="D1755" s="78"/>
      <c r="E1755" s="78"/>
      <c r="F1755" s="78"/>
    </row>
    <row r="1756" spans="1:6" ht="12.6" customHeight="1" x14ac:dyDescent="0.3">
      <c r="A1756" s="78"/>
      <c r="B1756" s="78"/>
      <c r="C1756" s="78"/>
      <c r="D1756" s="78"/>
      <c r="E1756" s="78"/>
      <c r="F1756" s="78"/>
    </row>
    <row r="1757" spans="1:6" ht="12.6" customHeight="1" x14ac:dyDescent="0.3">
      <c r="A1757" s="78"/>
      <c r="B1757" s="78"/>
      <c r="C1757" s="78"/>
      <c r="D1757" s="78"/>
      <c r="E1757" s="78"/>
      <c r="F1757" s="78"/>
    </row>
    <row r="1758" spans="1:6" ht="12.6" customHeight="1" x14ac:dyDescent="0.3">
      <c r="A1758" s="78"/>
      <c r="B1758" s="78"/>
      <c r="C1758" s="78"/>
      <c r="D1758" s="78"/>
      <c r="E1758" s="78"/>
      <c r="F1758" s="78"/>
    </row>
    <row r="1759" spans="1:6" ht="12.6" customHeight="1" x14ac:dyDescent="0.3">
      <c r="A1759" s="78"/>
      <c r="B1759" s="78"/>
      <c r="C1759" s="78"/>
      <c r="D1759" s="78"/>
      <c r="E1759" s="78"/>
      <c r="F1759" s="78"/>
    </row>
    <row r="1760" spans="1:6" ht="12.6" customHeight="1" x14ac:dyDescent="0.3">
      <c r="A1760" s="78"/>
      <c r="B1760" s="78"/>
      <c r="C1760" s="78"/>
      <c r="D1760" s="78"/>
      <c r="E1760" s="78"/>
      <c r="F1760" s="78"/>
    </row>
    <row r="1761" spans="1:14" ht="12.6" customHeight="1" x14ac:dyDescent="0.3">
      <c r="A1761" s="78"/>
      <c r="B1761" s="78"/>
      <c r="C1761" s="78"/>
      <c r="D1761" s="78"/>
      <c r="E1761" s="78"/>
      <c r="F1761" s="78"/>
    </row>
    <row r="1762" spans="1:14" ht="12.6" customHeight="1" x14ac:dyDescent="0.3">
      <c r="A1762" s="78"/>
      <c r="B1762" s="78"/>
      <c r="C1762" s="78"/>
      <c r="D1762" s="78"/>
      <c r="E1762" s="78"/>
      <c r="F1762" s="78"/>
    </row>
    <row r="1763" spans="1:14" ht="12.6" customHeight="1" x14ac:dyDescent="0.3">
      <c r="A1763" s="78"/>
      <c r="B1763" s="78"/>
      <c r="C1763" s="78"/>
      <c r="D1763" s="78"/>
      <c r="E1763" s="78"/>
      <c r="F1763" s="78"/>
    </row>
    <row r="1764" spans="1:14" ht="12.6" customHeight="1" x14ac:dyDescent="0.3">
      <c r="A1764" s="78"/>
      <c r="B1764" s="78"/>
      <c r="C1764" s="78"/>
      <c r="D1764" s="78"/>
      <c r="E1764" s="78"/>
      <c r="F1764" s="78"/>
    </row>
    <row r="1765" spans="1:14" ht="12.6" customHeight="1" x14ac:dyDescent="0.3">
      <c r="A1765" s="78"/>
      <c r="B1765" s="78"/>
      <c r="C1765" s="78"/>
      <c r="D1765" s="78"/>
      <c r="E1765" s="78"/>
      <c r="F1765" s="78"/>
    </row>
    <row r="1766" spans="1:14" ht="12.6" customHeight="1" x14ac:dyDescent="0.3">
      <c r="A1766" s="78"/>
      <c r="B1766" s="78"/>
      <c r="C1766" s="78"/>
      <c r="D1766" s="78"/>
      <c r="E1766" s="78"/>
      <c r="F1766" s="78"/>
    </row>
    <row r="1767" spans="1:14" ht="12.6" customHeight="1" x14ac:dyDescent="0.3">
      <c r="A1767" s="78"/>
      <c r="B1767" s="78"/>
      <c r="C1767" s="78"/>
      <c r="D1767" s="78"/>
      <c r="E1767" s="78"/>
      <c r="F1767" s="78"/>
    </row>
    <row r="1768" spans="1:14" ht="12.6" customHeight="1" x14ac:dyDescent="0.3">
      <c r="A1768" s="78"/>
      <c r="B1768" s="78"/>
      <c r="C1768" s="78"/>
      <c r="D1768" s="78"/>
      <c r="E1768" s="78"/>
      <c r="F1768" s="78"/>
    </row>
    <row r="1769" spans="1:14" ht="12.6" customHeight="1" x14ac:dyDescent="0.3">
      <c r="A1769" s="78"/>
      <c r="B1769" s="78"/>
      <c r="C1769" s="78"/>
      <c r="D1769" s="78"/>
      <c r="E1769" s="78"/>
      <c r="F1769" s="78"/>
    </row>
    <row r="1770" spans="1:14" ht="12.6" customHeight="1" x14ac:dyDescent="0.3">
      <c r="A1770" s="78"/>
      <c r="B1770" s="78"/>
      <c r="C1770" s="78"/>
      <c r="D1770" s="78"/>
      <c r="E1770" s="78"/>
      <c r="F1770" s="78"/>
    </row>
    <row r="1771" spans="1:14" ht="12.6" customHeight="1" x14ac:dyDescent="0.3">
      <c r="A1771" s="78"/>
      <c r="B1771" s="78"/>
      <c r="C1771" s="78"/>
      <c r="D1771" s="78"/>
      <c r="E1771" s="78"/>
      <c r="F1771" s="78"/>
    </row>
    <row r="1772" spans="1:14" ht="12.6" customHeight="1" x14ac:dyDescent="0.3">
      <c r="A1772" s="56"/>
      <c r="B1772" s="56"/>
      <c r="C1772" s="56"/>
      <c r="D1772" s="56"/>
      <c r="E1772" s="56"/>
      <c r="F1772" s="56"/>
    </row>
    <row r="1773" spans="1:14" ht="12.6" customHeight="1" x14ac:dyDescent="0.3">
      <c r="A1773" s="143" t="s">
        <v>1101</v>
      </c>
      <c r="B1773" s="144"/>
      <c r="C1773" s="54">
        <f>E1773+D1773+F1773</f>
        <v>28833</v>
      </c>
      <c r="D1773" s="52">
        <f>ROUNDDOWN(SUMIF(N1708:N1740,M1773,D1708:D1740),0)</f>
        <v>17022</v>
      </c>
      <c r="E1773" s="64">
        <f>ROUNDDOWN(SUMIF(N1708:N1740,M1773,E1708:E1740),0)</f>
        <v>4180</v>
      </c>
      <c r="F1773" s="54">
        <f>ROUNDDOWN(SUMIF(N1708:N1740,M1773,F1708:F1740),0)</f>
        <v>7631</v>
      </c>
      <c r="M1773" s="35" t="s">
        <v>1011</v>
      </c>
      <c r="N1773" s="35" t="s">
        <v>1102</v>
      </c>
    </row>
    <row r="1774" spans="1:14" ht="12.6" customHeight="1" x14ac:dyDescent="0.3">
      <c r="A1774" s="143" t="s">
        <v>1103</v>
      </c>
      <c r="B1774" s="144"/>
      <c r="C1774" s="54">
        <f>E1774+D1774+F1774</f>
        <v>25297</v>
      </c>
      <c r="D1774" s="52">
        <f>ROUNDDOWN(D1773*H1774/100,0)</f>
        <v>14935</v>
      </c>
      <c r="E1774" s="64">
        <f>ROUNDDOWN(E1773*H1774/100,0)</f>
        <v>3667</v>
      </c>
      <c r="F1774" s="54">
        <f>ROUNDDOWN(F1773*H1774/100,0)</f>
        <v>6695</v>
      </c>
      <c r="H1774" s="37">
        <v>87.745000000000005</v>
      </c>
      <c r="M1774" s="35" t="s">
        <v>1102</v>
      </c>
    </row>
    <row r="1775" spans="1:14" ht="12.6" customHeight="1" x14ac:dyDescent="0.3">
      <c r="A1775" s="100" t="s">
        <v>270</v>
      </c>
      <c r="B1775" s="101" t="s">
        <v>268</v>
      </c>
      <c r="C1775" s="150">
        <f>C1808</f>
        <v>1622</v>
      </c>
      <c r="D1775" s="150">
        <f>D1808</f>
        <v>1354</v>
      </c>
      <c r="E1775" s="150">
        <f>E1808</f>
        <v>268</v>
      </c>
      <c r="F1775" s="150">
        <f>F1808</f>
        <v>0</v>
      </c>
      <c r="G1775" s="97" t="str">
        <f>HYPERLINK("#G"&amp;ROW(G1802),"_x0005_`BDCOD|D01492_x0007_`POSS|"&amp;ROW(G1777)&amp;"_x0007_`POSE|"&amp;ROW(G1802)&amp;"_x0007_`")</f>
        <v>_x0005_`BDCOD|D01492_x0007_`POSS|1777_x0007_`POSE|1802_x0007_`</v>
      </c>
    </row>
    <row r="1776" spans="1:14" ht="12.6" customHeight="1" x14ac:dyDescent="0.3">
      <c r="A1776" s="83"/>
      <c r="B1776" s="101" t="s">
        <v>267</v>
      </c>
      <c r="C1776" s="139"/>
      <c r="D1776" s="139"/>
      <c r="E1776" s="139"/>
      <c r="F1776" s="139"/>
      <c r="M1776" s="35" t="s">
        <v>270</v>
      </c>
    </row>
    <row r="1777" spans="1:25" ht="12.6" customHeight="1" x14ac:dyDescent="0.3">
      <c r="A1777" s="78"/>
      <c r="B1777" s="78"/>
      <c r="C1777" s="103"/>
      <c r="D1777" s="103"/>
      <c r="E1777" s="103"/>
      <c r="F1777" s="103"/>
      <c r="G1777" s="17" t="s">
        <v>1229</v>
      </c>
    </row>
    <row r="1778" spans="1:25" ht="12.6" customHeight="1" x14ac:dyDescent="0.3">
      <c r="A1778" s="68"/>
      <c r="B1778" s="77" t="s">
        <v>2016</v>
      </c>
      <c r="C1778" s="78"/>
      <c r="D1778" s="78"/>
      <c r="E1778" s="78"/>
      <c r="F1778" s="78"/>
      <c r="G1778" s="17" t="s">
        <v>2015</v>
      </c>
    </row>
    <row r="1779" spans="1:25" ht="12.6" customHeight="1" x14ac:dyDescent="0.3">
      <c r="A1779" s="78"/>
      <c r="B1779" s="78"/>
      <c r="C1779" s="78"/>
      <c r="D1779" s="78"/>
      <c r="E1779" s="78"/>
      <c r="F1779" s="78"/>
      <c r="G1779" s="17" t="s">
        <v>1229</v>
      </c>
    </row>
    <row r="1780" spans="1:25" ht="12.6" customHeight="1" x14ac:dyDescent="0.3">
      <c r="A1780" s="68"/>
      <c r="B1780" s="77" t="s">
        <v>2018</v>
      </c>
      <c r="C1780" s="78"/>
      <c r="D1780" s="78"/>
      <c r="E1780" s="78"/>
      <c r="F1780" s="78"/>
      <c r="G1780" s="17" t="s">
        <v>2017</v>
      </c>
    </row>
    <row r="1781" spans="1:25" ht="12.6" customHeight="1" x14ac:dyDescent="0.3">
      <c r="A1781" s="78"/>
      <c r="B1781" s="78"/>
      <c r="C1781" s="78"/>
      <c r="D1781" s="78"/>
      <c r="E1781" s="78"/>
      <c r="F1781" s="78"/>
      <c r="G1781" s="17" t="s">
        <v>1229</v>
      </c>
    </row>
    <row r="1782" spans="1:25" ht="12.6" customHeight="1" x14ac:dyDescent="0.3">
      <c r="A1782" s="68" t="s">
        <v>513</v>
      </c>
      <c r="B1782" s="102" t="str">
        <f>" 종자(초본류)  : "&amp;TEXT(I1782,"#,##0"&amp;IF(I1782&lt;&gt;INT(I1782),".###",""))&amp;" * 0.001 = "&amp;TEXT(C1782,"#,##0.0")&amp;""</f>
        <v xml:space="preserve"> 종자(초본류)  : 18,000 * 0.001 = 18.0</v>
      </c>
      <c r="C1782" s="104">
        <f>E1782+D1782+F1782</f>
        <v>18</v>
      </c>
      <c r="D1782" s="104">
        <f>IF(H1782=0,0,ROUNDDOWN(J1782*H1782,1))</f>
        <v>0</v>
      </c>
      <c r="E1782" s="104">
        <f>IF(H1782=0,0,ROUNDDOWN(K1782*H1782,1))</f>
        <v>18</v>
      </c>
      <c r="F1782" s="104">
        <f>IF(H1782=0,0,ROUNDDOWN(L1782*H1782,1))</f>
        <v>0</v>
      </c>
      <c r="G1782" s="17" t="s">
        <v>2019</v>
      </c>
      <c r="H1782" s="109">
        <v>1.0000000001000001E-3</v>
      </c>
      <c r="I1782" s="110">
        <f>K1782+J1782+L1782</f>
        <v>18000</v>
      </c>
      <c r="K1782" s="39">
        <f>재료비목록표!E29</f>
        <v>18000</v>
      </c>
      <c r="M1782" s="35" t="s">
        <v>2020</v>
      </c>
      <c r="N1782" s="35" t="s">
        <v>1247</v>
      </c>
      <c r="X1782" s="111" t="str">
        <f>재료비목록표!B29&amp;" / "&amp;재료비목록표!C29</f>
        <v>종자 / 초본류</v>
      </c>
      <c r="Y1782" s="3" t="str">
        <f ca="1">HYPERLINK("#"&amp;재료비목록표!G2&amp;"!A"&amp;ROW(재료비목록표!A29),"M01225 →")</f>
        <v>M01225 →</v>
      </c>
    </row>
    <row r="1783" spans="1:25" ht="12.6" customHeight="1" x14ac:dyDescent="0.3">
      <c r="A1783" s="78"/>
      <c r="B1783" s="78"/>
      <c r="C1783" s="78"/>
      <c r="D1783" s="78"/>
      <c r="E1783" s="78"/>
      <c r="F1783" s="78"/>
      <c r="G1783" s="17" t="s">
        <v>1496</v>
      </c>
    </row>
    <row r="1784" spans="1:25" ht="12.6" customHeight="1" x14ac:dyDescent="0.3">
      <c r="A1784" s="68" t="s">
        <v>517</v>
      </c>
      <c r="B1784" s="102" t="str">
        <f>" 종자(목본류)  : "&amp;TEXT(I1784,"#,##0"&amp;IF(I1784&lt;&gt;INT(I1784),".###",""))&amp;" * 0.001 = "&amp;TEXT(C1784,"#,##0.0")&amp;""</f>
        <v xml:space="preserve"> 종자(목본류)  : 35,000 * 0.001 = 35.0</v>
      </c>
      <c r="C1784" s="104">
        <f>E1784+D1784+F1784</f>
        <v>35</v>
      </c>
      <c r="D1784" s="104">
        <f>IF(H1784=0,0,ROUNDDOWN(J1784*H1784,1))</f>
        <v>0</v>
      </c>
      <c r="E1784" s="104">
        <f>IF(H1784=0,0,ROUNDDOWN(K1784*H1784,1))</f>
        <v>35</v>
      </c>
      <c r="F1784" s="104">
        <f>IF(H1784=0,0,ROUNDDOWN(L1784*H1784,1))</f>
        <v>0</v>
      </c>
      <c r="G1784" s="17" t="s">
        <v>2021</v>
      </c>
      <c r="H1784" s="109">
        <v>1.0000000001000001E-3</v>
      </c>
      <c r="I1784" s="110">
        <f>K1784+J1784+L1784</f>
        <v>35000</v>
      </c>
      <c r="K1784" s="39">
        <f>재료비목록표!E30</f>
        <v>35000</v>
      </c>
      <c r="M1784" s="35" t="s">
        <v>2022</v>
      </c>
      <c r="N1784" s="35" t="s">
        <v>1247</v>
      </c>
      <c r="X1784" s="111" t="str">
        <f>재료비목록표!B30&amp;" / "&amp;재료비목록표!C30</f>
        <v>종자 / 목본류</v>
      </c>
      <c r="Y1784" s="3" t="str">
        <f ca="1">HYPERLINK("#"&amp;재료비목록표!G2&amp;"!A"&amp;ROW(재료비목록표!A30),"M01226 →")</f>
        <v>M01226 →</v>
      </c>
    </row>
    <row r="1785" spans="1:25" ht="12.6" customHeight="1" x14ac:dyDescent="0.3">
      <c r="A1785" s="78"/>
      <c r="B1785" s="78"/>
      <c r="C1785" s="78"/>
      <c r="D1785" s="78"/>
      <c r="E1785" s="78"/>
      <c r="F1785" s="78"/>
      <c r="G1785" s="17" t="s">
        <v>1229</v>
      </c>
    </row>
    <row r="1786" spans="1:25" ht="12.6" customHeight="1" x14ac:dyDescent="0.3">
      <c r="A1786" s="68" t="s">
        <v>434</v>
      </c>
      <c r="B1786" s="102" t="str">
        <f>" 요소 : "&amp;TEXT(I1786,"#,##0"&amp;IF(I1786&lt;&gt;INT(I1786),".###",""))&amp;" * 0.004 = "&amp;TEXT(C1786,"#,##0.0")&amp;""</f>
        <v xml:space="preserve"> 요소 : 1,300 * 0.004 = 5.2</v>
      </c>
      <c r="C1786" s="104">
        <f>E1786+D1786+F1786</f>
        <v>5.2</v>
      </c>
      <c r="D1786" s="104">
        <f>IF(H1786=0,0,ROUNDDOWN(J1786*H1786,1))</f>
        <v>0</v>
      </c>
      <c r="E1786" s="104">
        <f>IF(H1786=0,0,ROUNDDOWN(K1786*H1786,1))</f>
        <v>5.2</v>
      </c>
      <c r="F1786" s="104">
        <f>IF(H1786=0,0,ROUNDDOWN(L1786*H1786,1))</f>
        <v>0</v>
      </c>
      <c r="G1786" s="17" t="s">
        <v>2023</v>
      </c>
      <c r="H1786" s="109">
        <v>4.0000000001E-3</v>
      </c>
      <c r="I1786" s="110">
        <f>K1786+J1786+L1786</f>
        <v>1300</v>
      </c>
      <c r="K1786" s="39">
        <f>재료비목록표!E9</f>
        <v>1300</v>
      </c>
      <c r="M1786" s="35" t="s">
        <v>2024</v>
      </c>
      <c r="N1786" s="35" t="s">
        <v>1247</v>
      </c>
      <c r="X1786" s="111" t="str">
        <f>재료비목록표!B9&amp;" / "&amp;재료비목록표!C9</f>
        <v xml:space="preserve">요소 / </v>
      </c>
      <c r="Y1786" s="3" t="str">
        <f ca="1">HYPERLINK("#"&amp;재료비목록표!G2&amp;"!A"&amp;ROW(재료비목록표!A9),"M00056 →")</f>
        <v>M00056 →</v>
      </c>
    </row>
    <row r="1787" spans="1:25" ht="12.6" customHeight="1" x14ac:dyDescent="0.3">
      <c r="A1787" s="78"/>
      <c r="B1787" s="78"/>
      <c r="C1787" s="78"/>
      <c r="D1787" s="78"/>
      <c r="E1787" s="78"/>
      <c r="F1787" s="78"/>
      <c r="G1787" s="17" t="s">
        <v>1229</v>
      </c>
    </row>
    <row r="1788" spans="1:25" ht="12.6" customHeight="1" x14ac:dyDescent="0.3">
      <c r="A1788" s="68" t="s">
        <v>438</v>
      </c>
      <c r="B1788" s="102" t="str">
        <f>" 인산질비료 : "&amp;TEXT(I1788,"#,##0"&amp;IF(I1788&lt;&gt;INT(I1788),".###",""))&amp;" * 0.0253 = "&amp;TEXT(C1788,"#,##0.0")&amp;""</f>
        <v xml:space="preserve"> 인산질비료 : 1,750 * 0.0253 = 44.2</v>
      </c>
      <c r="C1788" s="104">
        <f>E1788+D1788+F1788</f>
        <v>44.2</v>
      </c>
      <c r="D1788" s="104">
        <f>IF(H1788=0,0,ROUNDDOWN(J1788*H1788,1))</f>
        <v>0</v>
      </c>
      <c r="E1788" s="104">
        <f>IF(H1788=0,0,ROUNDDOWN(K1788*H1788,1))</f>
        <v>44.2</v>
      </c>
      <c r="F1788" s="104">
        <f>IF(H1788=0,0,ROUNDDOWN(L1788*H1788,1))</f>
        <v>0</v>
      </c>
      <c r="G1788" s="17" t="s">
        <v>2025</v>
      </c>
      <c r="H1788" s="109">
        <v>2.5300000000099999E-2</v>
      </c>
      <c r="I1788" s="110">
        <f>K1788+J1788+L1788</f>
        <v>1750</v>
      </c>
      <c r="K1788" s="39">
        <f>재료비목록표!E10</f>
        <v>1750</v>
      </c>
      <c r="M1788" s="35" t="s">
        <v>2026</v>
      </c>
      <c r="N1788" s="35" t="s">
        <v>1247</v>
      </c>
      <c r="X1788" s="111" t="str">
        <f>재료비목록표!B10&amp;" / "&amp;재료비목록표!C10</f>
        <v>인산질비료 / 용성인비인산</v>
      </c>
      <c r="Y1788" s="3" t="str">
        <f ca="1">HYPERLINK("#"&amp;재료비목록표!G2&amp;"!A"&amp;ROW(재료비목록표!A10),"M00057 →")</f>
        <v>M00057 →</v>
      </c>
    </row>
    <row r="1789" spans="1:25" ht="12.6" customHeight="1" x14ac:dyDescent="0.3">
      <c r="A1789" s="78"/>
      <c r="B1789" s="78"/>
      <c r="C1789" s="78"/>
      <c r="D1789" s="78"/>
      <c r="E1789" s="78"/>
      <c r="F1789" s="78"/>
      <c r="G1789" s="17" t="s">
        <v>1229</v>
      </c>
    </row>
    <row r="1790" spans="1:25" ht="12.6" customHeight="1" x14ac:dyDescent="0.3">
      <c r="A1790" s="68" t="s">
        <v>462</v>
      </c>
      <c r="B1790" s="102" t="str">
        <f>" 천연부엽토 : "&amp;TEXT(I1790,"#,##0"&amp;IF(I1790&lt;&gt;INT(I1790),".###",""))&amp;" * 0.48 = "&amp;TEXT(C1790,"#,##0.0")&amp;""</f>
        <v xml:space="preserve"> 천연부엽토 : 425 * 0.48 = 204.0</v>
      </c>
      <c r="C1790" s="104">
        <f>E1790+D1790+F1790</f>
        <v>204</v>
      </c>
      <c r="D1790" s="104">
        <f>IF(H1790=0,0,ROUNDDOWN(J1790*H1790,1))</f>
        <v>0</v>
      </c>
      <c r="E1790" s="104">
        <f>IF(H1790=0,0,ROUNDDOWN(K1790*H1790,1))</f>
        <v>204</v>
      </c>
      <c r="F1790" s="104">
        <f>IF(H1790=0,0,ROUNDDOWN(L1790*H1790,1))</f>
        <v>0</v>
      </c>
      <c r="G1790" s="17" t="s">
        <v>2027</v>
      </c>
      <c r="H1790" s="109">
        <v>0.48000000000010001</v>
      </c>
      <c r="I1790" s="110">
        <f>K1790+J1790+L1790</f>
        <v>425</v>
      </c>
      <c r="K1790" s="39">
        <f>재료비목록표!E16</f>
        <v>425</v>
      </c>
      <c r="M1790" s="35" t="s">
        <v>2028</v>
      </c>
      <c r="N1790" s="35" t="s">
        <v>1247</v>
      </c>
      <c r="X1790" s="111" t="str">
        <f>재료비목록표!B16&amp;" / "&amp;재료비목록표!C16</f>
        <v xml:space="preserve">천연부엽토 / </v>
      </c>
      <c r="Y1790" s="3" t="str">
        <f ca="1">HYPERLINK("#"&amp;재료비목록표!G2&amp;"!A"&amp;ROW(재료비목록표!A16),"M00157 →")</f>
        <v>M00157 →</v>
      </c>
    </row>
    <row r="1791" spans="1:25" ht="12.6" customHeight="1" x14ac:dyDescent="0.3">
      <c r="A1791" s="78"/>
      <c r="B1791" s="78"/>
      <c r="C1791" s="78"/>
      <c r="D1791" s="78"/>
      <c r="E1791" s="78"/>
      <c r="F1791" s="78"/>
      <c r="G1791" s="17" t="s">
        <v>1229</v>
      </c>
    </row>
    <row r="1792" spans="1:25" ht="12.6" customHeight="1" x14ac:dyDescent="0.3">
      <c r="A1792" s="68"/>
      <c r="B1792" s="77" t="s">
        <v>1246</v>
      </c>
      <c r="C1792" s="105">
        <f>E1792+D1792+F1792</f>
        <v>306.39999999999998</v>
      </c>
      <c r="D1792" s="105">
        <f>SUMIF(N1777:N1791,M1792,D1777:D1791)</f>
        <v>0</v>
      </c>
      <c r="E1792" s="105">
        <f>SUMIF(N1777:N1791,M1792,E1777:E1791)</f>
        <v>306.39999999999998</v>
      </c>
      <c r="F1792" s="105">
        <f>SUMIF(N1777:N1791,M1792,F1777:F1791)</f>
        <v>0</v>
      </c>
      <c r="G1792" s="17" t="s">
        <v>1245</v>
      </c>
      <c r="M1792" s="35" t="s">
        <v>1247</v>
      </c>
      <c r="N1792" s="35" t="s">
        <v>1348</v>
      </c>
    </row>
    <row r="1793" spans="1:25" ht="12.6" customHeight="1" x14ac:dyDescent="0.3">
      <c r="A1793" s="78"/>
      <c r="B1793" s="78"/>
      <c r="C1793" s="103"/>
      <c r="D1793" s="103"/>
      <c r="E1793" s="103"/>
      <c r="F1793" s="103"/>
      <c r="G1793" s="17" t="s">
        <v>1229</v>
      </c>
    </row>
    <row r="1794" spans="1:25" ht="12.6" customHeight="1" x14ac:dyDescent="0.3">
      <c r="A1794" s="68"/>
      <c r="B1794" s="77" t="s">
        <v>2030</v>
      </c>
      <c r="C1794" s="78"/>
      <c r="D1794" s="78"/>
      <c r="E1794" s="78"/>
      <c r="F1794" s="78"/>
      <c r="G1794" s="17" t="s">
        <v>2029</v>
      </c>
    </row>
    <row r="1795" spans="1:25" ht="12.6" customHeight="1" x14ac:dyDescent="0.3">
      <c r="A1795" s="78"/>
      <c r="B1795" s="78"/>
      <c r="C1795" s="78"/>
      <c r="D1795" s="78"/>
      <c r="E1795" s="78"/>
      <c r="F1795" s="78"/>
      <c r="G1795" s="17" t="s">
        <v>1229</v>
      </c>
    </row>
    <row r="1796" spans="1:25" ht="12.6" customHeight="1" x14ac:dyDescent="0.3">
      <c r="A1796" s="68" t="s">
        <v>585</v>
      </c>
      <c r="B1796" s="102" t="str">
        <f>" 특별인부 : "&amp;TEXT(I1796,"#,##0"&amp;IF(I1796&lt;&gt;INT(I1796),".###",""))&amp;" * 0.00055  인 = "&amp;TEXT(C1796,"#,##0.0")&amp;""</f>
        <v xml:space="preserve"> 특별인부 : 221,506 * 0.00055  인 = 121.8</v>
      </c>
      <c r="C1796" s="104">
        <f>E1796+D1796+F1796</f>
        <v>121.8</v>
      </c>
      <c r="D1796" s="104">
        <f>IF(H1796=0,0,ROUNDDOWN(J1796*H1796,1))</f>
        <v>121.8</v>
      </c>
      <c r="E1796" s="104">
        <f>IF(H1796=0,0,ROUNDDOWN(K1796*H1796,1))</f>
        <v>0</v>
      </c>
      <c r="F1796" s="104">
        <f>IF(H1796=0,0,ROUNDDOWN(L1796*H1796,1))</f>
        <v>0</v>
      </c>
      <c r="G1796" s="17" t="s">
        <v>2031</v>
      </c>
      <c r="H1796" s="109">
        <v>5.5000000010000001E-4</v>
      </c>
      <c r="I1796" s="110">
        <f>K1796+J1796+L1796</f>
        <v>221506</v>
      </c>
      <c r="J1796" s="39">
        <f>노무비목록표!E10</f>
        <v>221506</v>
      </c>
      <c r="M1796" s="35" t="s">
        <v>1405</v>
      </c>
      <c r="N1796" s="35" t="s">
        <v>1247</v>
      </c>
      <c r="X1796" s="111" t="str">
        <f>노무비목록표!B10&amp;" / "&amp;노무비목록표!C10</f>
        <v xml:space="preserve">특별인부 / </v>
      </c>
      <c r="Y1796" s="3" t="str">
        <f ca="1">HYPERLINK("#"&amp;노무비목록표!G2&amp;"!A"&amp;ROW(노무비목록표!A10),"L00015 →")</f>
        <v>L00015 →</v>
      </c>
    </row>
    <row r="1797" spans="1:25" ht="12.6" customHeight="1" x14ac:dyDescent="0.3">
      <c r="A1797" s="78"/>
      <c r="B1797" s="78"/>
      <c r="C1797" s="78"/>
      <c r="D1797" s="78"/>
      <c r="E1797" s="78"/>
      <c r="F1797" s="78"/>
      <c r="G1797" s="17" t="s">
        <v>1229</v>
      </c>
    </row>
    <row r="1798" spans="1:25" ht="12.6" customHeight="1" x14ac:dyDescent="0.3">
      <c r="A1798" s="68" t="s">
        <v>588</v>
      </c>
      <c r="B1798" s="102" t="str">
        <f>" 보통인부 : "&amp;TEXT(I1798,"#,##0"&amp;IF(I1798&lt;&gt;INT(I1798),".###",""))&amp;" * 0.00838  인  = "&amp;TEXT(C1798,"#,##0.0")&amp;""</f>
        <v xml:space="preserve"> 보통인부 : 169,804 * 0.00838  인  = 1,422.9</v>
      </c>
      <c r="C1798" s="104">
        <f>E1798+D1798+F1798</f>
        <v>1422.9</v>
      </c>
      <c r="D1798" s="104">
        <f>IF(H1798=0,0,ROUNDDOWN(J1798*H1798,1))</f>
        <v>1422.9</v>
      </c>
      <c r="E1798" s="104">
        <f>IF(H1798=0,0,ROUNDDOWN(K1798*H1798,1))</f>
        <v>0</v>
      </c>
      <c r="F1798" s="104">
        <f>IF(H1798=0,0,ROUNDDOWN(L1798*H1798,1))</f>
        <v>0</v>
      </c>
      <c r="G1798" s="17" t="s">
        <v>2032</v>
      </c>
      <c r="H1798" s="109">
        <v>8.3800000001000002E-3</v>
      </c>
      <c r="I1798" s="110">
        <f>K1798+J1798+L1798</f>
        <v>169804</v>
      </c>
      <c r="J1798" s="39">
        <f>노무비목록표!E11</f>
        <v>169804</v>
      </c>
      <c r="M1798" s="35" t="s">
        <v>1018</v>
      </c>
      <c r="N1798" s="35" t="s">
        <v>1247</v>
      </c>
      <c r="X1798" s="111" t="str">
        <f>노무비목록표!B11&amp;" / "&amp;노무비목록표!C11</f>
        <v xml:space="preserve">보통인부 / </v>
      </c>
      <c r="Y1798" s="3" t="str">
        <f ca="1">HYPERLINK("#"&amp;노무비목록표!G2&amp;"!A"&amp;ROW(노무비목록표!A11),"L00016 →")</f>
        <v>L00016 →</v>
      </c>
    </row>
    <row r="1799" spans="1:25" ht="12.6" customHeight="1" x14ac:dyDescent="0.3">
      <c r="A1799" s="78"/>
      <c r="B1799" s="78"/>
      <c r="C1799" s="78"/>
      <c r="D1799" s="78"/>
      <c r="E1799" s="78"/>
      <c r="F1799" s="78"/>
      <c r="G1799" s="17" t="s">
        <v>1229</v>
      </c>
    </row>
    <row r="1800" spans="1:25" ht="12.6" customHeight="1" x14ac:dyDescent="0.3">
      <c r="A1800" s="68"/>
      <c r="B1800" s="77" t="s">
        <v>1246</v>
      </c>
      <c r="C1800" s="105">
        <f>E1800+D1800+F1800</f>
        <v>1544.7</v>
      </c>
      <c r="D1800" s="105">
        <f>SUMIF(N1793:N1799,M1800,D1793:D1799)</f>
        <v>1544.7</v>
      </c>
      <c r="E1800" s="105">
        <f>SUMIF(N1793:N1799,M1800,E1793:E1799)</f>
        <v>0</v>
      </c>
      <c r="F1800" s="105">
        <f>SUMIF(N1793:N1799,M1800,F1793:F1799)</f>
        <v>0</v>
      </c>
      <c r="G1800" s="17" t="s">
        <v>1245</v>
      </c>
      <c r="M1800" s="35" t="s">
        <v>1247</v>
      </c>
      <c r="N1800" s="35" t="s">
        <v>1348</v>
      </c>
    </row>
    <row r="1801" spans="1:25" ht="12.6" customHeight="1" x14ac:dyDescent="0.3">
      <c r="A1801" s="78"/>
      <c r="B1801" s="78"/>
      <c r="C1801" s="103"/>
      <c r="D1801" s="103"/>
      <c r="E1801" s="103"/>
      <c r="F1801" s="103"/>
      <c r="G1801" s="17" t="s">
        <v>1229</v>
      </c>
    </row>
    <row r="1802" spans="1:25" ht="12.6" customHeight="1" x14ac:dyDescent="0.3">
      <c r="A1802" s="68"/>
      <c r="B1802" s="77" t="s">
        <v>1101</v>
      </c>
      <c r="C1802" s="105">
        <f>E1802+D1802+F1802</f>
        <v>1851.1</v>
      </c>
      <c r="D1802" s="105">
        <f>SUMIF(N1777:N1801,M1802,D1777:D1801)</f>
        <v>1544.7</v>
      </c>
      <c r="E1802" s="105">
        <f>SUMIF(N1777:N1801,M1802,E1777:E1801)</f>
        <v>306.39999999999998</v>
      </c>
      <c r="F1802" s="105">
        <f>SUMIF(N1777:N1801,M1802,F1777:F1801)</f>
        <v>0</v>
      </c>
      <c r="G1802" s="17" t="s">
        <v>1347</v>
      </c>
      <c r="M1802" s="35" t="s">
        <v>1348</v>
      </c>
      <c r="N1802" s="35" t="s">
        <v>1011</v>
      </c>
    </row>
    <row r="1803" spans="1:25" ht="12.6" customHeight="1" x14ac:dyDescent="0.3">
      <c r="A1803" s="78"/>
      <c r="B1803" s="78"/>
      <c r="C1803" s="103"/>
      <c r="D1803" s="103"/>
      <c r="E1803" s="103"/>
      <c r="F1803" s="103"/>
    </row>
    <row r="1804" spans="1:25" ht="12.6" customHeight="1" x14ac:dyDescent="0.3">
      <c r="A1804" s="78"/>
      <c r="B1804" s="78"/>
      <c r="C1804" s="78"/>
      <c r="D1804" s="78"/>
      <c r="E1804" s="78"/>
      <c r="F1804" s="78"/>
    </row>
    <row r="1805" spans="1:25" ht="12.6" customHeight="1" x14ac:dyDescent="0.3">
      <c r="A1805" s="78"/>
      <c r="B1805" s="78"/>
      <c r="C1805" s="78"/>
      <c r="D1805" s="78"/>
      <c r="E1805" s="78"/>
      <c r="F1805" s="78"/>
    </row>
    <row r="1806" spans="1:25" ht="12.6" customHeight="1" x14ac:dyDescent="0.3">
      <c r="A1806" s="56"/>
      <c r="B1806" s="56"/>
      <c r="C1806" s="56"/>
      <c r="D1806" s="56"/>
      <c r="E1806" s="56"/>
      <c r="F1806" s="56"/>
    </row>
    <row r="1807" spans="1:25" ht="12.6" customHeight="1" x14ac:dyDescent="0.3">
      <c r="A1807" s="143" t="s">
        <v>1101</v>
      </c>
      <c r="B1807" s="144"/>
      <c r="C1807" s="54">
        <f>E1807+D1807+F1807</f>
        <v>1850</v>
      </c>
      <c r="D1807" s="52">
        <f>ROUNDDOWN(SUMIF(N1777:N1802,M1807,D1777:D1802),0)</f>
        <v>1544</v>
      </c>
      <c r="E1807" s="64">
        <f>ROUNDDOWN(SUMIF(N1777:N1802,M1807,E1777:E1802),0)</f>
        <v>306</v>
      </c>
      <c r="F1807" s="54">
        <f>ROUNDDOWN(SUMIF(N1777:N1802,M1807,F1777:F1802),0)</f>
        <v>0</v>
      </c>
      <c r="M1807" s="35" t="s">
        <v>1011</v>
      </c>
      <c r="N1807" s="35" t="s">
        <v>1102</v>
      </c>
    </row>
    <row r="1808" spans="1:25" ht="12.6" customHeight="1" x14ac:dyDescent="0.3">
      <c r="A1808" s="143" t="s">
        <v>1103</v>
      </c>
      <c r="B1808" s="144"/>
      <c r="C1808" s="54">
        <f>E1808+D1808+F1808</f>
        <v>1622</v>
      </c>
      <c r="D1808" s="52">
        <f>ROUNDDOWN(D1807*H1808/100,0)</f>
        <v>1354</v>
      </c>
      <c r="E1808" s="64">
        <f>ROUNDDOWN(E1807*H1808/100,0)</f>
        <v>268</v>
      </c>
      <c r="F1808" s="54">
        <f>ROUNDDOWN(F1807*H1808/100,0)</f>
        <v>0</v>
      </c>
      <c r="H1808" s="37">
        <v>87.745000000000005</v>
      </c>
      <c r="M1808" s="35" t="s">
        <v>1102</v>
      </c>
    </row>
    <row r="1809" spans="1:13" ht="12.6" customHeight="1" x14ac:dyDescent="0.3">
      <c r="A1809" s="100" t="s">
        <v>276</v>
      </c>
      <c r="B1809" s="101" t="s">
        <v>272</v>
      </c>
      <c r="C1809" s="150">
        <f>C1947</f>
        <v>1514976</v>
      </c>
      <c r="D1809" s="150">
        <f>D1947</f>
        <v>0</v>
      </c>
      <c r="E1809" s="150">
        <f>E1947</f>
        <v>0</v>
      </c>
      <c r="F1809" s="150">
        <f>F1947</f>
        <v>1514976</v>
      </c>
      <c r="G1809" s="97" t="str">
        <f>HYPERLINK("#G"&amp;ROW(G1914),"_x0005_`BDCOD|D01493_x0007_`POSS|"&amp;ROW(G1811)&amp;"_x0007_`POSE|"&amp;ROW(G1914)&amp;"_x0007_`")</f>
        <v>_x0005_`BDCOD|D01493_x0007_`POSS|1811_x0007_`POSE|1914_x0007_`</v>
      </c>
    </row>
    <row r="1810" spans="1:13" ht="12.6" customHeight="1" x14ac:dyDescent="0.3">
      <c r="A1810" s="83"/>
      <c r="B1810" s="101" t="s">
        <v>271</v>
      </c>
      <c r="C1810" s="139"/>
      <c r="D1810" s="139"/>
      <c r="E1810" s="139"/>
      <c r="F1810" s="139"/>
      <c r="M1810" s="35" t="s">
        <v>276</v>
      </c>
    </row>
    <row r="1811" spans="1:13" ht="12.6" customHeight="1" x14ac:dyDescent="0.3">
      <c r="A1811" s="68"/>
      <c r="B1811" s="77" t="s">
        <v>2034</v>
      </c>
      <c r="C1811" s="103"/>
      <c r="D1811" s="103"/>
      <c r="E1811" s="103"/>
      <c r="F1811" s="103"/>
      <c r="G1811" s="17" t="s">
        <v>2033</v>
      </c>
    </row>
    <row r="1812" spans="1:13" ht="12.6" customHeight="1" x14ac:dyDescent="0.3">
      <c r="A1812" s="78"/>
      <c r="B1812" s="78"/>
      <c r="C1812" s="78"/>
      <c r="D1812" s="78"/>
      <c r="E1812" s="78"/>
      <c r="F1812" s="78"/>
      <c r="G1812" s="17" t="s">
        <v>1229</v>
      </c>
    </row>
    <row r="1813" spans="1:13" ht="12.6" customHeight="1" x14ac:dyDescent="0.3">
      <c r="A1813" s="68"/>
      <c r="B1813" s="77" t="s">
        <v>2036</v>
      </c>
      <c r="C1813" s="78"/>
      <c r="D1813" s="78"/>
      <c r="E1813" s="78"/>
      <c r="F1813" s="78"/>
      <c r="G1813" s="17" t="s">
        <v>2035</v>
      </c>
    </row>
    <row r="1814" spans="1:13" ht="12.6" customHeight="1" x14ac:dyDescent="0.3">
      <c r="A1814" s="78"/>
      <c r="B1814" s="78"/>
      <c r="C1814" s="78"/>
      <c r="D1814" s="78"/>
      <c r="E1814" s="78"/>
      <c r="F1814" s="78"/>
      <c r="G1814" s="17" t="s">
        <v>1229</v>
      </c>
    </row>
    <row r="1815" spans="1:13" ht="12.6" customHeight="1" x14ac:dyDescent="0.3">
      <c r="A1815" s="68"/>
      <c r="B1815" s="77" t="s">
        <v>2038</v>
      </c>
      <c r="C1815" s="78"/>
      <c r="D1815" s="78"/>
      <c r="E1815" s="78"/>
      <c r="F1815" s="78"/>
      <c r="G1815" s="17" t="s">
        <v>2037</v>
      </c>
    </row>
    <row r="1816" spans="1:13" ht="12.6" customHeight="1" x14ac:dyDescent="0.3">
      <c r="A1816" s="78"/>
      <c r="B1816" s="78"/>
      <c r="C1816" s="78"/>
      <c r="D1816" s="78"/>
      <c r="E1816" s="78"/>
      <c r="F1816" s="78"/>
      <c r="G1816" s="17" t="s">
        <v>1229</v>
      </c>
    </row>
    <row r="1817" spans="1:13" ht="12.6" customHeight="1" x14ac:dyDescent="0.3">
      <c r="A1817" s="68"/>
      <c r="B1817" s="77" t="s">
        <v>2040</v>
      </c>
      <c r="C1817" s="78"/>
      <c r="D1817" s="78"/>
      <c r="E1817" s="78"/>
      <c r="F1817" s="78"/>
      <c r="G1817" s="17" t="s">
        <v>2039</v>
      </c>
    </row>
    <row r="1818" spans="1:13" ht="12.6" customHeight="1" x14ac:dyDescent="0.3">
      <c r="A1818" s="78"/>
      <c r="B1818" s="78"/>
      <c r="C1818" s="78"/>
      <c r="D1818" s="78"/>
      <c r="E1818" s="78"/>
      <c r="F1818" s="78"/>
      <c r="G1818" s="17" t="s">
        <v>1229</v>
      </c>
    </row>
    <row r="1819" spans="1:13" ht="12.6" customHeight="1" x14ac:dyDescent="0.3">
      <c r="A1819" s="68"/>
      <c r="B1819" s="77" t="s">
        <v>2042</v>
      </c>
      <c r="C1819" s="78"/>
      <c r="D1819" s="78"/>
      <c r="E1819" s="78"/>
      <c r="F1819" s="78"/>
      <c r="G1819" s="17" t="s">
        <v>2041</v>
      </c>
    </row>
    <row r="1820" spans="1:13" ht="12.6" customHeight="1" x14ac:dyDescent="0.3">
      <c r="A1820" s="78"/>
      <c r="B1820" s="78"/>
      <c r="C1820" s="78"/>
      <c r="D1820" s="78"/>
      <c r="E1820" s="78"/>
      <c r="F1820" s="78"/>
      <c r="G1820" s="17" t="s">
        <v>1229</v>
      </c>
    </row>
    <row r="1821" spans="1:13" ht="12.6" customHeight="1" x14ac:dyDescent="0.3">
      <c r="A1821" s="68"/>
      <c r="B1821" s="77" t="s">
        <v>2044</v>
      </c>
      <c r="C1821" s="78"/>
      <c r="D1821" s="78"/>
      <c r="E1821" s="78"/>
      <c r="F1821" s="78"/>
      <c r="G1821" s="17" t="s">
        <v>2043</v>
      </c>
    </row>
    <row r="1822" spans="1:13" ht="12.6" customHeight="1" x14ac:dyDescent="0.3">
      <c r="A1822" s="78"/>
      <c r="B1822" s="78"/>
      <c r="C1822" s="78"/>
      <c r="D1822" s="78"/>
      <c r="E1822" s="78"/>
      <c r="F1822" s="78"/>
      <c r="G1822" s="17" t="s">
        <v>1229</v>
      </c>
    </row>
    <row r="1823" spans="1:13" ht="12.6" customHeight="1" x14ac:dyDescent="0.3">
      <c r="A1823" s="68"/>
      <c r="B1823" s="77" t="s">
        <v>2046</v>
      </c>
      <c r="C1823" s="78"/>
      <c r="D1823" s="78"/>
      <c r="E1823" s="78"/>
      <c r="F1823" s="78"/>
      <c r="G1823" s="17" t="s">
        <v>2045</v>
      </c>
    </row>
    <row r="1824" spans="1:13" ht="12.6" customHeight="1" x14ac:dyDescent="0.3">
      <c r="A1824" s="78"/>
      <c r="B1824" s="78"/>
      <c r="C1824" s="78"/>
      <c r="D1824" s="78"/>
      <c r="E1824" s="78"/>
      <c r="F1824" s="78"/>
      <c r="G1824" s="17" t="s">
        <v>1229</v>
      </c>
    </row>
    <row r="1825" spans="1:7" ht="12.6" customHeight="1" x14ac:dyDescent="0.3">
      <c r="A1825" s="68"/>
      <c r="B1825" s="77" t="s">
        <v>2048</v>
      </c>
      <c r="C1825" s="78"/>
      <c r="D1825" s="78"/>
      <c r="E1825" s="78"/>
      <c r="F1825" s="78"/>
      <c r="G1825" s="17" t="s">
        <v>2047</v>
      </c>
    </row>
    <row r="1826" spans="1:7" ht="12.6" customHeight="1" x14ac:dyDescent="0.3">
      <c r="A1826" s="78"/>
      <c r="B1826" s="78"/>
      <c r="C1826" s="78"/>
      <c r="D1826" s="78"/>
      <c r="E1826" s="78"/>
      <c r="F1826" s="78"/>
      <c r="G1826" s="17" t="s">
        <v>1229</v>
      </c>
    </row>
    <row r="1827" spans="1:7" ht="12.6" customHeight="1" x14ac:dyDescent="0.3">
      <c r="A1827" s="68"/>
      <c r="B1827" s="77" t="s">
        <v>2050</v>
      </c>
      <c r="C1827" s="78"/>
      <c r="D1827" s="78"/>
      <c r="E1827" s="78"/>
      <c r="F1827" s="78"/>
      <c r="G1827" s="17" t="s">
        <v>2049</v>
      </c>
    </row>
    <row r="1828" spans="1:7" ht="12.6" customHeight="1" x14ac:dyDescent="0.3">
      <c r="A1828" s="78"/>
      <c r="B1828" s="78"/>
      <c r="C1828" s="78"/>
      <c r="D1828" s="78"/>
      <c r="E1828" s="78"/>
      <c r="F1828" s="78"/>
      <c r="G1828" s="17" t="s">
        <v>1229</v>
      </c>
    </row>
    <row r="1829" spans="1:7" ht="12.6" customHeight="1" x14ac:dyDescent="0.3">
      <c r="A1829" s="68"/>
      <c r="B1829" s="77" t="s">
        <v>2052</v>
      </c>
      <c r="C1829" s="78"/>
      <c r="D1829" s="78"/>
      <c r="E1829" s="78"/>
      <c r="F1829" s="78"/>
      <c r="G1829" s="17" t="s">
        <v>2051</v>
      </c>
    </row>
    <row r="1830" spans="1:7" ht="12.6" customHeight="1" x14ac:dyDescent="0.3">
      <c r="A1830" s="78"/>
      <c r="B1830" s="78"/>
      <c r="C1830" s="78"/>
      <c r="D1830" s="78"/>
      <c r="E1830" s="78"/>
      <c r="F1830" s="78"/>
      <c r="G1830" s="17" t="s">
        <v>1229</v>
      </c>
    </row>
    <row r="1831" spans="1:7" ht="12.6" customHeight="1" x14ac:dyDescent="0.3">
      <c r="A1831" s="68"/>
      <c r="B1831" s="77" t="s">
        <v>2054</v>
      </c>
      <c r="C1831" s="78"/>
      <c r="D1831" s="78"/>
      <c r="E1831" s="78"/>
      <c r="F1831" s="78"/>
      <c r="G1831" s="17" t="s">
        <v>2053</v>
      </c>
    </row>
    <row r="1832" spans="1:7" ht="12.6" customHeight="1" x14ac:dyDescent="0.3">
      <c r="A1832" s="78"/>
      <c r="B1832" s="78"/>
      <c r="C1832" s="78"/>
      <c r="D1832" s="78"/>
      <c r="E1832" s="78"/>
      <c r="F1832" s="78"/>
      <c r="G1832" s="17" t="s">
        <v>1229</v>
      </c>
    </row>
    <row r="1833" spans="1:7" ht="12.6" customHeight="1" x14ac:dyDescent="0.3">
      <c r="A1833" s="68"/>
      <c r="B1833" s="77" t="s">
        <v>2056</v>
      </c>
      <c r="C1833" s="78"/>
      <c r="D1833" s="78"/>
      <c r="E1833" s="78"/>
      <c r="F1833" s="78"/>
      <c r="G1833" s="17" t="s">
        <v>2055</v>
      </c>
    </row>
    <row r="1834" spans="1:7" ht="12.6" customHeight="1" x14ac:dyDescent="0.3">
      <c r="A1834" s="78"/>
      <c r="B1834" s="78"/>
      <c r="C1834" s="78"/>
      <c r="D1834" s="78"/>
      <c r="E1834" s="78"/>
      <c r="F1834" s="78"/>
      <c r="G1834" s="17" t="s">
        <v>1229</v>
      </c>
    </row>
    <row r="1835" spans="1:7" ht="12.6" customHeight="1" x14ac:dyDescent="0.3">
      <c r="A1835" s="68"/>
      <c r="B1835" s="77" t="s">
        <v>2058</v>
      </c>
      <c r="C1835" s="78"/>
      <c r="D1835" s="78"/>
      <c r="E1835" s="78"/>
      <c r="F1835" s="78"/>
      <c r="G1835" s="17" t="s">
        <v>2057</v>
      </c>
    </row>
    <row r="1836" spans="1:7" ht="12.6" customHeight="1" x14ac:dyDescent="0.3">
      <c r="A1836" s="78"/>
      <c r="B1836" s="78"/>
      <c r="C1836" s="78"/>
      <c r="D1836" s="78"/>
      <c r="E1836" s="78"/>
      <c r="F1836" s="78"/>
      <c r="G1836" s="17" t="s">
        <v>1229</v>
      </c>
    </row>
    <row r="1837" spans="1:7" ht="12.6" customHeight="1" x14ac:dyDescent="0.3">
      <c r="A1837" s="68"/>
      <c r="B1837" s="77" t="s">
        <v>2060</v>
      </c>
      <c r="C1837" s="78"/>
      <c r="D1837" s="78"/>
      <c r="E1837" s="78"/>
      <c r="F1837" s="78"/>
      <c r="G1837" s="17" t="s">
        <v>2059</v>
      </c>
    </row>
    <row r="1838" spans="1:7" ht="12.6" customHeight="1" x14ac:dyDescent="0.3">
      <c r="A1838" s="78"/>
      <c r="B1838" s="78"/>
      <c r="C1838" s="78"/>
      <c r="D1838" s="78"/>
      <c r="E1838" s="78"/>
      <c r="F1838" s="78"/>
      <c r="G1838" s="17" t="s">
        <v>1229</v>
      </c>
    </row>
    <row r="1839" spans="1:7" ht="12.6" customHeight="1" x14ac:dyDescent="0.3">
      <c r="A1839" s="68"/>
      <c r="B1839" s="77" t="s">
        <v>2062</v>
      </c>
      <c r="C1839" s="78"/>
      <c r="D1839" s="78"/>
      <c r="E1839" s="78"/>
      <c r="F1839" s="78"/>
      <c r="G1839" s="17" t="s">
        <v>2061</v>
      </c>
    </row>
    <row r="1840" spans="1:7" ht="12.6" customHeight="1" x14ac:dyDescent="0.3">
      <c r="A1840" s="78"/>
      <c r="B1840" s="78"/>
      <c r="C1840" s="78"/>
      <c r="D1840" s="78"/>
      <c r="E1840" s="78"/>
      <c r="F1840" s="78"/>
      <c r="G1840" s="17" t="s">
        <v>1229</v>
      </c>
    </row>
    <row r="1841" spans="1:7" ht="12.6" customHeight="1" x14ac:dyDescent="0.3">
      <c r="A1841" s="68"/>
      <c r="B1841" s="77" t="s">
        <v>2064</v>
      </c>
      <c r="C1841" s="78"/>
      <c r="D1841" s="78"/>
      <c r="E1841" s="78"/>
      <c r="F1841" s="78"/>
      <c r="G1841" s="17" t="s">
        <v>2063</v>
      </c>
    </row>
    <row r="1842" spans="1:7" ht="12.6" customHeight="1" x14ac:dyDescent="0.3">
      <c r="A1842" s="78"/>
      <c r="B1842" s="78"/>
      <c r="C1842" s="78"/>
      <c r="D1842" s="78"/>
      <c r="E1842" s="78"/>
      <c r="F1842" s="78"/>
      <c r="G1842" s="17" t="s">
        <v>1229</v>
      </c>
    </row>
    <row r="1843" spans="1:7" ht="12.6" customHeight="1" x14ac:dyDescent="0.3">
      <c r="A1843" s="68"/>
      <c r="B1843" s="77" t="s">
        <v>2066</v>
      </c>
      <c r="C1843" s="78"/>
      <c r="D1843" s="78"/>
      <c r="E1843" s="78"/>
      <c r="F1843" s="78"/>
      <c r="G1843" s="17" t="s">
        <v>2065</v>
      </c>
    </row>
    <row r="1844" spans="1:7" ht="12.6" customHeight="1" x14ac:dyDescent="0.3">
      <c r="A1844" s="78"/>
      <c r="B1844" s="78"/>
      <c r="C1844" s="78"/>
      <c r="D1844" s="78"/>
      <c r="E1844" s="78"/>
      <c r="F1844" s="78"/>
      <c r="G1844" s="17" t="s">
        <v>1229</v>
      </c>
    </row>
    <row r="1845" spans="1:7" ht="12.6" customHeight="1" x14ac:dyDescent="0.3">
      <c r="A1845" s="68"/>
      <c r="B1845" s="77" t="s">
        <v>2068</v>
      </c>
      <c r="C1845" s="78"/>
      <c r="D1845" s="78"/>
      <c r="E1845" s="78"/>
      <c r="F1845" s="78"/>
      <c r="G1845" s="17" t="s">
        <v>2067</v>
      </c>
    </row>
    <row r="1846" spans="1:7" ht="12.6" customHeight="1" x14ac:dyDescent="0.3">
      <c r="A1846" s="78"/>
      <c r="B1846" s="78"/>
      <c r="C1846" s="78"/>
      <c r="D1846" s="78"/>
      <c r="E1846" s="78"/>
      <c r="F1846" s="78"/>
      <c r="G1846" s="17" t="s">
        <v>1229</v>
      </c>
    </row>
    <row r="1847" spans="1:7" ht="12.6" customHeight="1" x14ac:dyDescent="0.3">
      <c r="A1847" s="68"/>
      <c r="B1847" s="77" t="s">
        <v>2070</v>
      </c>
      <c r="C1847" s="78"/>
      <c r="D1847" s="78"/>
      <c r="E1847" s="78"/>
      <c r="F1847" s="78"/>
      <c r="G1847" s="17" t="s">
        <v>2069</v>
      </c>
    </row>
    <row r="1848" spans="1:7" ht="12.6" customHeight="1" x14ac:dyDescent="0.3">
      <c r="A1848" s="78"/>
      <c r="B1848" s="78"/>
      <c r="C1848" s="78"/>
      <c r="D1848" s="78"/>
      <c r="E1848" s="78"/>
      <c r="F1848" s="78"/>
      <c r="G1848" s="17" t="s">
        <v>1229</v>
      </c>
    </row>
    <row r="1849" spans="1:7" ht="12.6" customHeight="1" x14ac:dyDescent="0.3">
      <c r="A1849" s="68"/>
      <c r="B1849" s="77" t="s">
        <v>2072</v>
      </c>
      <c r="C1849" s="78"/>
      <c r="D1849" s="78"/>
      <c r="E1849" s="78"/>
      <c r="F1849" s="78"/>
      <c r="G1849" s="17" t="s">
        <v>2071</v>
      </c>
    </row>
    <row r="1850" spans="1:7" ht="12.6" customHeight="1" x14ac:dyDescent="0.3">
      <c r="A1850" s="78"/>
      <c r="B1850" s="78"/>
      <c r="C1850" s="78"/>
      <c r="D1850" s="78"/>
      <c r="E1850" s="78"/>
      <c r="F1850" s="78"/>
      <c r="G1850" s="17" t="s">
        <v>1229</v>
      </c>
    </row>
    <row r="1851" spans="1:7" ht="12.6" customHeight="1" x14ac:dyDescent="0.3">
      <c r="A1851" s="68"/>
      <c r="B1851" s="77" t="s">
        <v>2074</v>
      </c>
      <c r="C1851" s="78"/>
      <c r="D1851" s="78"/>
      <c r="E1851" s="78"/>
      <c r="F1851" s="78"/>
      <c r="G1851" s="17" t="s">
        <v>2073</v>
      </c>
    </row>
    <row r="1852" spans="1:7" ht="12.6" customHeight="1" x14ac:dyDescent="0.3">
      <c r="A1852" s="78"/>
      <c r="B1852" s="78"/>
      <c r="C1852" s="78"/>
      <c r="D1852" s="78"/>
      <c r="E1852" s="78"/>
      <c r="F1852" s="78"/>
      <c r="G1852" s="17" t="s">
        <v>1496</v>
      </c>
    </row>
    <row r="1853" spans="1:7" ht="12.6" customHeight="1" x14ac:dyDescent="0.3">
      <c r="A1853" s="68"/>
      <c r="B1853" s="77" t="s">
        <v>2048</v>
      </c>
      <c r="C1853" s="78"/>
      <c r="D1853" s="78"/>
      <c r="E1853" s="78"/>
      <c r="F1853" s="78"/>
      <c r="G1853" s="17" t="s">
        <v>2047</v>
      </c>
    </row>
    <row r="1854" spans="1:7" ht="12.6" customHeight="1" x14ac:dyDescent="0.3">
      <c r="A1854" s="78"/>
      <c r="B1854" s="78"/>
      <c r="C1854" s="78"/>
      <c r="D1854" s="78"/>
      <c r="E1854" s="78"/>
      <c r="F1854" s="78"/>
      <c r="G1854" s="17" t="s">
        <v>1229</v>
      </c>
    </row>
    <row r="1855" spans="1:7" ht="12.6" customHeight="1" x14ac:dyDescent="0.3">
      <c r="A1855" s="68"/>
      <c r="B1855" s="77" t="s">
        <v>2076</v>
      </c>
      <c r="C1855" s="78"/>
      <c r="D1855" s="78"/>
      <c r="E1855" s="78"/>
      <c r="F1855" s="78"/>
      <c r="G1855" s="17" t="s">
        <v>2075</v>
      </c>
    </row>
    <row r="1856" spans="1:7" ht="12.6" customHeight="1" x14ac:dyDescent="0.3">
      <c r="A1856" s="78"/>
      <c r="B1856" s="78"/>
      <c r="C1856" s="78"/>
      <c r="D1856" s="78"/>
      <c r="E1856" s="78"/>
      <c r="F1856" s="78"/>
      <c r="G1856" s="17" t="s">
        <v>1229</v>
      </c>
    </row>
    <row r="1857" spans="1:25" ht="12.6" customHeight="1" x14ac:dyDescent="0.3">
      <c r="A1857" s="68"/>
      <c r="B1857" s="77" t="s">
        <v>2052</v>
      </c>
      <c r="C1857" s="78"/>
      <c r="D1857" s="78"/>
      <c r="E1857" s="78"/>
      <c r="F1857" s="78"/>
      <c r="G1857" s="17" t="s">
        <v>2051</v>
      </c>
    </row>
    <row r="1858" spans="1:25" ht="12.6" customHeight="1" x14ac:dyDescent="0.3">
      <c r="A1858" s="78"/>
      <c r="B1858" s="78"/>
      <c r="C1858" s="78"/>
      <c r="D1858" s="78"/>
      <c r="E1858" s="78"/>
      <c r="F1858" s="78"/>
      <c r="G1858" s="17" t="s">
        <v>1229</v>
      </c>
    </row>
    <row r="1859" spans="1:25" ht="12.6" customHeight="1" x14ac:dyDescent="0.3">
      <c r="A1859" s="68"/>
      <c r="B1859" s="77" t="s">
        <v>2078</v>
      </c>
      <c r="C1859" s="78"/>
      <c r="D1859" s="78"/>
      <c r="E1859" s="78"/>
      <c r="F1859" s="78"/>
      <c r="G1859" s="17" t="s">
        <v>2077</v>
      </c>
    </row>
    <row r="1860" spans="1:25" ht="12.6" customHeight="1" x14ac:dyDescent="0.3">
      <c r="A1860" s="78"/>
      <c r="B1860" s="78"/>
      <c r="C1860" s="78"/>
      <c r="D1860" s="78"/>
      <c r="E1860" s="78"/>
      <c r="F1860" s="78"/>
      <c r="G1860" s="17" t="s">
        <v>1229</v>
      </c>
    </row>
    <row r="1861" spans="1:25" ht="12.6" customHeight="1" x14ac:dyDescent="0.3">
      <c r="A1861" s="68"/>
      <c r="B1861" s="77" t="s">
        <v>2056</v>
      </c>
      <c r="C1861" s="78"/>
      <c r="D1861" s="78"/>
      <c r="E1861" s="78"/>
      <c r="F1861" s="78"/>
      <c r="G1861" s="17" t="s">
        <v>2055</v>
      </c>
    </row>
    <row r="1862" spans="1:25" ht="12.6" customHeight="1" x14ac:dyDescent="0.3">
      <c r="A1862" s="78"/>
      <c r="B1862" s="78"/>
      <c r="C1862" s="78"/>
      <c r="D1862" s="78"/>
      <c r="E1862" s="78"/>
      <c r="F1862" s="78"/>
      <c r="G1862" s="17" t="s">
        <v>1229</v>
      </c>
    </row>
    <row r="1863" spans="1:25" ht="12.6" customHeight="1" x14ac:dyDescent="0.3">
      <c r="A1863" s="68"/>
      <c r="B1863" s="77" t="s">
        <v>2079</v>
      </c>
      <c r="C1863" s="78"/>
      <c r="D1863" s="78"/>
      <c r="E1863" s="78"/>
      <c r="F1863" s="78"/>
      <c r="G1863" s="17" t="s">
        <v>2057</v>
      </c>
    </row>
    <row r="1864" spans="1:25" ht="12.6" customHeight="1" x14ac:dyDescent="0.3">
      <c r="A1864" s="78"/>
      <c r="B1864" s="78"/>
      <c r="C1864" s="78"/>
      <c r="D1864" s="78"/>
      <c r="E1864" s="78"/>
      <c r="F1864" s="78"/>
      <c r="G1864" s="17" t="s">
        <v>1229</v>
      </c>
    </row>
    <row r="1865" spans="1:25" ht="12.6" customHeight="1" x14ac:dyDescent="0.3">
      <c r="A1865" s="68"/>
      <c r="B1865" s="77" t="s">
        <v>2080</v>
      </c>
      <c r="C1865" s="78"/>
      <c r="D1865" s="78"/>
      <c r="E1865" s="78"/>
      <c r="F1865" s="78"/>
      <c r="G1865" s="17" t="s">
        <v>2059</v>
      </c>
    </row>
    <row r="1866" spans="1:25" ht="12.6" customHeight="1" x14ac:dyDescent="0.3">
      <c r="A1866" s="78"/>
      <c r="B1866" s="78"/>
      <c r="C1866" s="78"/>
      <c r="D1866" s="78"/>
      <c r="E1866" s="78"/>
      <c r="F1866" s="78"/>
      <c r="G1866" s="17" t="s">
        <v>1229</v>
      </c>
    </row>
    <row r="1867" spans="1:25" ht="12.6" customHeight="1" x14ac:dyDescent="0.3">
      <c r="A1867" s="68"/>
      <c r="B1867" s="77" t="s">
        <v>2082</v>
      </c>
      <c r="C1867" s="78"/>
      <c r="D1867" s="78"/>
      <c r="E1867" s="78"/>
      <c r="F1867" s="78"/>
      <c r="G1867" s="17" t="s">
        <v>2081</v>
      </c>
    </row>
    <row r="1868" spans="1:25" ht="12.6" customHeight="1" x14ac:dyDescent="0.3">
      <c r="A1868" s="78"/>
      <c r="B1868" s="78"/>
      <c r="C1868" s="78"/>
      <c r="D1868" s="78"/>
      <c r="E1868" s="78"/>
      <c r="F1868" s="78"/>
      <c r="G1868" s="17" t="s">
        <v>1229</v>
      </c>
    </row>
    <row r="1869" spans="1:25" ht="12.6" customHeight="1" x14ac:dyDescent="0.3">
      <c r="A1869" s="68" t="s">
        <v>2084</v>
      </c>
      <c r="B1869" s="102" t="str">
        <f>"  노무비 : "&amp;TEXT(I1869,"#,##0"&amp;IF(I1869&lt;&gt;INT(I1869),".###",""))&amp;" /Q * N1 *2 = "&amp;TEXT(C1869,"#,##0.0")&amp;""</f>
        <v xml:space="preserve">  노무비 : 57,077 /Q * N1 *2 = 713,462.5</v>
      </c>
      <c r="C1869" s="104">
        <f>E1869+D1869+F1869</f>
        <v>713462.5</v>
      </c>
      <c r="D1869" s="104">
        <f>IF(H1869=0,0,ROUNDDOWN(J1869*H1869,1))</f>
        <v>713462.5</v>
      </c>
      <c r="E1869" s="104">
        <f>IF(H1869=0,0,ROUNDDOWN(K1869*H1869,1))</f>
        <v>0</v>
      </c>
      <c r="F1869" s="104">
        <f>IF(H1869=0,0,ROUNDDOWN(L1869*H1869,1))</f>
        <v>0</v>
      </c>
      <c r="G1869" s="17" t="s">
        <v>2083</v>
      </c>
      <c r="H1869" s="109">
        <v>12.500000000000099</v>
      </c>
      <c r="I1869" s="110">
        <f>K1869+J1869+L1869</f>
        <v>57077</v>
      </c>
      <c r="J1869" s="39">
        <f>중기목록표!F15</f>
        <v>57077</v>
      </c>
      <c r="M1869" s="35" t="s">
        <v>2085</v>
      </c>
      <c r="N1869" s="35" t="s">
        <v>1247</v>
      </c>
      <c r="X1869" s="111" t="str">
        <f>중기목록표!B15&amp;" / "&amp;중기목록표!C15</f>
        <v>트럭트랙터및트레일러 / 20톤</v>
      </c>
      <c r="Y1869" s="3" t="str">
        <f ca="1">HYPERLINK("#"&amp;중기목록표!J2&amp;"!A"&amp;ROW(중기목록표!A15),"X00127 →")</f>
        <v>X00127 →</v>
      </c>
    </row>
    <row r="1870" spans="1:25" ht="12.6" customHeight="1" x14ac:dyDescent="0.3">
      <c r="A1870" s="78"/>
      <c r="B1870" s="78"/>
      <c r="C1870" s="78"/>
      <c r="D1870" s="78"/>
      <c r="E1870" s="78"/>
      <c r="F1870" s="78"/>
      <c r="G1870" s="17" t="s">
        <v>1229</v>
      </c>
    </row>
    <row r="1871" spans="1:25" ht="12.6" customHeight="1" x14ac:dyDescent="0.3">
      <c r="A1871" s="68" t="s">
        <v>2087</v>
      </c>
      <c r="B1871" s="102" t="str">
        <f>"  재료비 : "&amp;TEXT(I1871,"#,##0"&amp;IF(I1871&lt;&gt;INT(I1871),".###",""))&amp;"/Q * N1 * OH * 2 = "&amp;TEXT(C1871,"#,##0.0")&amp;""</f>
        <v xml:space="preserve">  재료비 : 31,168/Q * N1 * OH * 2 = 296,096.0</v>
      </c>
      <c r="C1871" s="104">
        <f>E1871+D1871+F1871</f>
        <v>296096</v>
      </c>
      <c r="D1871" s="104">
        <f>IF(H1871=0,0,ROUNDDOWN(J1871*H1871,1))</f>
        <v>0</v>
      </c>
      <c r="E1871" s="104">
        <f>IF(H1871=0,0,ROUNDDOWN(K1871*H1871,1))</f>
        <v>296096</v>
      </c>
      <c r="F1871" s="104">
        <f>IF(H1871=0,0,ROUNDDOWN(L1871*H1871,1))</f>
        <v>0</v>
      </c>
      <c r="G1871" s="17" t="s">
        <v>2086</v>
      </c>
      <c r="H1871" s="109">
        <v>9.5000000000000995</v>
      </c>
      <c r="I1871" s="110">
        <f>K1871+J1871+L1871</f>
        <v>31168</v>
      </c>
      <c r="K1871" s="39">
        <f>중기목록표!G15</f>
        <v>31168</v>
      </c>
      <c r="M1871" s="35" t="s">
        <v>2085</v>
      </c>
      <c r="N1871" s="35" t="s">
        <v>1247</v>
      </c>
      <c r="X1871" s="111" t="str">
        <f>중기목록표!B15&amp;" / "&amp;중기목록표!C15</f>
        <v>트럭트랙터및트레일러 / 20톤</v>
      </c>
      <c r="Y1871" s="3" t="str">
        <f ca="1">HYPERLINK("#"&amp;중기목록표!J2&amp;"!A"&amp;ROW(중기목록표!A15),"X00127 →")</f>
        <v>X00127 →</v>
      </c>
    </row>
    <row r="1872" spans="1:25" ht="12.6" customHeight="1" x14ac:dyDescent="0.3">
      <c r="A1872" s="78"/>
      <c r="B1872" s="78"/>
      <c r="C1872" s="78"/>
      <c r="D1872" s="78"/>
      <c r="E1872" s="78"/>
      <c r="F1872" s="78"/>
      <c r="G1872" s="17" t="s">
        <v>1229</v>
      </c>
    </row>
    <row r="1873" spans="1:25" ht="12.6" customHeight="1" x14ac:dyDescent="0.3">
      <c r="A1873" s="68" t="s">
        <v>2089</v>
      </c>
      <c r="B1873" s="102" t="str">
        <f>"  경   비 : "&amp;TEXT(I1873,"#,##0"&amp;IF(I1873&lt;&gt;INT(I1873),".###",""))&amp;"/Q * N1 * 2 = "&amp;TEXT(C1873,"#,##0.0")&amp;""</f>
        <v xml:space="preserve">  경   비 : 18,437/Q * N1 * 2 = 230,462.5</v>
      </c>
      <c r="C1873" s="104">
        <f>E1873+D1873+F1873</f>
        <v>230462.5</v>
      </c>
      <c r="D1873" s="104">
        <f>IF(H1873=0,0,ROUNDDOWN(J1873*H1873,1))</f>
        <v>0</v>
      </c>
      <c r="E1873" s="104">
        <f>IF(H1873=0,0,ROUNDDOWN(K1873*H1873,1))</f>
        <v>0</v>
      </c>
      <c r="F1873" s="104">
        <f>IF(H1873=0,0,ROUNDDOWN(L1873*H1873,1))</f>
        <v>230462.5</v>
      </c>
      <c r="G1873" s="17" t="s">
        <v>2088</v>
      </c>
      <c r="H1873" s="109">
        <v>12.500000000000099</v>
      </c>
      <c r="I1873" s="110">
        <f>K1873+J1873+L1873</f>
        <v>18437</v>
      </c>
      <c r="L1873" s="39">
        <f>중기목록표!H15</f>
        <v>18437</v>
      </c>
      <c r="M1873" s="35" t="s">
        <v>2085</v>
      </c>
      <c r="N1873" s="35" t="s">
        <v>1247</v>
      </c>
      <c r="X1873" s="111" t="str">
        <f>중기목록표!B15&amp;" / "&amp;중기목록표!C15</f>
        <v>트럭트랙터및트레일러 / 20톤</v>
      </c>
      <c r="Y1873" s="3" t="str">
        <f ca="1">HYPERLINK("#"&amp;중기목록표!J2&amp;"!A"&amp;ROW(중기목록표!A15),"X00127 →")</f>
        <v>X00127 →</v>
      </c>
    </row>
    <row r="1874" spans="1:25" ht="12.6" customHeight="1" x14ac:dyDescent="0.3">
      <c r="A1874" s="78"/>
      <c r="B1874" s="78"/>
      <c r="C1874" s="78"/>
      <c r="D1874" s="78"/>
      <c r="E1874" s="78"/>
      <c r="F1874" s="78"/>
      <c r="G1874" s="17" t="s">
        <v>1229</v>
      </c>
    </row>
    <row r="1875" spans="1:25" ht="12.6" customHeight="1" x14ac:dyDescent="0.3">
      <c r="A1875" s="68"/>
      <c r="B1875" s="77" t="s">
        <v>1246</v>
      </c>
      <c r="C1875" s="105">
        <f>E1875+D1875+F1875</f>
        <v>1240021</v>
      </c>
      <c r="D1875" s="105">
        <f>SUMIF(N1811:N1874,M1875,D1811:D1874)</f>
        <v>713462.5</v>
      </c>
      <c r="E1875" s="105">
        <f>SUMIF(N1811:N1874,M1875,E1811:E1874)</f>
        <v>296096</v>
      </c>
      <c r="F1875" s="105">
        <f>SUMIF(N1811:N1874,M1875,F1811:F1874)</f>
        <v>230462.5</v>
      </c>
      <c r="G1875" s="17" t="s">
        <v>1245</v>
      </c>
      <c r="M1875" s="35" t="s">
        <v>1247</v>
      </c>
      <c r="N1875" s="35" t="s">
        <v>2120</v>
      </c>
    </row>
    <row r="1876" spans="1:25" ht="12.6" customHeight="1" x14ac:dyDescent="0.3">
      <c r="A1876" s="78"/>
      <c r="B1876" s="78"/>
      <c r="C1876" s="103"/>
      <c r="D1876" s="103"/>
      <c r="E1876" s="103"/>
      <c r="F1876" s="103"/>
      <c r="G1876" s="17" t="s">
        <v>1229</v>
      </c>
    </row>
    <row r="1877" spans="1:25" ht="12.6" customHeight="1" x14ac:dyDescent="0.3">
      <c r="A1877" s="78"/>
      <c r="B1877" s="78"/>
      <c r="C1877" s="78"/>
      <c r="D1877" s="78"/>
      <c r="E1877" s="78"/>
      <c r="F1877" s="78"/>
      <c r="G1877" s="17" t="s">
        <v>1229</v>
      </c>
    </row>
    <row r="1878" spans="1:25" ht="12.6" customHeight="1" x14ac:dyDescent="0.3">
      <c r="A1878" s="68"/>
      <c r="B1878" s="77" t="s">
        <v>2091</v>
      </c>
      <c r="C1878" s="78"/>
      <c r="D1878" s="78"/>
      <c r="E1878" s="78"/>
      <c r="F1878" s="78"/>
      <c r="G1878" s="17" t="s">
        <v>2090</v>
      </c>
    </row>
    <row r="1879" spans="1:25" ht="12.6" customHeight="1" x14ac:dyDescent="0.3">
      <c r="A1879" s="78"/>
      <c r="B1879" s="78"/>
      <c r="C1879" s="78"/>
      <c r="D1879" s="78"/>
      <c r="E1879" s="78"/>
      <c r="F1879" s="78"/>
      <c r="G1879" s="17" t="s">
        <v>1229</v>
      </c>
    </row>
    <row r="1880" spans="1:25" ht="12.6" customHeight="1" x14ac:dyDescent="0.3">
      <c r="A1880" s="68"/>
      <c r="B1880" s="77" t="s">
        <v>2093</v>
      </c>
      <c r="C1880" s="78"/>
      <c r="D1880" s="78"/>
      <c r="E1880" s="78"/>
      <c r="F1880" s="78"/>
      <c r="G1880" s="17" t="s">
        <v>2092</v>
      </c>
    </row>
    <row r="1881" spans="1:25" ht="12.6" customHeight="1" x14ac:dyDescent="0.3">
      <c r="A1881" s="78"/>
      <c r="B1881" s="78"/>
      <c r="C1881" s="78"/>
      <c r="D1881" s="78"/>
      <c r="E1881" s="78"/>
      <c r="F1881" s="78"/>
      <c r="G1881" s="17" t="s">
        <v>1229</v>
      </c>
    </row>
    <row r="1882" spans="1:25" ht="12.6" customHeight="1" x14ac:dyDescent="0.3">
      <c r="A1882" s="68"/>
      <c r="B1882" s="77" t="s">
        <v>2095</v>
      </c>
      <c r="C1882" s="78"/>
      <c r="D1882" s="78"/>
      <c r="E1882" s="78"/>
      <c r="F1882" s="78"/>
      <c r="G1882" s="17" t="s">
        <v>2094</v>
      </c>
    </row>
    <row r="1883" spans="1:25" ht="12.6" customHeight="1" x14ac:dyDescent="0.3">
      <c r="A1883" s="78"/>
      <c r="B1883" s="78"/>
      <c r="C1883" s="78"/>
      <c r="D1883" s="78"/>
      <c r="E1883" s="78"/>
      <c r="F1883" s="78"/>
      <c r="G1883" s="17" t="s">
        <v>1229</v>
      </c>
    </row>
    <row r="1884" spans="1:25" ht="12.6" customHeight="1" x14ac:dyDescent="0.3">
      <c r="A1884" s="68"/>
      <c r="B1884" s="77" t="s">
        <v>2097</v>
      </c>
      <c r="C1884" s="78"/>
      <c r="D1884" s="78"/>
      <c r="E1884" s="78"/>
      <c r="F1884" s="78"/>
      <c r="G1884" s="17" t="s">
        <v>2096</v>
      </c>
    </row>
    <row r="1885" spans="1:25" ht="12.6" customHeight="1" x14ac:dyDescent="0.3">
      <c r="A1885" s="78"/>
      <c r="B1885" s="78"/>
      <c r="C1885" s="78"/>
      <c r="D1885" s="78"/>
      <c r="E1885" s="78"/>
      <c r="F1885" s="78"/>
      <c r="G1885" s="17" t="s">
        <v>1229</v>
      </c>
    </row>
    <row r="1886" spans="1:25" ht="12.6" customHeight="1" x14ac:dyDescent="0.3">
      <c r="A1886" s="68"/>
      <c r="B1886" s="77" t="s">
        <v>2099</v>
      </c>
      <c r="C1886" s="78"/>
      <c r="D1886" s="78"/>
      <c r="E1886" s="78"/>
      <c r="F1886" s="78"/>
      <c r="G1886" s="17" t="s">
        <v>2098</v>
      </c>
    </row>
    <row r="1887" spans="1:25" ht="12.6" customHeight="1" x14ac:dyDescent="0.3">
      <c r="A1887" s="78"/>
      <c r="B1887" s="78"/>
      <c r="C1887" s="78"/>
      <c r="D1887" s="78"/>
      <c r="E1887" s="78"/>
      <c r="F1887" s="78"/>
      <c r="G1887" s="17" t="s">
        <v>2100</v>
      </c>
    </row>
    <row r="1888" spans="1:25" ht="12.6" customHeight="1" x14ac:dyDescent="0.3">
      <c r="A1888" s="68"/>
      <c r="B1888" s="77" t="s">
        <v>2102</v>
      </c>
      <c r="C1888" s="78"/>
      <c r="D1888" s="78"/>
      <c r="E1888" s="78"/>
      <c r="F1888" s="78"/>
      <c r="G1888" s="17" t="s">
        <v>2101</v>
      </c>
    </row>
    <row r="1889" spans="1:25" ht="12.6" customHeight="1" x14ac:dyDescent="0.3">
      <c r="A1889" s="78"/>
      <c r="B1889" s="78"/>
      <c r="C1889" s="78"/>
      <c r="D1889" s="78"/>
      <c r="E1889" s="78"/>
      <c r="F1889" s="78"/>
      <c r="G1889" s="17" t="s">
        <v>1229</v>
      </c>
    </row>
    <row r="1890" spans="1:25" ht="12.6" customHeight="1" x14ac:dyDescent="0.3">
      <c r="A1890" s="68"/>
      <c r="B1890" s="77" t="s">
        <v>1869</v>
      </c>
      <c r="C1890" s="78"/>
      <c r="D1890" s="78"/>
      <c r="E1890" s="78"/>
      <c r="F1890" s="78"/>
      <c r="G1890" s="17" t="s">
        <v>1868</v>
      </c>
    </row>
    <row r="1891" spans="1:25" ht="12.6" customHeight="1" x14ac:dyDescent="0.3">
      <c r="A1891" s="78"/>
      <c r="B1891" s="78"/>
      <c r="C1891" s="78"/>
      <c r="D1891" s="78"/>
      <c r="E1891" s="78"/>
      <c r="F1891" s="78"/>
      <c r="G1891" s="17" t="s">
        <v>1229</v>
      </c>
    </row>
    <row r="1892" spans="1:25" ht="12.6" customHeight="1" x14ac:dyDescent="0.3">
      <c r="A1892" s="68"/>
      <c r="B1892" s="77" t="s">
        <v>2052</v>
      </c>
      <c r="C1892" s="78"/>
      <c r="D1892" s="78"/>
      <c r="E1892" s="78"/>
      <c r="F1892" s="78"/>
      <c r="G1892" s="17" t="s">
        <v>2051</v>
      </c>
    </row>
    <row r="1893" spans="1:25" ht="12.6" customHeight="1" x14ac:dyDescent="0.3">
      <c r="A1893" s="78"/>
      <c r="B1893" s="78"/>
      <c r="C1893" s="78"/>
      <c r="D1893" s="78"/>
      <c r="E1893" s="78"/>
      <c r="F1893" s="78"/>
      <c r="G1893" s="17" t="s">
        <v>1229</v>
      </c>
    </row>
    <row r="1894" spans="1:25" ht="12.6" customHeight="1" x14ac:dyDescent="0.3">
      <c r="A1894" s="68"/>
      <c r="B1894" s="77" t="s">
        <v>2104</v>
      </c>
      <c r="C1894" s="78"/>
      <c r="D1894" s="78"/>
      <c r="E1894" s="78"/>
      <c r="F1894" s="78"/>
      <c r="G1894" s="17" t="s">
        <v>2103</v>
      </c>
    </row>
    <row r="1895" spans="1:25" ht="12.6" customHeight="1" x14ac:dyDescent="0.3">
      <c r="A1895" s="78"/>
      <c r="B1895" s="78"/>
      <c r="C1895" s="78"/>
      <c r="D1895" s="78"/>
      <c r="E1895" s="78"/>
      <c r="F1895" s="78"/>
      <c r="G1895" s="17" t="s">
        <v>1229</v>
      </c>
    </row>
    <row r="1896" spans="1:25" ht="12.6" customHeight="1" x14ac:dyDescent="0.3">
      <c r="A1896" s="68"/>
      <c r="B1896" s="77" t="s">
        <v>2056</v>
      </c>
      <c r="C1896" s="78"/>
      <c r="D1896" s="78"/>
      <c r="E1896" s="78"/>
      <c r="F1896" s="78"/>
      <c r="G1896" s="17" t="s">
        <v>2055</v>
      </c>
    </row>
    <row r="1897" spans="1:25" ht="12.6" customHeight="1" x14ac:dyDescent="0.3">
      <c r="A1897" s="78"/>
      <c r="B1897" s="78"/>
      <c r="C1897" s="78"/>
      <c r="D1897" s="78"/>
      <c r="E1897" s="78"/>
      <c r="F1897" s="78"/>
      <c r="G1897" s="17" t="s">
        <v>1229</v>
      </c>
    </row>
    <row r="1898" spans="1:25" ht="12.6" customHeight="1" x14ac:dyDescent="0.3">
      <c r="A1898" s="68"/>
      <c r="B1898" s="77" t="s">
        <v>2106</v>
      </c>
      <c r="C1898" s="78"/>
      <c r="D1898" s="78"/>
      <c r="E1898" s="78"/>
      <c r="F1898" s="78"/>
      <c r="G1898" s="17" t="s">
        <v>2105</v>
      </c>
    </row>
    <row r="1899" spans="1:25" ht="12.6" customHeight="1" x14ac:dyDescent="0.3">
      <c r="A1899" s="78"/>
      <c r="B1899" s="78"/>
      <c r="C1899" s="78"/>
      <c r="D1899" s="78"/>
      <c r="E1899" s="78"/>
      <c r="F1899" s="78"/>
      <c r="G1899" s="17" t="s">
        <v>1229</v>
      </c>
    </row>
    <row r="1900" spans="1:25" ht="12.6" customHeight="1" x14ac:dyDescent="0.3">
      <c r="A1900" s="68"/>
      <c r="B1900" s="77" t="s">
        <v>2108</v>
      </c>
      <c r="C1900" s="78"/>
      <c r="D1900" s="78"/>
      <c r="E1900" s="78"/>
      <c r="F1900" s="78"/>
      <c r="G1900" s="17" t="s">
        <v>2107</v>
      </c>
    </row>
    <row r="1901" spans="1:25" ht="12.6" customHeight="1" x14ac:dyDescent="0.3">
      <c r="A1901" s="78"/>
      <c r="B1901" s="78"/>
      <c r="C1901" s="78"/>
      <c r="D1901" s="78"/>
      <c r="E1901" s="78"/>
      <c r="F1901" s="78"/>
      <c r="G1901" s="17" t="s">
        <v>1229</v>
      </c>
    </row>
    <row r="1902" spans="1:25" ht="12.6" customHeight="1" x14ac:dyDescent="0.3">
      <c r="A1902" s="68"/>
      <c r="B1902" s="77" t="s">
        <v>2110</v>
      </c>
      <c r="C1902" s="78"/>
      <c r="D1902" s="78"/>
      <c r="E1902" s="78"/>
      <c r="F1902" s="78"/>
      <c r="G1902" s="17" t="s">
        <v>2109</v>
      </c>
    </row>
    <row r="1903" spans="1:25" ht="12.6" customHeight="1" x14ac:dyDescent="0.3">
      <c r="A1903" s="78"/>
      <c r="B1903" s="78"/>
      <c r="C1903" s="78"/>
      <c r="D1903" s="78"/>
      <c r="E1903" s="78"/>
      <c r="F1903" s="78"/>
      <c r="G1903" s="17" t="s">
        <v>1229</v>
      </c>
    </row>
    <row r="1904" spans="1:25" ht="12.6" customHeight="1" x14ac:dyDescent="0.3">
      <c r="A1904" s="68" t="s">
        <v>2112</v>
      </c>
      <c r="B1904" s="102" t="str">
        <f>"  노무비 : "&amp;TEXT(I1904,"#,##0"&amp;IF(I1904&lt;&gt;INT(I1904),".###",""))&amp;" /Q * N2 *2 = "&amp;TEXT(C1904,"#,##0.0")&amp;""</f>
        <v xml:space="preserve">  노무비 : 49,479 /Q * N2 *2 = 291,052.9</v>
      </c>
      <c r="C1904" s="104">
        <f>E1904+D1904+F1904</f>
        <v>291052.90000000002</v>
      </c>
      <c r="D1904" s="104">
        <f>IF(H1904=0,0,ROUNDDOWN(J1904*H1904,1))</f>
        <v>291052.90000000002</v>
      </c>
      <c r="E1904" s="104">
        <f>IF(H1904=0,0,ROUNDDOWN(K1904*H1904,1))</f>
        <v>0</v>
      </c>
      <c r="F1904" s="104">
        <f>IF(H1904=0,0,ROUNDDOWN(L1904*H1904,1))</f>
        <v>0</v>
      </c>
      <c r="G1904" s="17" t="s">
        <v>2111</v>
      </c>
      <c r="H1904" s="109">
        <v>5.8823529411865998</v>
      </c>
      <c r="I1904" s="110">
        <f>K1904+J1904+L1904</f>
        <v>49479</v>
      </c>
      <c r="J1904" s="39">
        <f>중기목록표!F13</f>
        <v>49479</v>
      </c>
      <c r="M1904" s="35" t="s">
        <v>2113</v>
      </c>
      <c r="N1904" s="35" t="s">
        <v>1247</v>
      </c>
      <c r="X1904" s="111" t="str">
        <f>중기목록표!B13&amp;" / "&amp;중기목록표!C13</f>
        <v>덤프트럭 / 10.5톤</v>
      </c>
      <c r="Y1904" s="3" t="str">
        <f ca="1">HYPERLINK("#"&amp;중기목록표!J2&amp;"!A"&amp;ROW(중기목록표!A13),"X00063 →")</f>
        <v>X00063 →</v>
      </c>
    </row>
    <row r="1905" spans="1:25" ht="12.6" customHeight="1" x14ac:dyDescent="0.3">
      <c r="A1905" s="78"/>
      <c r="B1905" s="78"/>
      <c r="C1905" s="78"/>
      <c r="D1905" s="78"/>
      <c r="E1905" s="78"/>
      <c r="F1905" s="78"/>
      <c r="G1905" s="17" t="s">
        <v>1229</v>
      </c>
    </row>
    <row r="1906" spans="1:25" ht="12.6" customHeight="1" x14ac:dyDescent="0.3">
      <c r="A1906" s="68" t="s">
        <v>2115</v>
      </c>
      <c r="B1906" s="102" t="str">
        <f>"  재료비 : "&amp;TEXT(I1906,"#,##0"&amp;IF(I1906&lt;&gt;INT(I1906),".###",""))&amp;"/Q * N2 * OH * 2 = "&amp;TEXT(C1906,"#,##0.0")&amp;""</f>
        <v xml:space="preserve">  재료비 : 26,443/Q * N2 * OH * 2 = 125,993.1</v>
      </c>
      <c r="C1906" s="104">
        <f>E1906+D1906+F1906</f>
        <v>125993.1</v>
      </c>
      <c r="D1906" s="104">
        <f>IF(H1906=0,0,ROUNDDOWN(J1906*H1906,1))</f>
        <v>0</v>
      </c>
      <c r="E1906" s="104">
        <f>IF(H1906=0,0,ROUNDDOWN(K1906*H1906,1))</f>
        <v>125993.1</v>
      </c>
      <c r="F1906" s="104">
        <f>IF(H1906=0,0,ROUNDDOWN(L1906*H1906,1))</f>
        <v>0</v>
      </c>
      <c r="G1906" s="17" t="s">
        <v>2114</v>
      </c>
      <c r="H1906" s="109">
        <v>4.7647058823629997</v>
      </c>
      <c r="I1906" s="110">
        <f>K1906+J1906+L1906</f>
        <v>26443</v>
      </c>
      <c r="K1906" s="39">
        <f>중기목록표!G13</f>
        <v>26443</v>
      </c>
      <c r="M1906" s="35" t="s">
        <v>2113</v>
      </c>
      <c r="N1906" s="35" t="s">
        <v>1247</v>
      </c>
      <c r="X1906" s="111" t="str">
        <f>중기목록표!B13&amp;" / "&amp;중기목록표!C13</f>
        <v>덤프트럭 / 10.5톤</v>
      </c>
      <c r="Y1906" s="3" t="str">
        <f ca="1">HYPERLINK("#"&amp;중기목록표!J2&amp;"!A"&amp;ROW(중기목록표!A13),"X00063 →")</f>
        <v>X00063 →</v>
      </c>
    </row>
    <row r="1907" spans="1:25" ht="12.6" customHeight="1" x14ac:dyDescent="0.3">
      <c r="A1907" s="78"/>
      <c r="B1907" s="78"/>
      <c r="C1907" s="78"/>
      <c r="D1907" s="78"/>
      <c r="E1907" s="78"/>
      <c r="F1907" s="78"/>
      <c r="G1907" s="17" t="s">
        <v>1229</v>
      </c>
    </row>
    <row r="1908" spans="1:25" ht="12.6" customHeight="1" x14ac:dyDescent="0.3">
      <c r="A1908" s="68" t="s">
        <v>2117</v>
      </c>
      <c r="B1908" s="102" t="str">
        <f>"  경  비 : "&amp;TEXT(I1908,"#,##0"&amp;IF(I1908&lt;&gt;INT(I1908),".###",""))&amp;"/Q * N2 * 2 = "&amp;TEXT(C1908,"#,##0.0")&amp;""</f>
        <v xml:space="preserve">  경  비 : 11,815/Q * N2 * 2 = 69,500.0</v>
      </c>
      <c r="C1908" s="104">
        <f>E1908+D1908+F1908</f>
        <v>69500</v>
      </c>
      <c r="D1908" s="104">
        <f>IF(H1908=0,0,ROUNDDOWN(J1908*H1908,1))</f>
        <v>0</v>
      </c>
      <c r="E1908" s="104">
        <f>IF(H1908=0,0,ROUNDDOWN(K1908*H1908,1))</f>
        <v>0</v>
      </c>
      <c r="F1908" s="104">
        <f>IF(H1908=0,0,ROUNDDOWN(L1908*H1908,1))</f>
        <v>69500</v>
      </c>
      <c r="G1908" s="17" t="s">
        <v>2116</v>
      </c>
      <c r="H1908" s="109">
        <v>5.8823529411865998</v>
      </c>
      <c r="I1908" s="110">
        <f>K1908+J1908+L1908</f>
        <v>11815</v>
      </c>
      <c r="L1908" s="39">
        <f>중기목록표!H13</f>
        <v>11815</v>
      </c>
      <c r="M1908" s="35" t="s">
        <v>2113</v>
      </c>
      <c r="N1908" s="35" t="s">
        <v>1247</v>
      </c>
      <c r="X1908" s="111" t="str">
        <f>중기목록표!B13&amp;" / "&amp;중기목록표!C13</f>
        <v>덤프트럭 / 10.5톤</v>
      </c>
      <c r="Y1908" s="3" t="str">
        <f ca="1">HYPERLINK("#"&amp;중기목록표!J2&amp;"!A"&amp;ROW(중기목록표!A13),"X00063 →")</f>
        <v>X00063 →</v>
      </c>
    </row>
    <row r="1909" spans="1:25" ht="12.6" customHeight="1" x14ac:dyDescent="0.3">
      <c r="A1909" s="78"/>
      <c r="B1909" s="78"/>
      <c r="C1909" s="78"/>
      <c r="D1909" s="78"/>
      <c r="E1909" s="78"/>
      <c r="F1909" s="78"/>
      <c r="G1909" s="17" t="s">
        <v>1229</v>
      </c>
    </row>
    <row r="1910" spans="1:25" ht="12.6" customHeight="1" x14ac:dyDescent="0.3">
      <c r="A1910" s="68"/>
      <c r="B1910" s="77" t="s">
        <v>1246</v>
      </c>
      <c r="C1910" s="105">
        <f>E1910+D1910+F1910</f>
        <v>486546</v>
      </c>
      <c r="D1910" s="105">
        <f>SUMIF(N1876:N1909,M1910,D1876:D1909)</f>
        <v>291052.90000000002</v>
      </c>
      <c r="E1910" s="105">
        <f>SUMIF(N1876:N1909,M1910,E1876:E1909)</f>
        <v>125993.1</v>
      </c>
      <c r="F1910" s="105">
        <f>SUMIF(N1876:N1909,M1910,F1876:F1909)</f>
        <v>69500</v>
      </c>
      <c r="G1910" s="17" t="s">
        <v>1245</v>
      </c>
      <c r="M1910" s="35" t="s">
        <v>1247</v>
      </c>
      <c r="N1910" s="35" t="s">
        <v>2120</v>
      </c>
    </row>
    <row r="1911" spans="1:25" ht="12.6" customHeight="1" x14ac:dyDescent="0.3">
      <c r="A1911" s="78"/>
      <c r="B1911" s="78"/>
      <c r="C1911" s="103"/>
      <c r="D1911" s="103"/>
      <c r="E1911" s="103"/>
      <c r="F1911" s="103"/>
      <c r="G1911" s="17" t="s">
        <v>1229</v>
      </c>
    </row>
    <row r="1912" spans="1:25" ht="12.6" customHeight="1" x14ac:dyDescent="0.3">
      <c r="A1912" s="68"/>
      <c r="B1912" s="77" t="s">
        <v>2119</v>
      </c>
      <c r="C1912" s="107">
        <f>E1912+D1912+F1912</f>
        <v>1726567</v>
      </c>
      <c r="D1912" s="107">
        <f>SUMIF(N1811:N1911,M1912,D1811:D1911)</f>
        <v>1004515.4</v>
      </c>
      <c r="E1912" s="107">
        <f>SUMIF(N1811:N1911,M1912,E1811:E1911)</f>
        <v>422089.1</v>
      </c>
      <c r="F1912" s="107">
        <f>SUMIF(N1811:N1911,M1912,F1811:F1911)</f>
        <v>299962.5</v>
      </c>
      <c r="G1912" s="17" t="s">
        <v>2118</v>
      </c>
      <c r="M1912" s="35" t="s">
        <v>2120</v>
      </c>
    </row>
    <row r="1913" spans="1:25" ht="12.6" customHeight="1" x14ac:dyDescent="0.3">
      <c r="A1913" s="78"/>
      <c r="B1913" s="78"/>
      <c r="C1913" s="108"/>
      <c r="D1913" s="108"/>
      <c r="E1913" s="108"/>
      <c r="F1913" s="108"/>
      <c r="G1913" s="17" t="s">
        <v>1229</v>
      </c>
    </row>
    <row r="1914" spans="1:25" ht="12.6" customHeight="1" x14ac:dyDescent="0.3">
      <c r="A1914" s="68" t="s">
        <v>652</v>
      </c>
      <c r="B1914" s="102" t="str">
        <f>" ○운반비 계 : "&amp;TEXT(I1914,"#,##0"&amp;IF(I1914&lt;&gt;INT(I1914),".###",""))&amp;" * 1 식  = "&amp;TEXT(C1914,"#,##0.0")&amp;""</f>
        <v xml:space="preserve"> ○운반비 계 : 1,726,567 * 1 식  = 1,726,567.0</v>
      </c>
      <c r="C1914" s="104">
        <f>E1914+D1914+F1914</f>
        <v>1726567</v>
      </c>
      <c r="D1914" s="104">
        <f>IF(H1914=0,0,ROUNDDOWN(J1914*H1914,1))</f>
        <v>0</v>
      </c>
      <c r="E1914" s="104">
        <f>IF(H1914=0,0,ROUNDDOWN(K1914*H1914,1))</f>
        <v>0</v>
      </c>
      <c r="F1914" s="104">
        <f>IF(H1914=0,0,ROUNDDOWN(L1914*H1914,1))</f>
        <v>1726567</v>
      </c>
      <c r="G1914" s="17" t="s">
        <v>2121</v>
      </c>
      <c r="H1914" s="109">
        <v>1</v>
      </c>
      <c r="I1914" s="110">
        <f>K1914+J1914+L1914</f>
        <v>1726567</v>
      </c>
      <c r="J1914" s="36">
        <v>0</v>
      </c>
      <c r="K1914" s="36">
        <v>0</v>
      </c>
      <c r="L1914" s="36">
        <v>1726567</v>
      </c>
      <c r="M1914" s="35" t="s">
        <v>2122</v>
      </c>
      <c r="N1914" s="35" t="s">
        <v>1011</v>
      </c>
    </row>
    <row r="1915" spans="1:25" ht="12.6" customHeight="1" x14ac:dyDescent="0.3">
      <c r="A1915" s="78"/>
      <c r="B1915" s="78"/>
      <c r="C1915" s="78"/>
      <c r="D1915" s="78"/>
      <c r="E1915" s="78"/>
      <c r="F1915" s="78"/>
    </row>
    <row r="1916" spans="1:25" ht="12.6" customHeight="1" x14ac:dyDescent="0.3">
      <c r="A1916" s="78"/>
      <c r="B1916" s="78"/>
      <c r="C1916" s="78"/>
      <c r="D1916" s="78"/>
      <c r="E1916" s="78"/>
      <c r="F1916" s="78"/>
    </row>
    <row r="1917" spans="1:25" ht="12.6" customHeight="1" x14ac:dyDescent="0.3">
      <c r="A1917" s="78"/>
      <c r="B1917" s="78"/>
      <c r="C1917" s="78"/>
      <c r="D1917" s="78"/>
      <c r="E1917" s="78"/>
      <c r="F1917" s="78"/>
    </row>
    <row r="1918" spans="1:25" ht="12.6" customHeight="1" x14ac:dyDescent="0.3">
      <c r="A1918" s="78"/>
      <c r="B1918" s="78"/>
      <c r="C1918" s="78"/>
      <c r="D1918" s="78"/>
      <c r="E1918" s="78"/>
      <c r="F1918" s="78"/>
    </row>
    <row r="1919" spans="1:25" ht="12.6" customHeight="1" x14ac:dyDescent="0.3">
      <c r="A1919" s="78"/>
      <c r="B1919" s="78"/>
      <c r="C1919" s="78"/>
      <c r="D1919" s="78"/>
      <c r="E1919" s="78"/>
      <c r="F1919" s="78"/>
    </row>
    <row r="1920" spans="1:25" ht="12.6" customHeight="1" x14ac:dyDescent="0.3">
      <c r="A1920" s="78"/>
      <c r="B1920" s="78"/>
      <c r="C1920" s="78"/>
      <c r="D1920" s="78"/>
      <c r="E1920" s="78"/>
      <c r="F1920" s="78"/>
    </row>
    <row r="1921" spans="1:6" ht="12.6" customHeight="1" x14ac:dyDescent="0.3">
      <c r="A1921" s="78"/>
      <c r="B1921" s="78"/>
      <c r="C1921" s="78"/>
      <c r="D1921" s="78"/>
      <c r="E1921" s="78"/>
      <c r="F1921" s="78"/>
    </row>
    <row r="1922" spans="1:6" ht="12.6" customHeight="1" x14ac:dyDescent="0.3">
      <c r="A1922" s="78"/>
      <c r="B1922" s="78"/>
      <c r="C1922" s="78"/>
      <c r="D1922" s="78"/>
      <c r="E1922" s="78"/>
      <c r="F1922" s="78"/>
    </row>
    <row r="1923" spans="1:6" ht="12.6" customHeight="1" x14ac:dyDescent="0.3">
      <c r="A1923" s="78"/>
      <c r="B1923" s="78"/>
      <c r="C1923" s="78"/>
      <c r="D1923" s="78"/>
      <c r="E1923" s="78"/>
      <c r="F1923" s="78"/>
    </row>
    <row r="1924" spans="1:6" ht="12.6" customHeight="1" x14ac:dyDescent="0.3">
      <c r="A1924" s="78"/>
      <c r="B1924" s="78"/>
      <c r="C1924" s="78"/>
      <c r="D1924" s="78"/>
      <c r="E1924" s="78"/>
      <c r="F1924" s="78"/>
    </row>
    <row r="1925" spans="1:6" ht="12.6" customHeight="1" x14ac:dyDescent="0.3">
      <c r="A1925" s="78"/>
      <c r="B1925" s="78"/>
      <c r="C1925" s="78"/>
      <c r="D1925" s="78"/>
      <c r="E1925" s="78"/>
      <c r="F1925" s="78"/>
    </row>
    <row r="1926" spans="1:6" ht="12.6" customHeight="1" x14ac:dyDescent="0.3">
      <c r="A1926" s="78"/>
      <c r="B1926" s="78"/>
      <c r="C1926" s="78"/>
      <c r="D1926" s="78"/>
      <c r="E1926" s="78"/>
      <c r="F1926" s="78"/>
    </row>
    <row r="1927" spans="1:6" ht="12.6" customHeight="1" x14ac:dyDescent="0.3">
      <c r="A1927" s="78"/>
      <c r="B1927" s="78"/>
      <c r="C1927" s="78"/>
      <c r="D1927" s="78"/>
      <c r="E1927" s="78"/>
      <c r="F1927" s="78"/>
    </row>
    <row r="1928" spans="1:6" ht="12.6" customHeight="1" x14ac:dyDescent="0.3">
      <c r="A1928" s="78"/>
      <c r="B1928" s="78"/>
      <c r="C1928" s="78"/>
      <c r="D1928" s="78"/>
      <c r="E1928" s="78"/>
      <c r="F1928" s="78"/>
    </row>
    <row r="1929" spans="1:6" ht="12.6" customHeight="1" x14ac:dyDescent="0.3">
      <c r="A1929" s="78"/>
      <c r="B1929" s="78"/>
      <c r="C1929" s="78"/>
      <c r="D1929" s="78"/>
      <c r="E1929" s="78"/>
      <c r="F1929" s="78"/>
    </row>
    <row r="1930" spans="1:6" ht="12.6" customHeight="1" x14ac:dyDescent="0.3">
      <c r="A1930" s="78"/>
      <c r="B1930" s="78"/>
      <c r="C1930" s="78"/>
      <c r="D1930" s="78"/>
      <c r="E1930" s="78"/>
      <c r="F1930" s="78"/>
    </row>
    <row r="1931" spans="1:6" ht="12.6" customHeight="1" x14ac:dyDescent="0.3">
      <c r="A1931" s="78"/>
      <c r="B1931" s="78"/>
      <c r="C1931" s="78"/>
      <c r="D1931" s="78"/>
      <c r="E1931" s="78"/>
      <c r="F1931" s="78"/>
    </row>
    <row r="1932" spans="1:6" ht="12.6" customHeight="1" x14ac:dyDescent="0.3">
      <c r="A1932" s="78"/>
      <c r="B1932" s="78"/>
      <c r="C1932" s="78"/>
      <c r="D1932" s="78"/>
      <c r="E1932" s="78"/>
      <c r="F1932" s="78"/>
    </row>
    <row r="1933" spans="1:6" ht="12.6" customHeight="1" x14ac:dyDescent="0.3">
      <c r="A1933" s="78"/>
      <c r="B1933" s="78"/>
      <c r="C1933" s="78"/>
      <c r="D1933" s="78"/>
      <c r="E1933" s="78"/>
      <c r="F1933" s="78"/>
    </row>
    <row r="1934" spans="1:6" ht="12.6" customHeight="1" x14ac:dyDescent="0.3">
      <c r="A1934" s="78"/>
      <c r="B1934" s="78"/>
      <c r="C1934" s="78"/>
      <c r="D1934" s="78"/>
      <c r="E1934" s="78"/>
      <c r="F1934" s="78"/>
    </row>
    <row r="1935" spans="1:6" ht="12.6" customHeight="1" x14ac:dyDescent="0.3">
      <c r="A1935" s="78"/>
      <c r="B1935" s="78"/>
      <c r="C1935" s="78"/>
      <c r="D1935" s="78"/>
      <c r="E1935" s="78"/>
      <c r="F1935" s="78"/>
    </row>
    <row r="1936" spans="1:6" ht="12.6" customHeight="1" x14ac:dyDescent="0.3">
      <c r="A1936" s="78"/>
      <c r="B1936" s="78"/>
      <c r="C1936" s="78"/>
      <c r="D1936" s="78"/>
      <c r="E1936" s="78"/>
      <c r="F1936" s="78"/>
    </row>
    <row r="1937" spans="1:14" ht="12.6" customHeight="1" x14ac:dyDescent="0.3">
      <c r="A1937" s="78"/>
      <c r="B1937" s="78"/>
      <c r="C1937" s="78"/>
      <c r="D1937" s="78"/>
      <c r="E1937" s="78"/>
      <c r="F1937" s="78"/>
    </row>
    <row r="1938" spans="1:14" ht="12.6" customHeight="1" x14ac:dyDescent="0.3">
      <c r="A1938" s="78"/>
      <c r="B1938" s="78"/>
      <c r="C1938" s="78"/>
      <c r="D1938" s="78"/>
      <c r="E1938" s="78"/>
      <c r="F1938" s="78"/>
    </row>
    <row r="1939" spans="1:14" ht="12.6" customHeight="1" x14ac:dyDescent="0.3">
      <c r="A1939" s="78"/>
      <c r="B1939" s="78"/>
      <c r="C1939" s="78"/>
      <c r="D1939" s="78"/>
      <c r="E1939" s="78"/>
      <c r="F1939" s="78"/>
    </row>
    <row r="1940" spans="1:14" ht="12.6" customHeight="1" x14ac:dyDescent="0.3">
      <c r="A1940" s="78"/>
      <c r="B1940" s="78"/>
      <c r="C1940" s="78"/>
      <c r="D1940" s="78"/>
      <c r="E1940" s="78"/>
      <c r="F1940" s="78"/>
    </row>
    <row r="1941" spans="1:14" ht="12.6" customHeight="1" x14ac:dyDescent="0.3">
      <c r="A1941" s="78"/>
      <c r="B1941" s="78"/>
      <c r="C1941" s="78"/>
      <c r="D1941" s="78"/>
      <c r="E1941" s="78"/>
      <c r="F1941" s="78"/>
    </row>
    <row r="1942" spans="1:14" ht="12.6" customHeight="1" x14ac:dyDescent="0.3">
      <c r="A1942" s="78"/>
      <c r="B1942" s="78"/>
      <c r="C1942" s="78"/>
      <c r="D1942" s="78"/>
      <c r="E1942" s="78"/>
      <c r="F1942" s="78"/>
    </row>
    <row r="1943" spans="1:14" ht="12.6" customHeight="1" x14ac:dyDescent="0.3">
      <c r="A1943" s="78"/>
      <c r="B1943" s="78"/>
      <c r="C1943" s="78"/>
      <c r="D1943" s="78"/>
      <c r="E1943" s="78"/>
      <c r="F1943" s="78"/>
    </row>
    <row r="1944" spans="1:14" ht="12.6" customHeight="1" x14ac:dyDescent="0.3">
      <c r="A1944" s="78"/>
      <c r="B1944" s="78"/>
      <c r="C1944" s="78"/>
      <c r="D1944" s="78"/>
      <c r="E1944" s="78"/>
      <c r="F1944" s="78"/>
    </row>
    <row r="1945" spans="1:14" ht="12.6" customHeight="1" x14ac:dyDescent="0.3">
      <c r="A1945" s="56"/>
      <c r="B1945" s="56"/>
      <c r="C1945" s="56"/>
      <c r="D1945" s="56"/>
      <c r="E1945" s="56"/>
      <c r="F1945" s="56"/>
    </row>
    <row r="1946" spans="1:14" ht="12.6" customHeight="1" x14ac:dyDescent="0.3">
      <c r="A1946" s="143" t="s">
        <v>1101</v>
      </c>
      <c r="B1946" s="144"/>
      <c r="C1946" s="54">
        <f>E1946+D1946+F1946</f>
        <v>1726567</v>
      </c>
      <c r="D1946" s="52">
        <f>ROUNDDOWN(SUMIF(N1811:N1914,M1946,D1811:D1914),0)</f>
        <v>0</v>
      </c>
      <c r="E1946" s="64">
        <f>ROUNDDOWN(SUMIF(N1811:N1914,M1946,E1811:E1914),0)</f>
        <v>0</v>
      </c>
      <c r="F1946" s="54">
        <f>ROUNDDOWN(SUMIF(N1811:N1914,M1946,F1811:F1914),0)</f>
        <v>1726567</v>
      </c>
      <c r="M1946" s="35" t="s">
        <v>1011</v>
      </c>
      <c r="N1946" s="35" t="s">
        <v>1102</v>
      </c>
    </row>
    <row r="1947" spans="1:14" ht="12.6" customHeight="1" x14ac:dyDescent="0.3">
      <c r="A1947" s="143" t="s">
        <v>1103</v>
      </c>
      <c r="B1947" s="144"/>
      <c r="C1947" s="54">
        <f>E1947+D1947+F1947</f>
        <v>1514976</v>
      </c>
      <c r="D1947" s="52">
        <f>ROUNDDOWN(D1946*H1947/100,0)</f>
        <v>0</v>
      </c>
      <c r="E1947" s="64">
        <f>ROUNDDOWN(E1946*H1947/100,0)</f>
        <v>0</v>
      </c>
      <c r="F1947" s="54">
        <f>ROUNDDOWN(F1946*H1947/100,0)</f>
        <v>1514976</v>
      </c>
      <c r="H1947" s="37">
        <v>87.745000000000005</v>
      </c>
      <c r="M1947" s="35" t="s">
        <v>1102</v>
      </c>
    </row>
    <row r="1948" spans="1:14" ht="12.6" customHeight="1" x14ac:dyDescent="0.3">
      <c r="A1948" s="100" t="s">
        <v>281</v>
      </c>
      <c r="B1948" s="101" t="s">
        <v>278</v>
      </c>
      <c r="C1948" s="150">
        <f>C2016</f>
        <v>56451</v>
      </c>
      <c r="D1948" s="150">
        <f>D2016</f>
        <v>0</v>
      </c>
      <c r="E1948" s="150">
        <f>E2016</f>
        <v>0</v>
      </c>
      <c r="F1948" s="150">
        <f>F2016</f>
        <v>56451</v>
      </c>
      <c r="G1948" s="97" t="str">
        <f>HYPERLINK("#G"&amp;ROW(G2002),"_x0005_`BDCOD|D01494_x0007_`POSS|"&amp;ROW(G1950)&amp;"_x0007_`POSE|"&amp;ROW(G2002)&amp;"_x0007_`")</f>
        <v>_x0005_`BDCOD|D01494_x0007_`POSS|1950_x0007_`POSE|2002_x0007_`</v>
      </c>
    </row>
    <row r="1949" spans="1:14" ht="12.6" customHeight="1" x14ac:dyDescent="0.3">
      <c r="A1949" s="83"/>
      <c r="B1949" s="101" t="s">
        <v>277</v>
      </c>
      <c r="C1949" s="139"/>
      <c r="D1949" s="139"/>
      <c r="E1949" s="139"/>
      <c r="F1949" s="139"/>
      <c r="M1949" s="35" t="s">
        <v>281</v>
      </c>
    </row>
    <row r="1950" spans="1:14" ht="12.6" customHeight="1" x14ac:dyDescent="0.3">
      <c r="A1950" s="68"/>
      <c r="B1950" s="77" t="s">
        <v>2124</v>
      </c>
      <c r="C1950" s="103"/>
      <c r="D1950" s="103"/>
      <c r="E1950" s="103"/>
      <c r="F1950" s="103"/>
      <c r="G1950" s="17" t="s">
        <v>2123</v>
      </c>
    </row>
    <row r="1951" spans="1:14" ht="12.6" customHeight="1" x14ac:dyDescent="0.3">
      <c r="A1951" s="78"/>
      <c r="B1951" s="78"/>
      <c r="C1951" s="78"/>
      <c r="D1951" s="78"/>
      <c r="E1951" s="78"/>
      <c r="F1951" s="78"/>
      <c r="G1951" s="17" t="s">
        <v>1229</v>
      </c>
    </row>
    <row r="1952" spans="1:14" ht="12.6" customHeight="1" x14ac:dyDescent="0.3">
      <c r="A1952" s="68"/>
      <c r="B1952" s="77" t="s">
        <v>2126</v>
      </c>
      <c r="C1952" s="78"/>
      <c r="D1952" s="78"/>
      <c r="E1952" s="78"/>
      <c r="F1952" s="78"/>
      <c r="G1952" s="17" t="s">
        <v>2125</v>
      </c>
    </row>
    <row r="1953" spans="1:7" ht="12.6" customHeight="1" x14ac:dyDescent="0.3">
      <c r="A1953" s="78"/>
      <c r="B1953" s="78"/>
      <c r="C1953" s="78"/>
      <c r="D1953" s="78"/>
      <c r="E1953" s="78"/>
      <c r="F1953" s="78"/>
      <c r="G1953" s="17" t="s">
        <v>1229</v>
      </c>
    </row>
    <row r="1954" spans="1:7" ht="12.6" customHeight="1" x14ac:dyDescent="0.3">
      <c r="A1954" s="68"/>
      <c r="B1954" s="77" t="s">
        <v>2128</v>
      </c>
      <c r="C1954" s="78"/>
      <c r="D1954" s="78"/>
      <c r="E1954" s="78"/>
      <c r="F1954" s="78"/>
      <c r="G1954" s="17" t="s">
        <v>2127</v>
      </c>
    </row>
    <row r="1955" spans="1:7" ht="12.6" customHeight="1" x14ac:dyDescent="0.3">
      <c r="A1955" s="78"/>
      <c r="B1955" s="78"/>
      <c r="C1955" s="78"/>
      <c r="D1955" s="78"/>
      <c r="E1955" s="78"/>
      <c r="F1955" s="78"/>
      <c r="G1955" s="17" t="s">
        <v>1229</v>
      </c>
    </row>
    <row r="1956" spans="1:7" ht="12.6" customHeight="1" x14ac:dyDescent="0.3">
      <c r="A1956" s="68"/>
      <c r="B1956" s="77" t="s">
        <v>2130</v>
      </c>
      <c r="C1956" s="78"/>
      <c r="D1956" s="78"/>
      <c r="E1956" s="78"/>
      <c r="F1956" s="78"/>
      <c r="G1956" s="17" t="s">
        <v>2129</v>
      </c>
    </row>
    <row r="1957" spans="1:7" ht="12.6" customHeight="1" x14ac:dyDescent="0.3">
      <c r="A1957" s="78"/>
      <c r="B1957" s="78"/>
      <c r="C1957" s="78"/>
      <c r="D1957" s="78"/>
      <c r="E1957" s="78"/>
      <c r="F1957" s="78"/>
      <c r="G1957" s="17" t="s">
        <v>1229</v>
      </c>
    </row>
    <row r="1958" spans="1:7" ht="12.6" customHeight="1" x14ac:dyDescent="0.3">
      <c r="A1958" s="68"/>
      <c r="B1958" s="77" t="s">
        <v>2132</v>
      </c>
      <c r="C1958" s="78"/>
      <c r="D1958" s="78"/>
      <c r="E1958" s="78"/>
      <c r="F1958" s="78"/>
      <c r="G1958" s="17" t="s">
        <v>2131</v>
      </c>
    </row>
    <row r="1959" spans="1:7" ht="12.6" customHeight="1" x14ac:dyDescent="0.3">
      <c r="A1959" s="78"/>
      <c r="B1959" s="78"/>
      <c r="C1959" s="78"/>
      <c r="D1959" s="78"/>
      <c r="E1959" s="78"/>
      <c r="F1959" s="78"/>
      <c r="G1959" s="17" t="s">
        <v>1229</v>
      </c>
    </row>
    <row r="1960" spans="1:7" ht="12.6" customHeight="1" x14ac:dyDescent="0.3">
      <c r="A1960" s="68"/>
      <c r="B1960" s="77" t="s">
        <v>2134</v>
      </c>
      <c r="C1960" s="78"/>
      <c r="D1960" s="78"/>
      <c r="E1960" s="78"/>
      <c r="F1960" s="78"/>
      <c r="G1960" s="17" t="s">
        <v>2133</v>
      </c>
    </row>
    <row r="1961" spans="1:7" ht="12.6" customHeight="1" x14ac:dyDescent="0.3">
      <c r="A1961" s="78"/>
      <c r="B1961" s="78"/>
      <c r="C1961" s="78"/>
      <c r="D1961" s="78"/>
      <c r="E1961" s="78"/>
      <c r="F1961" s="78"/>
      <c r="G1961" s="17" t="s">
        <v>1229</v>
      </c>
    </row>
    <row r="1962" spans="1:7" ht="12.6" customHeight="1" x14ac:dyDescent="0.3">
      <c r="A1962" s="68"/>
      <c r="B1962" s="77" t="s">
        <v>1869</v>
      </c>
      <c r="C1962" s="78"/>
      <c r="D1962" s="78"/>
      <c r="E1962" s="78"/>
      <c r="F1962" s="78"/>
      <c r="G1962" s="17" t="s">
        <v>1868</v>
      </c>
    </row>
    <row r="1963" spans="1:7" ht="12.6" customHeight="1" x14ac:dyDescent="0.3">
      <c r="A1963" s="78"/>
      <c r="B1963" s="78"/>
      <c r="C1963" s="78"/>
      <c r="D1963" s="78"/>
      <c r="E1963" s="78"/>
      <c r="F1963" s="78"/>
      <c r="G1963" s="17" t="s">
        <v>1229</v>
      </c>
    </row>
    <row r="1964" spans="1:7" ht="12.6" customHeight="1" x14ac:dyDescent="0.3">
      <c r="A1964" s="68"/>
      <c r="B1964" s="77" t="s">
        <v>2136</v>
      </c>
      <c r="C1964" s="78"/>
      <c r="D1964" s="78"/>
      <c r="E1964" s="78"/>
      <c r="F1964" s="78"/>
      <c r="G1964" s="17" t="s">
        <v>2135</v>
      </c>
    </row>
    <row r="1965" spans="1:7" ht="12.6" customHeight="1" x14ac:dyDescent="0.3">
      <c r="A1965" s="78"/>
      <c r="B1965" s="78"/>
      <c r="C1965" s="78"/>
      <c r="D1965" s="78"/>
      <c r="E1965" s="78"/>
      <c r="F1965" s="78"/>
      <c r="G1965" s="17" t="s">
        <v>1229</v>
      </c>
    </row>
    <row r="1966" spans="1:7" ht="12.6" customHeight="1" x14ac:dyDescent="0.3">
      <c r="A1966" s="68"/>
      <c r="B1966" s="77" t="s">
        <v>2040</v>
      </c>
      <c r="C1966" s="78"/>
      <c r="D1966" s="78"/>
      <c r="E1966" s="78"/>
      <c r="F1966" s="78"/>
      <c r="G1966" s="17" t="s">
        <v>2039</v>
      </c>
    </row>
    <row r="1967" spans="1:7" ht="12.6" customHeight="1" x14ac:dyDescent="0.3">
      <c r="A1967" s="78"/>
      <c r="B1967" s="78"/>
      <c r="C1967" s="78"/>
      <c r="D1967" s="78"/>
      <c r="E1967" s="78"/>
      <c r="F1967" s="78"/>
      <c r="G1967" s="17" t="s">
        <v>1229</v>
      </c>
    </row>
    <row r="1968" spans="1:7" ht="12.6" customHeight="1" x14ac:dyDescent="0.3">
      <c r="A1968" s="68"/>
      <c r="B1968" s="77" t="s">
        <v>2042</v>
      </c>
      <c r="C1968" s="78"/>
      <c r="D1968" s="78"/>
      <c r="E1968" s="78"/>
      <c r="F1968" s="78"/>
      <c r="G1968" s="17" t="s">
        <v>2041</v>
      </c>
    </row>
    <row r="1969" spans="1:7" ht="12.6" customHeight="1" x14ac:dyDescent="0.3">
      <c r="A1969" s="78"/>
      <c r="B1969" s="78"/>
      <c r="C1969" s="78"/>
      <c r="D1969" s="78"/>
      <c r="E1969" s="78"/>
      <c r="F1969" s="78"/>
      <c r="G1969" s="17" t="s">
        <v>1229</v>
      </c>
    </row>
    <row r="1970" spans="1:7" ht="12.6" customHeight="1" x14ac:dyDescent="0.3">
      <c r="A1970" s="68"/>
      <c r="B1970" s="77" t="s">
        <v>2044</v>
      </c>
      <c r="C1970" s="78"/>
      <c r="D1970" s="78"/>
      <c r="E1970" s="78"/>
      <c r="F1970" s="78"/>
      <c r="G1970" s="17" t="s">
        <v>2043</v>
      </c>
    </row>
    <row r="1971" spans="1:7" ht="12.6" customHeight="1" x14ac:dyDescent="0.3">
      <c r="A1971" s="78"/>
      <c r="B1971" s="78"/>
      <c r="C1971" s="78"/>
      <c r="D1971" s="78"/>
      <c r="E1971" s="78"/>
      <c r="F1971" s="78"/>
      <c r="G1971" s="17" t="s">
        <v>1229</v>
      </c>
    </row>
    <row r="1972" spans="1:7" ht="12.6" customHeight="1" x14ac:dyDescent="0.3">
      <c r="A1972" s="68"/>
      <c r="B1972" s="77" t="s">
        <v>2046</v>
      </c>
      <c r="C1972" s="78"/>
      <c r="D1972" s="78"/>
      <c r="E1972" s="78"/>
      <c r="F1972" s="78"/>
      <c r="G1972" s="17" t="s">
        <v>2045</v>
      </c>
    </row>
    <row r="1973" spans="1:7" ht="12.6" customHeight="1" x14ac:dyDescent="0.3">
      <c r="A1973" s="78"/>
      <c r="B1973" s="78"/>
      <c r="C1973" s="78"/>
      <c r="D1973" s="78"/>
      <c r="E1973" s="78"/>
      <c r="F1973" s="78"/>
      <c r="G1973" s="17" t="s">
        <v>1229</v>
      </c>
    </row>
    <row r="1974" spans="1:7" ht="12.6" customHeight="1" x14ac:dyDescent="0.3">
      <c r="A1974" s="68"/>
      <c r="B1974" s="77" t="s">
        <v>2138</v>
      </c>
      <c r="C1974" s="78"/>
      <c r="D1974" s="78"/>
      <c r="E1974" s="78"/>
      <c r="F1974" s="78"/>
      <c r="G1974" s="17" t="s">
        <v>2137</v>
      </c>
    </row>
    <row r="1975" spans="1:7" ht="12.6" customHeight="1" x14ac:dyDescent="0.3">
      <c r="A1975" s="78"/>
      <c r="B1975" s="78"/>
      <c r="C1975" s="78"/>
      <c r="D1975" s="78"/>
      <c r="E1975" s="78"/>
      <c r="F1975" s="78"/>
      <c r="G1975" s="17" t="s">
        <v>1229</v>
      </c>
    </row>
    <row r="1976" spans="1:7" ht="12.6" customHeight="1" x14ac:dyDescent="0.3">
      <c r="A1976" s="68"/>
      <c r="B1976" s="77" t="s">
        <v>2140</v>
      </c>
      <c r="C1976" s="78"/>
      <c r="D1976" s="78"/>
      <c r="E1976" s="78"/>
      <c r="F1976" s="78"/>
      <c r="G1976" s="17" t="s">
        <v>2139</v>
      </c>
    </row>
    <row r="1977" spans="1:7" ht="12.6" customHeight="1" x14ac:dyDescent="0.3">
      <c r="A1977" s="78"/>
      <c r="B1977" s="78"/>
      <c r="C1977" s="78"/>
      <c r="D1977" s="78"/>
      <c r="E1977" s="78"/>
      <c r="F1977" s="78"/>
      <c r="G1977" s="17" t="s">
        <v>1229</v>
      </c>
    </row>
    <row r="1978" spans="1:7" ht="12.6" customHeight="1" x14ac:dyDescent="0.3">
      <c r="A1978" s="68"/>
      <c r="B1978" s="77" t="s">
        <v>2142</v>
      </c>
      <c r="C1978" s="78"/>
      <c r="D1978" s="78"/>
      <c r="E1978" s="78"/>
      <c r="F1978" s="78"/>
      <c r="G1978" s="17" t="s">
        <v>2141</v>
      </c>
    </row>
    <row r="1979" spans="1:7" ht="12.6" customHeight="1" x14ac:dyDescent="0.3">
      <c r="A1979" s="78"/>
      <c r="B1979" s="78"/>
      <c r="C1979" s="78"/>
      <c r="D1979" s="78"/>
      <c r="E1979" s="78"/>
      <c r="F1979" s="78"/>
      <c r="G1979" s="17" t="s">
        <v>1229</v>
      </c>
    </row>
    <row r="1980" spans="1:7" ht="12.6" customHeight="1" x14ac:dyDescent="0.3">
      <c r="A1980" s="68"/>
      <c r="B1980" s="77" t="s">
        <v>2144</v>
      </c>
      <c r="C1980" s="78"/>
      <c r="D1980" s="78"/>
      <c r="E1980" s="78"/>
      <c r="F1980" s="78"/>
      <c r="G1980" s="17" t="s">
        <v>2143</v>
      </c>
    </row>
    <row r="1981" spans="1:7" ht="12.6" customHeight="1" x14ac:dyDescent="0.3">
      <c r="A1981" s="78"/>
      <c r="B1981" s="78"/>
      <c r="C1981" s="78"/>
      <c r="D1981" s="78"/>
      <c r="E1981" s="78"/>
      <c r="F1981" s="78"/>
      <c r="G1981" s="17" t="s">
        <v>1229</v>
      </c>
    </row>
    <row r="1982" spans="1:7" ht="12.6" customHeight="1" x14ac:dyDescent="0.3">
      <c r="A1982" s="68"/>
      <c r="B1982" s="77" t="s">
        <v>2146</v>
      </c>
      <c r="C1982" s="78"/>
      <c r="D1982" s="78"/>
      <c r="E1982" s="78"/>
      <c r="F1982" s="78"/>
      <c r="G1982" s="17" t="s">
        <v>2145</v>
      </c>
    </row>
    <row r="1983" spans="1:7" ht="12.6" customHeight="1" x14ac:dyDescent="0.3">
      <c r="A1983" s="78"/>
      <c r="B1983" s="78"/>
      <c r="C1983" s="78"/>
      <c r="D1983" s="78"/>
      <c r="E1983" s="78"/>
      <c r="F1983" s="78"/>
      <c r="G1983" s="17" t="s">
        <v>1229</v>
      </c>
    </row>
    <row r="1984" spans="1:7" ht="12.6" customHeight="1" x14ac:dyDescent="0.3">
      <c r="A1984" s="68"/>
      <c r="B1984" s="77" t="s">
        <v>2148</v>
      </c>
      <c r="C1984" s="78"/>
      <c r="D1984" s="78"/>
      <c r="E1984" s="78"/>
      <c r="F1984" s="78"/>
      <c r="G1984" s="17" t="s">
        <v>2147</v>
      </c>
    </row>
    <row r="1985" spans="1:25" ht="12.6" customHeight="1" x14ac:dyDescent="0.3">
      <c r="A1985" s="78"/>
      <c r="B1985" s="78"/>
      <c r="C1985" s="78"/>
      <c r="D1985" s="78"/>
      <c r="E1985" s="78"/>
      <c r="F1985" s="78"/>
      <c r="G1985" s="17" t="s">
        <v>1229</v>
      </c>
    </row>
    <row r="1986" spans="1:25" ht="12.6" customHeight="1" x14ac:dyDescent="0.3">
      <c r="A1986" s="68"/>
      <c r="B1986" s="77" t="s">
        <v>2150</v>
      </c>
      <c r="C1986" s="78"/>
      <c r="D1986" s="78"/>
      <c r="E1986" s="78"/>
      <c r="F1986" s="78"/>
      <c r="G1986" s="17" t="s">
        <v>2149</v>
      </c>
    </row>
    <row r="1987" spans="1:25" ht="12.6" customHeight="1" x14ac:dyDescent="0.3">
      <c r="A1987" s="78"/>
      <c r="B1987" s="78"/>
      <c r="C1987" s="78"/>
      <c r="D1987" s="78"/>
      <c r="E1987" s="78"/>
      <c r="F1987" s="78"/>
      <c r="G1987" s="17" t="s">
        <v>1229</v>
      </c>
    </row>
    <row r="1988" spans="1:25" ht="12.6" customHeight="1" x14ac:dyDescent="0.3">
      <c r="A1988" s="68"/>
      <c r="B1988" s="77" t="s">
        <v>2152</v>
      </c>
      <c r="C1988" s="78"/>
      <c r="D1988" s="78"/>
      <c r="E1988" s="78"/>
      <c r="F1988" s="78"/>
      <c r="G1988" s="17" t="s">
        <v>2151</v>
      </c>
    </row>
    <row r="1989" spans="1:25" ht="12.6" customHeight="1" x14ac:dyDescent="0.3">
      <c r="A1989" s="78"/>
      <c r="B1989" s="78"/>
      <c r="C1989" s="78"/>
      <c r="D1989" s="78"/>
      <c r="E1989" s="78"/>
      <c r="F1989" s="78"/>
      <c r="G1989" s="17" t="s">
        <v>1229</v>
      </c>
    </row>
    <row r="1990" spans="1:25" ht="12.6" customHeight="1" x14ac:dyDescent="0.3">
      <c r="A1990" s="68"/>
      <c r="B1990" s="77" t="s">
        <v>2154</v>
      </c>
      <c r="C1990" s="78"/>
      <c r="D1990" s="78"/>
      <c r="E1990" s="78"/>
      <c r="F1990" s="78"/>
      <c r="G1990" s="17" t="s">
        <v>2153</v>
      </c>
    </row>
    <row r="1991" spans="1:25" ht="12.6" customHeight="1" x14ac:dyDescent="0.3">
      <c r="A1991" s="78"/>
      <c r="B1991" s="78"/>
      <c r="C1991" s="78"/>
      <c r="D1991" s="78"/>
      <c r="E1991" s="78"/>
      <c r="F1991" s="78"/>
      <c r="G1991" s="17" t="s">
        <v>1229</v>
      </c>
    </row>
    <row r="1992" spans="1:25" ht="12.6" customHeight="1" x14ac:dyDescent="0.3">
      <c r="A1992" s="68"/>
      <c r="B1992" s="77" t="s">
        <v>2156</v>
      </c>
      <c r="C1992" s="78"/>
      <c r="D1992" s="78"/>
      <c r="E1992" s="78"/>
      <c r="F1992" s="78"/>
      <c r="G1992" s="17" t="s">
        <v>2155</v>
      </c>
    </row>
    <row r="1993" spans="1:25" ht="12.6" customHeight="1" x14ac:dyDescent="0.3">
      <c r="A1993" s="78"/>
      <c r="B1993" s="78"/>
      <c r="C1993" s="78"/>
      <c r="D1993" s="78"/>
      <c r="E1993" s="78"/>
      <c r="F1993" s="78"/>
      <c r="G1993" s="17" t="s">
        <v>1229</v>
      </c>
    </row>
    <row r="1994" spans="1:25" ht="12.6" customHeight="1" x14ac:dyDescent="0.3">
      <c r="A1994" s="68" t="s">
        <v>2158</v>
      </c>
      <c r="B1994" s="102" t="str">
        <f>" 노 무 비 :  "&amp;TEXT(I1994,"#,##0"&amp;IF(I1994&lt;&gt;INT(I1994),".###",""))&amp;" / Q = "&amp;TEXT(C1994,"#,##0.0")&amp;""</f>
        <v xml:space="preserve"> 노 무 비 :  57,077 / Q = 27,707.2</v>
      </c>
      <c r="C1994" s="104">
        <f>E1994+D1994+F1994</f>
        <v>27707.200000000001</v>
      </c>
      <c r="D1994" s="104">
        <f>IF(H1994=0,0,ROUNDDOWN(J1994*H1994,1))</f>
        <v>27707.200000000001</v>
      </c>
      <c r="E1994" s="104">
        <f>IF(H1994=0,0,ROUNDDOWN(K1994*H1994,1))</f>
        <v>0</v>
      </c>
      <c r="F1994" s="104">
        <f>IF(H1994=0,0,ROUNDDOWN(L1994*H1994,1))</f>
        <v>0</v>
      </c>
      <c r="G1994" s="17" t="s">
        <v>2157</v>
      </c>
      <c r="H1994" s="109">
        <v>0.4854368932041</v>
      </c>
      <c r="I1994" s="110">
        <f>K1994+J1994+L1994</f>
        <v>57077</v>
      </c>
      <c r="J1994" s="39">
        <f>중기목록표!F21</f>
        <v>57077</v>
      </c>
      <c r="M1994" s="35" t="s">
        <v>2159</v>
      </c>
      <c r="N1994" s="35" t="s">
        <v>2120</v>
      </c>
      <c r="X1994" s="111" t="str">
        <f>중기목록표!B21&amp;" / "&amp;중기목록표!C21</f>
        <v>덤프트럭 / 24톤</v>
      </c>
      <c r="Y1994" s="3" t="str">
        <f ca="1">HYPERLINK("#"&amp;중기목록표!J2&amp;"!A"&amp;ROW(중기목록표!A21),"X00292 →")</f>
        <v>X00292 →</v>
      </c>
    </row>
    <row r="1995" spans="1:25" ht="12.6" customHeight="1" x14ac:dyDescent="0.3">
      <c r="A1995" s="78"/>
      <c r="B1995" s="78"/>
      <c r="C1995" s="78"/>
      <c r="D1995" s="78"/>
      <c r="E1995" s="78"/>
      <c r="F1995" s="78"/>
      <c r="G1995" s="17" t="s">
        <v>1229</v>
      </c>
    </row>
    <row r="1996" spans="1:25" ht="12.6" customHeight="1" x14ac:dyDescent="0.3">
      <c r="A1996" s="68" t="s">
        <v>2161</v>
      </c>
      <c r="B1996" s="102" t="str">
        <f>" 재 료 비 :  "&amp;TEXT(I1996,"#,##0"&amp;IF(I1996&lt;&gt;INT(I1996),".###",""))&amp;" / Q = "&amp;TEXT(C1996,"#,##0.0")&amp;""</f>
        <v xml:space="preserve"> 재 료 비 :  43,134 / Q = 20,938.8</v>
      </c>
      <c r="C1996" s="104">
        <f>E1996+D1996+F1996</f>
        <v>20938.8</v>
      </c>
      <c r="D1996" s="104">
        <f>IF(H1996=0,0,ROUNDDOWN(J1996*H1996,1))</f>
        <v>0</v>
      </c>
      <c r="E1996" s="104">
        <f>IF(H1996=0,0,ROUNDDOWN(K1996*H1996,1))</f>
        <v>20938.8</v>
      </c>
      <c r="F1996" s="104">
        <f>IF(H1996=0,0,ROUNDDOWN(L1996*H1996,1))</f>
        <v>0</v>
      </c>
      <c r="G1996" s="17" t="s">
        <v>2160</v>
      </c>
      <c r="H1996" s="109">
        <v>0.4854368932041</v>
      </c>
      <c r="I1996" s="110">
        <f>K1996+J1996+L1996</f>
        <v>43134</v>
      </c>
      <c r="K1996" s="39">
        <f>중기목록표!G21</f>
        <v>43134</v>
      </c>
      <c r="M1996" s="35" t="s">
        <v>2159</v>
      </c>
      <c r="N1996" s="35" t="s">
        <v>2120</v>
      </c>
      <c r="X1996" s="111" t="str">
        <f>중기목록표!B21&amp;" / "&amp;중기목록표!C21</f>
        <v>덤프트럭 / 24톤</v>
      </c>
      <c r="Y1996" s="3" t="str">
        <f ca="1">HYPERLINK("#"&amp;중기목록표!J2&amp;"!A"&amp;ROW(중기목록표!A21),"X00292 →")</f>
        <v>X00292 →</v>
      </c>
    </row>
    <row r="1997" spans="1:25" ht="12.6" customHeight="1" x14ac:dyDescent="0.3">
      <c r="A1997" s="78"/>
      <c r="B1997" s="78"/>
      <c r="C1997" s="78"/>
      <c r="D1997" s="78"/>
      <c r="E1997" s="78"/>
      <c r="F1997" s="78"/>
      <c r="G1997" s="17" t="s">
        <v>1229</v>
      </c>
    </row>
    <row r="1998" spans="1:25" ht="12.6" customHeight="1" x14ac:dyDescent="0.3">
      <c r="A1998" s="68" t="s">
        <v>2163</v>
      </c>
      <c r="B1998" s="102" t="str">
        <f>" 경    비 :  "&amp;TEXT(I1998,"#,##0"&amp;IF(I1998&lt;&gt;INT(I1998),".###",""))&amp;" / Q = "&amp;TEXT(C1998,"#,##0.0")&amp;""</f>
        <v xml:space="preserve"> 경    비 :  32,323 / Q = 15,690.7</v>
      </c>
      <c r="C1998" s="104">
        <f>E1998+D1998+F1998</f>
        <v>15690.7</v>
      </c>
      <c r="D1998" s="104">
        <f>IF(H1998=0,0,ROUNDDOWN(J1998*H1998,1))</f>
        <v>0</v>
      </c>
      <c r="E1998" s="104">
        <f>IF(H1998=0,0,ROUNDDOWN(K1998*H1998,1))</f>
        <v>0</v>
      </c>
      <c r="F1998" s="104">
        <f>IF(H1998=0,0,ROUNDDOWN(L1998*H1998,1))</f>
        <v>15690.7</v>
      </c>
      <c r="G1998" s="17" t="s">
        <v>2162</v>
      </c>
      <c r="H1998" s="109">
        <v>0.4854368932041</v>
      </c>
      <c r="I1998" s="110">
        <f>K1998+J1998+L1998</f>
        <v>32323</v>
      </c>
      <c r="L1998" s="39">
        <f>중기목록표!H21</f>
        <v>32323</v>
      </c>
      <c r="M1998" s="35" t="s">
        <v>2159</v>
      </c>
      <c r="N1998" s="35" t="s">
        <v>2120</v>
      </c>
      <c r="X1998" s="111" t="str">
        <f>중기목록표!B21&amp;" / "&amp;중기목록표!C21</f>
        <v>덤프트럭 / 24톤</v>
      </c>
      <c r="Y1998" s="3" t="str">
        <f ca="1">HYPERLINK("#"&amp;중기목록표!J2&amp;"!A"&amp;ROW(중기목록표!A21),"X00292 →")</f>
        <v>X00292 →</v>
      </c>
    </row>
    <row r="1999" spans="1:25" ht="12.6" customHeight="1" x14ac:dyDescent="0.3">
      <c r="A1999" s="78"/>
      <c r="B1999" s="78"/>
      <c r="C1999" s="78"/>
      <c r="D1999" s="78"/>
      <c r="E1999" s="78"/>
      <c r="F1999" s="78"/>
      <c r="G1999" s="17" t="s">
        <v>1229</v>
      </c>
    </row>
    <row r="2000" spans="1:25" ht="12.6" customHeight="1" x14ac:dyDescent="0.3">
      <c r="A2000" s="68"/>
      <c r="B2000" s="77" t="s">
        <v>2119</v>
      </c>
      <c r="C2000" s="107">
        <f>E2000+D2000+F2000</f>
        <v>64336.7</v>
      </c>
      <c r="D2000" s="107">
        <f>SUMIF(N1950:N1999,M2000,D1950:D1999)</f>
        <v>27707.200000000001</v>
      </c>
      <c r="E2000" s="107">
        <f>SUMIF(N1950:N1999,M2000,E1950:E1999)</f>
        <v>20938.8</v>
      </c>
      <c r="F2000" s="107">
        <f>SUMIF(N1950:N1999,M2000,F1950:F1999)</f>
        <v>15690.7</v>
      </c>
      <c r="G2000" s="17" t="s">
        <v>2118</v>
      </c>
      <c r="M2000" s="35" t="s">
        <v>2120</v>
      </c>
    </row>
    <row r="2001" spans="1:14" ht="12.6" customHeight="1" x14ac:dyDescent="0.3">
      <c r="A2001" s="78"/>
      <c r="B2001" s="78"/>
      <c r="C2001" s="108"/>
      <c r="D2001" s="108"/>
      <c r="E2001" s="108"/>
      <c r="F2001" s="108"/>
      <c r="G2001" s="17" t="s">
        <v>1229</v>
      </c>
    </row>
    <row r="2002" spans="1:14" ht="12.6" customHeight="1" x14ac:dyDescent="0.3">
      <c r="A2002" s="68" t="s">
        <v>652</v>
      </c>
      <c r="B2002" s="102" t="str">
        <f>" ○운반비 계 : "&amp;TEXT(I2002,"#,##0"&amp;IF(I2002&lt;&gt;INT(I2002),".###",""))&amp;" * 1 식  = "&amp;TEXT(C2002,"#,##0.0")&amp;""</f>
        <v xml:space="preserve"> ○운반비 계 : 64,336.7 * 1 식  = 64,336.7</v>
      </c>
      <c r="C2002" s="104">
        <f>E2002+D2002+F2002</f>
        <v>64336.7</v>
      </c>
      <c r="D2002" s="104">
        <f>IF(H2002=0,0,ROUNDDOWN(J2002*H2002,1))</f>
        <v>0</v>
      </c>
      <c r="E2002" s="104">
        <f>IF(H2002=0,0,ROUNDDOWN(K2002*H2002,1))</f>
        <v>0</v>
      </c>
      <c r="F2002" s="104">
        <f>IF(H2002=0,0,ROUNDDOWN(L2002*H2002,1))</f>
        <v>64336.7</v>
      </c>
      <c r="G2002" s="17" t="s">
        <v>2121</v>
      </c>
      <c r="H2002" s="109">
        <v>1</v>
      </c>
      <c r="I2002" s="110">
        <f>K2002+J2002+L2002</f>
        <v>64336.7</v>
      </c>
      <c r="J2002" s="36">
        <v>0</v>
      </c>
      <c r="K2002" s="36">
        <v>0</v>
      </c>
      <c r="L2002" s="37">
        <v>64336.7</v>
      </c>
      <c r="M2002" s="35" t="s">
        <v>2122</v>
      </c>
      <c r="N2002" s="35" t="s">
        <v>1011</v>
      </c>
    </row>
    <row r="2003" spans="1:14" ht="12.6" customHeight="1" x14ac:dyDescent="0.3">
      <c r="A2003" s="78"/>
      <c r="B2003" s="78"/>
      <c r="C2003" s="78"/>
      <c r="D2003" s="78"/>
      <c r="E2003" s="78"/>
      <c r="F2003" s="78"/>
    </row>
    <row r="2004" spans="1:14" ht="12.6" customHeight="1" x14ac:dyDescent="0.3">
      <c r="A2004" s="78"/>
      <c r="B2004" s="78"/>
      <c r="C2004" s="78"/>
      <c r="D2004" s="78"/>
      <c r="E2004" s="78"/>
      <c r="F2004" s="78"/>
    </row>
    <row r="2005" spans="1:14" ht="12.6" customHeight="1" x14ac:dyDescent="0.3">
      <c r="A2005" s="78"/>
      <c r="B2005" s="78"/>
      <c r="C2005" s="78"/>
      <c r="D2005" s="78"/>
      <c r="E2005" s="78"/>
      <c r="F2005" s="78"/>
    </row>
    <row r="2006" spans="1:14" ht="12.6" customHeight="1" x14ac:dyDescent="0.3">
      <c r="A2006" s="78"/>
      <c r="B2006" s="78"/>
      <c r="C2006" s="78"/>
      <c r="D2006" s="78"/>
      <c r="E2006" s="78"/>
      <c r="F2006" s="78"/>
    </row>
    <row r="2007" spans="1:14" ht="12.6" customHeight="1" x14ac:dyDescent="0.3">
      <c r="A2007" s="78"/>
      <c r="B2007" s="78"/>
      <c r="C2007" s="78"/>
      <c r="D2007" s="78"/>
      <c r="E2007" s="78"/>
      <c r="F2007" s="78"/>
    </row>
    <row r="2008" spans="1:14" ht="12.6" customHeight="1" x14ac:dyDescent="0.3">
      <c r="A2008" s="78"/>
      <c r="B2008" s="78"/>
      <c r="C2008" s="78"/>
      <c r="D2008" s="78"/>
      <c r="E2008" s="78"/>
      <c r="F2008" s="78"/>
    </row>
    <row r="2009" spans="1:14" ht="12.6" customHeight="1" x14ac:dyDescent="0.3">
      <c r="A2009" s="78"/>
      <c r="B2009" s="78"/>
      <c r="C2009" s="78"/>
      <c r="D2009" s="78"/>
      <c r="E2009" s="78"/>
      <c r="F2009" s="78"/>
    </row>
    <row r="2010" spans="1:14" ht="12.6" customHeight="1" x14ac:dyDescent="0.3">
      <c r="A2010" s="78"/>
      <c r="B2010" s="78"/>
      <c r="C2010" s="78"/>
      <c r="D2010" s="78"/>
      <c r="E2010" s="78"/>
      <c r="F2010" s="78"/>
    </row>
    <row r="2011" spans="1:14" ht="12.6" customHeight="1" x14ac:dyDescent="0.3">
      <c r="A2011" s="78"/>
      <c r="B2011" s="78"/>
      <c r="C2011" s="78"/>
      <c r="D2011" s="78"/>
      <c r="E2011" s="78"/>
      <c r="F2011" s="78"/>
    </row>
    <row r="2012" spans="1:14" ht="12.6" customHeight="1" x14ac:dyDescent="0.3">
      <c r="A2012" s="78"/>
      <c r="B2012" s="78"/>
      <c r="C2012" s="78"/>
      <c r="D2012" s="78"/>
      <c r="E2012" s="78"/>
      <c r="F2012" s="78"/>
    </row>
    <row r="2013" spans="1:14" ht="12.6" customHeight="1" x14ac:dyDescent="0.3">
      <c r="A2013" s="78"/>
      <c r="B2013" s="78"/>
      <c r="C2013" s="78"/>
      <c r="D2013" s="78"/>
      <c r="E2013" s="78"/>
      <c r="F2013" s="78"/>
    </row>
    <row r="2014" spans="1:14" ht="12.6" customHeight="1" x14ac:dyDescent="0.3">
      <c r="A2014" s="56"/>
      <c r="B2014" s="56"/>
      <c r="C2014" s="56"/>
      <c r="D2014" s="56"/>
      <c r="E2014" s="56"/>
      <c r="F2014" s="56"/>
    </row>
    <row r="2015" spans="1:14" ht="12.6" customHeight="1" x14ac:dyDescent="0.3">
      <c r="A2015" s="143" t="s">
        <v>1101</v>
      </c>
      <c r="B2015" s="144"/>
      <c r="C2015" s="54">
        <f>E2015+D2015+F2015</f>
        <v>64336</v>
      </c>
      <c r="D2015" s="52">
        <f>ROUNDDOWN(SUMIF(N1950:N2002,M2015,D1950:D2002),0)</f>
        <v>0</v>
      </c>
      <c r="E2015" s="64">
        <f>ROUNDDOWN(SUMIF(N1950:N2002,M2015,E1950:E2002),0)</f>
        <v>0</v>
      </c>
      <c r="F2015" s="54">
        <f>ROUNDDOWN(SUMIF(N1950:N2002,M2015,F1950:F2002),0)</f>
        <v>64336</v>
      </c>
      <c r="M2015" s="35" t="s">
        <v>1011</v>
      </c>
      <c r="N2015" s="35" t="s">
        <v>1102</v>
      </c>
    </row>
    <row r="2016" spans="1:14" ht="12.6" customHeight="1" x14ac:dyDescent="0.3">
      <c r="A2016" s="143" t="s">
        <v>1103</v>
      </c>
      <c r="B2016" s="144"/>
      <c r="C2016" s="54">
        <f>E2016+D2016+F2016</f>
        <v>56451</v>
      </c>
      <c r="D2016" s="52">
        <f>ROUNDDOWN(D2015*H2016/100,0)</f>
        <v>0</v>
      </c>
      <c r="E2016" s="64">
        <f>ROUNDDOWN(E2015*H2016/100,0)</f>
        <v>0</v>
      </c>
      <c r="F2016" s="54">
        <f>ROUNDDOWN(F2015*H2016/100,0)</f>
        <v>56451</v>
      </c>
      <c r="H2016" s="37">
        <v>87.745000000000005</v>
      </c>
      <c r="M2016" s="35" t="s">
        <v>1102</v>
      </c>
    </row>
    <row r="2017" spans="1:13" ht="12.6" customHeight="1" x14ac:dyDescent="0.3">
      <c r="A2017" s="100" t="s">
        <v>286</v>
      </c>
      <c r="B2017" s="101" t="s">
        <v>283</v>
      </c>
      <c r="C2017" s="150">
        <f>C2085</f>
        <v>44049</v>
      </c>
      <c r="D2017" s="150">
        <f>D2085</f>
        <v>0</v>
      </c>
      <c r="E2017" s="150">
        <f>E2085</f>
        <v>0</v>
      </c>
      <c r="F2017" s="150">
        <f>F2085</f>
        <v>44049</v>
      </c>
      <c r="G2017" s="97" t="str">
        <f>HYPERLINK("#G"&amp;ROW(G2071),"_x0005_`BDCOD|D01495_x0007_`POSS|"&amp;ROW(G2019)&amp;"_x0007_`POSE|"&amp;ROW(G2071)&amp;"_x0007_`")</f>
        <v>_x0005_`BDCOD|D01495_x0007_`POSS|2019_x0007_`POSE|2071_x0007_`</v>
      </c>
    </row>
    <row r="2018" spans="1:13" ht="12.6" customHeight="1" x14ac:dyDescent="0.3">
      <c r="A2018" s="83"/>
      <c r="B2018" s="101" t="s">
        <v>282</v>
      </c>
      <c r="C2018" s="139"/>
      <c r="D2018" s="139"/>
      <c r="E2018" s="139"/>
      <c r="F2018" s="139"/>
      <c r="M2018" s="35" t="s">
        <v>286</v>
      </c>
    </row>
    <row r="2019" spans="1:13" ht="12.6" customHeight="1" x14ac:dyDescent="0.3">
      <c r="A2019" s="68"/>
      <c r="B2019" s="77" t="s">
        <v>2124</v>
      </c>
      <c r="C2019" s="103"/>
      <c r="D2019" s="103"/>
      <c r="E2019" s="103"/>
      <c r="F2019" s="103"/>
      <c r="G2019" s="17" t="s">
        <v>2123</v>
      </c>
    </row>
    <row r="2020" spans="1:13" ht="12.6" customHeight="1" x14ac:dyDescent="0.3">
      <c r="A2020" s="78"/>
      <c r="B2020" s="78"/>
      <c r="C2020" s="78"/>
      <c r="D2020" s="78"/>
      <c r="E2020" s="78"/>
      <c r="F2020" s="78"/>
      <c r="G2020" s="17" t="s">
        <v>1229</v>
      </c>
    </row>
    <row r="2021" spans="1:13" ht="12.6" customHeight="1" x14ac:dyDescent="0.3">
      <c r="A2021" s="68"/>
      <c r="B2021" s="77" t="s">
        <v>2126</v>
      </c>
      <c r="C2021" s="78"/>
      <c r="D2021" s="78"/>
      <c r="E2021" s="78"/>
      <c r="F2021" s="78"/>
      <c r="G2021" s="17" t="s">
        <v>2125</v>
      </c>
    </row>
    <row r="2022" spans="1:13" ht="12.6" customHeight="1" x14ac:dyDescent="0.3">
      <c r="A2022" s="78"/>
      <c r="B2022" s="78"/>
      <c r="C2022" s="78"/>
      <c r="D2022" s="78"/>
      <c r="E2022" s="78"/>
      <c r="F2022" s="78"/>
      <c r="G2022" s="17" t="s">
        <v>1229</v>
      </c>
    </row>
    <row r="2023" spans="1:13" ht="12.6" customHeight="1" x14ac:dyDescent="0.3">
      <c r="A2023" s="68"/>
      <c r="B2023" s="77" t="s">
        <v>2128</v>
      </c>
      <c r="C2023" s="78"/>
      <c r="D2023" s="78"/>
      <c r="E2023" s="78"/>
      <c r="F2023" s="78"/>
      <c r="G2023" s="17" t="s">
        <v>2127</v>
      </c>
    </row>
    <row r="2024" spans="1:13" ht="12.6" customHeight="1" x14ac:dyDescent="0.3">
      <c r="A2024" s="78"/>
      <c r="B2024" s="78"/>
      <c r="C2024" s="78"/>
      <c r="D2024" s="78"/>
      <c r="E2024" s="78"/>
      <c r="F2024" s="78"/>
      <c r="G2024" s="17" t="s">
        <v>1229</v>
      </c>
    </row>
    <row r="2025" spans="1:13" ht="12.6" customHeight="1" x14ac:dyDescent="0.3">
      <c r="A2025" s="68"/>
      <c r="B2025" s="77" t="s">
        <v>2165</v>
      </c>
      <c r="C2025" s="78"/>
      <c r="D2025" s="78"/>
      <c r="E2025" s="78"/>
      <c r="F2025" s="78"/>
      <c r="G2025" s="17" t="s">
        <v>2164</v>
      </c>
    </row>
    <row r="2026" spans="1:13" ht="12.6" customHeight="1" x14ac:dyDescent="0.3">
      <c r="A2026" s="78"/>
      <c r="B2026" s="78"/>
      <c r="C2026" s="78"/>
      <c r="D2026" s="78"/>
      <c r="E2026" s="78"/>
      <c r="F2026" s="78"/>
      <c r="G2026" s="17" t="s">
        <v>1229</v>
      </c>
    </row>
    <row r="2027" spans="1:13" ht="12.6" customHeight="1" x14ac:dyDescent="0.3">
      <c r="A2027" s="68"/>
      <c r="B2027" s="77" t="s">
        <v>2167</v>
      </c>
      <c r="C2027" s="78"/>
      <c r="D2027" s="78"/>
      <c r="E2027" s="78"/>
      <c r="F2027" s="78"/>
      <c r="G2027" s="17" t="s">
        <v>2166</v>
      </c>
    </row>
    <row r="2028" spans="1:13" ht="12.6" customHeight="1" x14ac:dyDescent="0.3">
      <c r="A2028" s="78"/>
      <c r="B2028" s="78"/>
      <c r="C2028" s="78"/>
      <c r="D2028" s="78"/>
      <c r="E2028" s="78"/>
      <c r="F2028" s="78"/>
      <c r="G2028" s="17" t="s">
        <v>1229</v>
      </c>
    </row>
    <row r="2029" spans="1:13" ht="12.6" customHeight="1" x14ac:dyDescent="0.3">
      <c r="A2029" s="68"/>
      <c r="B2029" s="77" t="s">
        <v>2134</v>
      </c>
      <c r="C2029" s="78"/>
      <c r="D2029" s="78"/>
      <c r="E2029" s="78"/>
      <c r="F2029" s="78"/>
      <c r="G2029" s="17" t="s">
        <v>2133</v>
      </c>
    </row>
    <row r="2030" spans="1:13" ht="12.6" customHeight="1" x14ac:dyDescent="0.3">
      <c r="A2030" s="78"/>
      <c r="B2030" s="78"/>
      <c r="C2030" s="78"/>
      <c r="D2030" s="78"/>
      <c r="E2030" s="78"/>
      <c r="F2030" s="78"/>
      <c r="G2030" s="17" t="s">
        <v>1229</v>
      </c>
    </row>
    <row r="2031" spans="1:13" ht="12.6" customHeight="1" x14ac:dyDescent="0.3">
      <c r="A2031" s="68"/>
      <c r="B2031" s="77" t="s">
        <v>1869</v>
      </c>
      <c r="C2031" s="78"/>
      <c r="D2031" s="78"/>
      <c r="E2031" s="78"/>
      <c r="F2031" s="78"/>
      <c r="G2031" s="17" t="s">
        <v>1868</v>
      </c>
    </row>
    <row r="2032" spans="1:13" ht="12.6" customHeight="1" x14ac:dyDescent="0.3">
      <c r="A2032" s="78"/>
      <c r="B2032" s="78"/>
      <c r="C2032" s="78"/>
      <c r="D2032" s="78"/>
      <c r="E2032" s="78"/>
      <c r="F2032" s="78"/>
      <c r="G2032" s="17" t="s">
        <v>1229</v>
      </c>
    </row>
    <row r="2033" spans="1:7" ht="12.6" customHeight="1" x14ac:dyDescent="0.3">
      <c r="A2033" s="68"/>
      <c r="B2033" s="77" t="s">
        <v>2136</v>
      </c>
      <c r="C2033" s="78"/>
      <c r="D2033" s="78"/>
      <c r="E2033" s="78"/>
      <c r="F2033" s="78"/>
      <c r="G2033" s="17" t="s">
        <v>2135</v>
      </c>
    </row>
    <row r="2034" spans="1:7" ht="12.6" customHeight="1" x14ac:dyDescent="0.3">
      <c r="A2034" s="78"/>
      <c r="B2034" s="78"/>
      <c r="C2034" s="78"/>
      <c r="D2034" s="78"/>
      <c r="E2034" s="78"/>
      <c r="F2034" s="78"/>
      <c r="G2034" s="17" t="s">
        <v>1229</v>
      </c>
    </row>
    <row r="2035" spans="1:7" ht="12.6" customHeight="1" x14ac:dyDescent="0.3">
      <c r="A2035" s="68"/>
      <c r="B2035" s="77" t="s">
        <v>2040</v>
      </c>
      <c r="C2035" s="78"/>
      <c r="D2035" s="78"/>
      <c r="E2035" s="78"/>
      <c r="F2035" s="78"/>
      <c r="G2035" s="17" t="s">
        <v>2039</v>
      </c>
    </row>
    <row r="2036" spans="1:7" ht="12.6" customHeight="1" x14ac:dyDescent="0.3">
      <c r="A2036" s="78"/>
      <c r="B2036" s="78"/>
      <c r="C2036" s="78"/>
      <c r="D2036" s="78"/>
      <c r="E2036" s="78"/>
      <c r="F2036" s="78"/>
      <c r="G2036" s="17" t="s">
        <v>1229</v>
      </c>
    </row>
    <row r="2037" spans="1:7" ht="12.6" customHeight="1" x14ac:dyDescent="0.3">
      <c r="A2037" s="68"/>
      <c r="B2037" s="77" t="s">
        <v>2042</v>
      </c>
      <c r="C2037" s="78"/>
      <c r="D2037" s="78"/>
      <c r="E2037" s="78"/>
      <c r="F2037" s="78"/>
      <c r="G2037" s="17" t="s">
        <v>2041</v>
      </c>
    </row>
    <row r="2038" spans="1:7" ht="12.6" customHeight="1" x14ac:dyDescent="0.3">
      <c r="A2038" s="78"/>
      <c r="B2038" s="78"/>
      <c r="C2038" s="78"/>
      <c r="D2038" s="78"/>
      <c r="E2038" s="78"/>
      <c r="F2038" s="78"/>
      <c r="G2038" s="17" t="s">
        <v>1229</v>
      </c>
    </row>
    <row r="2039" spans="1:7" ht="12.6" customHeight="1" x14ac:dyDescent="0.3">
      <c r="A2039" s="68"/>
      <c r="B2039" s="77" t="s">
        <v>2044</v>
      </c>
      <c r="C2039" s="78"/>
      <c r="D2039" s="78"/>
      <c r="E2039" s="78"/>
      <c r="F2039" s="78"/>
      <c r="G2039" s="17" t="s">
        <v>2043</v>
      </c>
    </row>
    <row r="2040" spans="1:7" ht="12.6" customHeight="1" x14ac:dyDescent="0.3">
      <c r="A2040" s="78"/>
      <c r="B2040" s="78"/>
      <c r="C2040" s="78"/>
      <c r="D2040" s="78"/>
      <c r="E2040" s="78"/>
      <c r="F2040" s="78"/>
      <c r="G2040" s="17" t="s">
        <v>1229</v>
      </c>
    </row>
    <row r="2041" spans="1:7" ht="12.6" customHeight="1" x14ac:dyDescent="0.3">
      <c r="A2041" s="68"/>
      <c r="B2041" s="77" t="s">
        <v>2046</v>
      </c>
      <c r="C2041" s="78"/>
      <c r="D2041" s="78"/>
      <c r="E2041" s="78"/>
      <c r="F2041" s="78"/>
      <c r="G2041" s="17" t="s">
        <v>2045</v>
      </c>
    </row>
    <row r="2042" spans="1:7" ht="12.6" customHeight="1" x14ac:dyDescent="0.3">
      <c r="A2042" s="78"/>
      <c r="B2042" s="78"/>
      <c r="C2042" s="78"/>
      <c r="D2042" s="78"/>
      <c r="E2042" s="78"/>
      <c r="F2042" s="78"/>
      <c r="G2042" s="17" t="s">
        <v>1229</v>
      </c>
    </row>
    <row r="2043" spans="1:7" ht="12.6" customHeight="1" x14ac:dyDescent="0.3">
      <c r="A2043" s="68"/>
      <c r="B2043" s="77" t="s">
        <v>2169</v>
      </c>
      <c r="C2043" s="78"/>
      <c r="D2043" s="78"/>
      <c r="E2043" s="78"/>
      <c r="F2043" s="78"/>
      <c r="G2043" s="17" t="s">
        <v>2168</v>
      </c>
    </row>
    <row r="2044" spans="1:7" ht="12.6" customHeight="1" x14ac:dyDescent="0.3">
      <c r="A2044" s="78"/>
      <c r="B2044" s="78"/>
      <c r="C2044" s="78"/>
      <c r="D2044" s="78"/>
      <c r="E2044" s="78"/>
      <c r="F2044" s="78"/>
      <c r="G2044" s="17" t="s">
        <v>1229</v>
      </c>
    </row>
    <row r="2045" spans="1:7" ht="12.6" customHeight="1" x14ac:dyDescent="0.3">
      <c r="A2045" s="68"/>
      <c r="B2045" s="77" t="s">
        <v>2170</v>
      </c>
      <c r="C2045" s="78"/>
      <c r="D2045" s="78"/>
      <c r="E2045" s="78"/>
      <c r="F2045" s="78"/>
      <c r="G2045" s="17" t="s">
        <v>2139</v>
      </c>
    </row>
    <row r="2046" spans="1:7" ht="12.6" customHeight="1" x14ac:dyDescent="0.3">
      <c r="A2046" s="78"/>
      <c r="B2046" s="78"/>
      <c r="C2046" s="78"/>
      <c r="D2046" s="78"/>
      <c r="E2046" s="78"/>
      <c r="F2046" s="78"/>
      <c r="G2046" s="17" t="s">
        <v>1229</v>
      </c>
    </row>
    <row r="2047" spans="1:7" ht="12.6" customHeight="1" x14ac:dyDescent="0.3">
      <c r="A2047" s="68"/>
      <c r="B2047" s="77" t="s">
        <v>2142</v>
      </c>
      <c r="C2047" s="78"/>
      <c r="D2047" s="78"/>
      <c r="E2047" s="78"/>
      <c r="F2047" s="78"/>
      <c r="G2047" s="17" t="s">
        <v>2141</v>
      </c>
    </row>
    <row r="2048" spans="1:7" ht="12.6" customHeight="1" x14ac:dyDescent="0.3">
      <c r="A2048" s="78"/>
      <c r="B2048" s="78"/>
      <c r="C2048" s="78"/>
      <c r="D2048" s="78"/>
      <c r="E2048" s="78"/>
      <c r="F2048" s="78"/>
      <c r="G2048" s="17" t="s">
        <v>1229</v>
      </c>
    </row>
    <row r="2049" spans="1:25" ht="12.6" customHeight="1" x14ac:dyDescent="0.3">
      <c r="A2049" s="68"/>
      <c r="B2049" s="77" t="s">
        <v>2171</v>
      </c>
      <c r="C2049" s="78"/>
      <c r="D2049" s="78"/>
      <c r="E2049" s="78"/>
      <c r="F2049" s="78"/>
      <c r="G2049" s="17" t="s">
        <v>2143</v>
      </c>
    </row>
    <row r="2050" spans="1:25" ht="12.6" customHeight="1" x14ac:dyDescent="0.3">
      <c r="A2050" s="78"/>
      <c r="B2050" s="78"/>
      <c r="C2050" s="78"/>
      <c r="D2050" s="78"/>
      <c r="E2050" s="78"/>
      <c r="F2050" s="78"/>
      <c r="G2050" s="17" t="s">
        <v>1229</v>
      </c>
    </row>
    <row r="2051" spans="1:25" ht="12.6" customHeight="1" x14ac:dyDescent="0.3">
      <c r="A2051" s="68"/>
      <c r="B2051" s="77" t="s">
        <v>2172</v>
      </c>
      <c r="C2051" s="78"/>
      <c r="D2051" s="78"/>
      <c r="E2051" s="78"/>
      <c r="F2051" s="78"/>
      <c r="G2051" s="17" t="s">
        <v>2145</v>
      </c>
    </row>
    <row r="2052" spans="1:25" ht="12.6" customHeight="1" x14ac:dyDescent="0.3">
      <c r="A2052" s="78"/>
      <c r="B2052" s="78"/>
      <c r="C2052" s="78"/>
      <c r="D2052" s="78"/>
      <c r="E2052" s="78"/>
      <c r="F2052" s="78"/>
      <c r="G2052" s="17" t="s">
        <v>1229</v>
      </c>
    </row>
    <row r="2053" spans="1:25" ht="12.6" customHeight="1" x14ac:dyDescent="0.3">
      <c r="A2053" s="68"/>
      <c r="B2053" s="77" t="s">
        <v>2148</v>
      </c>
      <c r="C2053" s="78"/>
      <c r="D2053" s="78"/>
      <c r="E2053" s="78"/>
      <c r="F2053" s="78"/>
      <c r="G2053" s="17" t="s">
        <v>2147</v>
      </c>
    </row>
    <row r="2054" spans="1:25" ht="12.6" customHeight="1" x14ac:dyDescent="0.3">
      <c r="A2054" s="78"/>
      <c r="B2054" s="78"/>
      <c r="C2054" s="78"/>
      <c r="D2054" s="78"/>
      <c r="E2054" s="78"/>
      <c r="F2054" s="78"/>
      <c r="G2054" s="17" t="s">
        <v>1229</v>
      </c>
    </row>
    <row r="2055" spans="1:25" ht="12.6" customHeight="1" x14ac:dyDescent="0.3">
      <c r="A2055" s="68"/>
      <c r="B2055" s="77" t="s">
        <v>2150</v>
      </c>
      <c r="C2055" s="78"/>
      <c r="D2055" s="78"/>
      <c r="E2055" s="78"/>
      <c r="F2055" s="78"/>
      <c r="G2055" s="17" t="s">
        <v>2149</v>
      </c>
    </row>
    <row r="2056" spans="1:25" ht="12.6" customHeight="1" x14ac:dyDescent="0.3">
      <c r="A2056" s="78"/>
      <c r="B2056" s="78"/>
      <c r="C2056" s="78"/>
      <c r="D2056" s="78"/>
      <c r="E2056" s="78"/>
      <c r="F2056" s="78"/>
      <c r="G2056" s="17" t="s">
        <v>1229</v>
      </c>
    </row>
    <row r="2057" spans="1:25" ht="12.6" customHeight="1" x14ac:dyDescent="0.3">
      <c r="A2057" s="68"/>
      <c r="B2057" s="77" t="s">
        <v>2152</v>
      </c>
      <c r="C2057" s="78"/>
      <c r="D2057" s="78"/>
      <c r="E2057" s="78"/>
      <c r="F2057" s="78"/>
      <c r="G2057" s="17" t="s">
        <v>2151</v>
      </c>
    </row>
    <row r="2058" spans="1:25" ht="12.6" customHeight="1" x14ac:dyDescent="0.3">
      <c r="A2058" s="78"/>
      <c r="B2058" s="78"/>
      <c r="C2058" s="78"/>
      <c r="D2058" s="78"/>
      <c r="E2058" s="78"/>
      <c r="F2058" s="78"/>
      <c r="G2058" s="17" t="s">
        <v>1229</v>
      </c>
    </row>
    <row r="2059" spans="1:25" ht="12.6" customHeight="1" x14ac:dyDescent="0.3">
      <c r="A2059" s="68"/>
      <c r="B2059" s="77" t="s">
        <v>2173</v>
      </c>
      <c r="C2059" s="78"/>
      <c r="D2059" s="78"/>
      <c r="E2059" s="78"/>
      <c r="F2059" s="78"/>
      <c r="G2059" s="17" t="s">
        <v>2153</v>
      </c>
    </row>
    <row r="2060" spans="1:25" ht="12.6" customHeight="1" x14ac:dyDescent="0.3">
      <c r="A2060" s="78"/>
      <c r="B2060" s="78"/>
      <c r="C2060" s="78"/>
      <c r="D2060" s="78"/>
      <c r="E2060" s="78"/>
      <c r="F2060" s="78"/>
      <c r="G2060" s="17" t="s">
        <v>1229</v>
      </c>
    </row>
    <row r="2061" spans="1:25" ht="12.6" customHeight="1" x14ac:dyDescent="0.3">
      <c r="A2061" s="68"/>
      <c r="B2061" s="77" t="s">
        <v>2174</v>
      </c>
      <c r="C2061" s="78"/>
      <c r="D2061" s="78"/>
      <c r="E2061" s="78"/>
      <c r="F2061" s="78"/>
      <c r="G2061" s="17" t="s">
        <v>2155</v>
      </c>
    </row>
    <row r="2062" spans="1:25" ht="12.6" customHeight="1" x14ac:dyDescent="0.3">
      <c r="A2062" s="78"/>
      <c r="B2062" s="78"/>
      <c r="C2062" s="78"/>
      <c r="D2062" s="78"/>
      <c r="E2062" s="78"/>
      <c r="F2062" s="78"/>
      <c r="G2062" s="17" t="s">
        <v>1229</v>
      </c>
    </row>
    <row r="2063" spans="1:25" ht="12.6" customHeight="1" x14ac:dyDescent="0.3">
      <c r="A2063" s="68" t="s">
        <v>2158</v>
      </c>
      <c r="B2063" s="102" t="str">
        <f>"  노 무 비  :   "&amp;TEXT(I2063,"#,##0"&amp;IF(I2063&lt;&gt;INT(I2063),".###",""))&amp;" / Q = "&amp;TEXT(C2063,"#,##0.0")&amp;""</f>
        <v xml:space="preserve">  노 무 비  :   57,077 / Q = 21,620.0</v>
      </c>
      <c r="C2063" s="104">
        <f>E2063+D2063+F2063</f>
        <v>21620</v>
      </c>
      <c r="D2063" s="104">
        <f>IF(H2063=0,0,ROUNDDOWN(J2063*H2063,1))</f>
        <v>21620</v>
      </c>
      <c r="E2063" s="104">
        <f>IF(H2063=0,0,ROUNDDOWN(K2063*H2063,1))</f>
        <v>0</v>
      </c>
      <c r="F2063" s="104">
        <f>IF(H2063=0,0,ROUNDDOWN(L2063*H2063,1))</f>
        <v>0</v>
      </c>
      <c r="G2063" s="17" t="s">
        <v>2175</v>
      </c>
      <c r="H2063" s="109">
        <v>0.3787878787881</v>
      </c>
      <c r="I2063" s="110">
        <f>K2063+J2063+L2063</f>
        <v>57077</v>
      </c>
      <c r="J2063" s="39">
        <f>중기목록표!F21</f>
        <v>57077</v>
      </c>
      <c r="M2063" s="35" t="s">
        <v>2159</v>
      </c>
      <c r="N2063" s="35" t="s">
        <v>2120</v>
      </c>
      <c r="X2063" s="111" t="str">
        <f>중기목록표!B21&amp;" / "&amp;중기목록표!C21</f>
        <v>덤프트럭 / 24톤</v>
      </c>
      <c r="Y2063" s="3" t="str">
        <f ca="1">HYPERLINK("#"&amp;중기목록표!J2&amp;"!A"&amp;ROW(중기목록표!A21),"X00292 →")</f>
        <v>X00292 →</v>
      </c>
    </row>
    <row r="2064" spans="1:25" ht="12.6" customHeight="1" x14ac:dyDescent="0.3">
      <c r="A2064" s="78"/>
      <c r="B2064" s="78"/>
      <c r="C2064" s="78"/>
      <c r="D2064" s="78"/>
      <c r="E2064" s="78"/>
      <c r="F2064" s="78"/>
      <c r="G2064" s="17" t="s">
        <v>1229</v>
      </c>
    </row>
    <row r="2065" spans="1:25" ht="12.6" customHeight="1" x14ac:dyDescent="0.3">
      <c r="A2065" s="68" t="s">
        <v>2161</v>
      </c>
      <c r="B2065" s="102" t="str">
        <f>"  재 료 비  :   "&amp;TEXT(I2065,"#,##0"&amp;IF(I2065&lt;&gt;INT(I2065),".###",""))&amp;" / Q = "&amp;TEXT(C2065,"#,##0.0")&amp;""</f>
        <v xml:space="preserve">  재 료 비  :   43,134 / Q = 16,338.6</v>
      </c>
      <c r="C2065" s="104">
        <f>E2065+D2065+F2065</f>
        <v>16338.6</v>
      </c>
      <c r="D2065" s="104">
        <f>IF(H2065=0,0,ROUNDDOWN(J2065*H2065,1))</f>
        <v>0</v>
      </c>
      <c r="E2065" s="104">
        <f>IF(H2065=0,0,ROUNDDOWN(K2065*H2065,1))</f>
        <v>16338.6</v>
      </c>
      <c r="F2065" s="104">
        <f>IF(H2065=0,0,ROUNDDOWN(L2065*H2065,1))</f>
        <v>0</v>
      </c>
      <c r="G2065" s="17" t="s">
        <v>2176</v>
      </c>
      <c r="H2065" s="109">
        <v>0.3787878787881</v>
      </c>
      <c r="I2065" s="110">
        <f>K2065+J2065+L2065</f>
        <v>43134</v>
      </c>
      <c r="K2065" s="39">
        <f>중기목록표!G21</f>
        <v>43134</v>
      </c>
      <c r="M2065" s="35" t="s">
        <v>2159</v>
      </c>
      <c r="N2065" s="35" t="s">
        <v>2120</v>
      </c>
      <c r="X2065" s="111" t="str">
        <f>중기목록표!B21&amp;" / "&amp;중기목록표!C21</f>
        <v>덤프트럭 / 24톤</v>
      </c>
      <c r="Y2065" s="3" t="str">
        <f ca="1">HYPERLINK("#"&amp;중기목록표!J2&amp;"!A"&amp;ROW(중기목록표!A21),"X00292 →")</f>
        <v>X00292 →</v>
      </c>
    </row>
    <row r="2066" spans="1:25" ht="12.6" customHeight="1" x14ac:dyDescent="0.3">
      <c r="A2066" s="78"/>
      <c r="B2066" s="78"/>
      <c r="C2066" s="78"/>
      <c r="D2066" s="78"/>
      <c r="E2066" s="78"/>
      <c r="F2066" s="78"/>
      <c r="G2066" s="17" t="s">
        <v>1229</v>
      </c>
    </row>
    <row r="2067" spans="1:25" ht="12.6" customHeight="1" x14ac:dyDescent="0.3">
      <c r="A2067" s="68" t="s">
        <v>2163</v>
      </c>
      <c r="B2067" s="102" t="str">
        <f>"  경    비  :   "&amp;TEXT(I2067,"#,##0"&amp;IF(I2067&lt;&gt;INT(I2067),".###",""))&amp;" / Q = "&amp;TEXT(C2067,"#,##0.0")&amp;""</f>
        <v xml:space="preserve">  경    비  :   32,323 / Q = 12,243.5</v>
      </c>
      <c r="C2067" s="104">
        <f>E2067+D2067+F2067</f>
        <v>12243.5</v>
      </c>
      <c r="D2067" s="104">
        <f>IF(H2067=0,0,ROUNDDOWN(J2067*H2067,1))</f>
        <v>0</v>
      </c>
      <c r="E2067" s="104">
        <f>IF(H2067=0,0,ROUNDDOWN(K2067*H2067,1))</f>
        <v>0</v>
      </c>
      <c r="F2067" s="104">
        <f>IF(H2067=0,0,ROUNDDOWN(L2067*H2067,1))</f>
        <v>12243.5</v>
      </c>
      <c r="G2067" s="17" t="s">
        <v>2177</v>
      </c>
      <c r="H2067" s="109">
        <v>0.3787878787881</v>
      </c>
      <c r="I2067" s="110">
        <f>K2067+J2067+L2067</f>
        <v>32323</v>
      </c>
      <c r="L2067" s="39">
        <f>중기목록표!H21</f>
        <v>32323</v>
      </c>
      <c r="M2067" s="35" t="s">
        <v>2159</v>
      </c>
      <c r="N2067" s="35" t="s">
        <v>2120</v>
      </c>
      <c r="X2067" s="111" t="str">
        <f>중기목록표!B21&amp;" / "&amp;중기목록표!C21</f>
        <v>덤프트럭 / 24톤</v>
      </c>
      <c r="Y2067" s="3" t="str">
        <f ca="1">HYPERLINK("#"&amp;중기목록표!J2&amp;"!A"&amp;ROW(중기목록표!A21),"X00292 →")</f>
        <v>X00292 →</v>
      </c>
    </row>
    <row r="2068" spans="1:25" ht="12.6" customHeight="1" x14ac:dyDescent="0.3">
      <c r="A2068" s="78"/>
      <c r="B2068" s="78"/>
      <c r="C2068" s="78"/>
      <c r="D2068" s="78"/>
      <c r="E2068" s="78"/>
      <c r="F2068" s="78"/>
      <c r="G2068" s="17" t="s">
        <v>1229</v>
      </c>
    </row>
    <row r="2069" spans="1:25" ht="12.6" customHeight="1" x14ac:dyDescent="0.3">
      <c r="A2069" s="68"/>
      <c r="B2069" s="77" t="s">
        <v>2119</v>
      </c>
      <c r="C2069" s="107">
        <f>E2069+D2069+F2069</f>
        <v>50202.1</v>
      </c>
      <c r="D2069" s="107">
        <f>SUMIF(N2019:N2068,M2069,D2019:D2068)</f>
        <v>21620</v>
      </c>
      <c r="E2069" s="107">
        <f>SUMIF(N2019:N2068,M2069,E2019:E2068)</f>
        <v>16338.6</v>
      </c>
      <c r="F2069" s="107">
        <f>SUMIF(N2019:N2068,M2069,F2019:F2068)</f>
        <v>12243.5</v>
      </c>
      <c r="G2069" s="17" t="s">
        <v>2118</v>
      </c>
      <c r="M2069" s="35" t="s">
        <v>2120</v>
      </c>
    </row>
    <row r="2070" spans="1:25" ht="12.6" customHeight="1" x14ac:dyDescent="0.3">
      <c r="A2070" s="78"/>
      <c r="B2070" s="78"/>
      <c r="C2070" s="108"/>
      <c r="D2070" s="108"/>
      <c r="E2070" s="108"/>
      <c r="F2070" s="108"/>
      <c r="G2070" s="17" t="s">
        <v>1229</v>
      </c>
    </row>
    <row r="2071" spans="1:25" ht="12.6" customHeight="1" x14ac:dyDescent="0.3">
      <c r="A2071" s="68" t="s">
        <v>652</v>
      </c>
      <c r="B2071" s="102" t="str">
        <f>" ○운반비 계 : "&amp;TEXT(I2071,"#,##0"&amp;IF(I2071&lt;&gt;INT(I2071),".###",""))&amp;" * 1 식  = "&amp;TEXT(C2071,"#,##0.0")&amp;""</f>
        <v xml:space="preserve"> ○운반비 계 : 50,202.1 * 1 식  = 50,202.1</v>
      </c>
      <c r="C2071" s="104">
        <f>E2071+D2071+F2071</f>
        <v>50202.1</v>
      </c>
      <c r="D2071" s="104">
        <f>IF(H2071=0,0,ROUNDDOWN(J2071*H2071,1))</f>
        <v>0</v>
      </c>
      <c r="E2071" s="104">
        <f>IF(H2071=0,0,ROUNDDOWN(K2071*H2071,1))</f>
        <v>0</v>
      </c>
      <c r="F2071" s="104">
        <f>IF(H2071=0,0,ROUNDDOWN(L2071*H2071,1))</f>
        <v>50202.1</v>
      </c>
      <c r="G2071" s="17" t="s">
        <v>2121</v>
      </c>
      <c r="H2071" s="109">
        <v>1</v>
      </c>
      <c r="I2071" s="110">
        <f>K2071+J2071+L2071</f>
        <v>50202.1</v>
      </c>
      <c r="J2071" s="36">
        <v>0</v>
      </c>
      <c r="K2071" s="36">
        <v>0</v>
      </c>
      <c r="L2071" s="37">
        <v>50202.1</v>
      </c>
      <c r="M2071" s="35" t="s">
        <v>2122</v>
      </c>
      <c r="N2071" s="35" t="s">
        <v>1011</v>
      </c>
    </row>
    <row r="2072" spans="1:25" ht="12.6" customHeight="1" x14ac:dyDescent="0.3">
      <c r="A2072" s="78"/>
      <c r="B2072" s="78"/>
      <c r="C2072" s="78"/>
      <c r="D2072" s="78"/>
      <c r="E2072" s="78"/>
      <c r="F2072" s="78"/>
    </row>
    <row r="2073" spans="1:25" ht="12.6" customHeight="1" x14ac:dyDescent="0.3">
      <c r="A2073" s="78"/>
      <c r="B2073" s="78"/>
      <c r="C2073" s="78"/>
      <c r="D2073" s="78"/>
      <c r="E2073" s="78"/>
      <c r="F2073" s="78"/>
    </row>
    <row r="2074" spans="1:25" ht="12.6" customHeight="1" x14ac:dyDescent="0.3">
      <c r="A2074" s="78"/>
      <c r="B2074" s="78"/>
      <c r="C2074" s="78"/>
      <c r="D2074" s="78"/>
      <c r="E2074" s="78"/>
      <c r="F2074" s="78"/>
    </row>
    <row r="2075" spans="1:25" ht="12.6" customHeight="1" x14ac:dyDescent="0.3">
      <c r="A2075" s="78"/>
      <c r="B2075" s="78"/>
      <c r="C2075" s="78"/>
      <c r="D2075" s="78"/>
      <c r="E2075" s="78"/>
      <c r="F2075" s="78"/>
    </row>
    <row r="2076" spans="1:25" ht="12.6" customHeight="1" x14ac:dyDescent="0.3">
      <c r="A2076" s="78"/>
      <c r="B2076" s="78"/>
      <c r="C2076" s="78"/>
      <c r="D2076" s="78"/>
      <c r="E2076" s="78"/>
      <c r="F2076" s="78"/>
    </row>
    <row r="2077" spans="1:25" ht="12.6" customHeight="1" x14ac:dyDescent="0.3">
      <c r="A2077" s="78"/>
      <c r="B2077" s="78"/>
      <c r="C2077" s="78"/>
      <c r="D2077" s="78"/>
      <c r="E2077" s="78"/>
      <c r="F2077" s="78"/>
    </row>
    <row r="2078" spans="1:25" ht="12.6" customHeight="1" x14ac:dyDescent="0.3">
      <c r="A2078" s="78"/>
      <c r="B2078" s="78"/>
      <c r="C2078" s="78"/>
      <c r="D2078" s="78"/>
      <c r="E2078" s="78"/>
      <c r="F2078" s="78"/>
    </row>
    <row r="2079" spans="1:25" ht="12.6" customHeight="1" x14ac:dyDescent="0.3">
      <c r="A2079" s="78"/>
      <c r="B2079" s="78"/>
      <c r="C2079" s="78"/>
      <c r="D2079" s="78"/>
      <c r="E2079" s="78"/>
      <c r="F2079" s="78"/>
    </row>
    <row r="2080" spans="1:25" ht="12.6" customHeight="1" x14ac:dyDescent="0.3">
      <c r="A2080" s="78"/>
      <c r="B2080" s="78"/>
      <c r="C2080" s="78"/>
      <c r="D2080" s="78"/>
      <c r="E2080" s="78"/>
      <c r="F2080" s="78"/>
    </row>
    <row r="2081" spans="1:14" ht="12.6" customHeight="1" x14ac:dyDescent="0.3">
      <c r="A2081" s="78"/>
      <c r="B2081" s="78"/>
      <c r="C2081" s="78"/>
      <c r="D2081" s="78"/>
      <c r="E2081" s="78"/>
      <c r="F2081" s="78"/>
    </row>
    <row r="2082" spans="1:14" ht="12.6" customHeight="1" x14ac:dyDescent="0.3">
      <c r="A2082" s="78"/>
      <c r="B2082" s="78"/>
      <c r="C2082" s="78"/>
      <c r="D2082" s="78"/>
      <c r="E2082" s="78"/>
      <c r="F2082" s="78"/>
    </row>
    <row r="2083" spans="1:14" ht="12.6" customHeight="1" x14ac:dyDescent="0.3">
      <c r="A2083" s="56"/>
      <c r="B2083" s="56"/>
      <c r="C2083" s="56"/>
      <c r="D2083" s="56"/>
      <c r="E2083" s="56"/>
      <c r="F2083" s="56"/>
    </row>
    <row r="2084" spans="1:14" ht="12.6" customHeight="1" x14ac:dyDescent="0.3">
      <c r="A2084" s="143" t="s">
        <v>1101</v>
      </c>
      <c r="B2084" s="144"/>
      <c r="C2084" s="54">
        <f>E2084+D2084+F2084</f>
        <v>50202</v>
      </c>
      <c r="D2084" s="52">
        <f>ROUNDDOWN(SUMIF(N2019:N2071,M2084,D2019:D2071),0)</f>
        <v>0</v>
      </c>
      <c r="E2084" s="64">
        <f>ROUNDDOWN(SUMIF(N2019:N2071,M2084,E2019:E2071),0)</f>
        <v>0</v>
      </c>
      <c r="F2084" s="54">
        <f>ROUNDDOWN(SUMIF(N2019:N2071,M2084,F2019:F2071),0)</f>
        <v>50202</v>
      </c>
      <c r="M2084" s="35" t="s">
        <v>1011</v>
      </c>
      <c r="N2084" s="35" t="s">
        <v>1102</v>
      </c>
    </row>
    <row r="2085" spans="1:14" ht="12.6" customHeight="1" x14ac:dyDescent="0.3">
      <c r="A2085" s="143" t="s">
        <v>1103</v>
      </c>
      <c r="B2085" s="144"/>
      <c r="C2085" s="54">
        <f>E2085+D2085+F2085</f>
        <v>44049</v>
      </c>
      <c r="D2085" s="52">
        <f>ROUNDDOWN(D2084*H2085/100,0)</f>
        <v>0</v>
      </c>
      <c r="E2085" s="64">
        <f>ROUNDDOWN(E2084*H2085/100,0)</f>
        <v>0</v>
      </c>
      <c r="F2085" s="54">
        <f>ROUNDDOWN(F2084*H2085/100,0)</f>
        <v>44049</v>
      </c>
      <c r="H2085" s="37">
        <v>87.745000000000005</v>
      </c>
      <c r="M2085" s="35" t="s">
        <v>1102</v>
      </c>
    </row>
    <row r="2086" spans="1:14" ht="12.6" customHeight="1" x14ac:dyDescent="0.3">
      <c r="A2086" s="100" t="s">
        <v>291</v>
      </c>
      <c r="B2086" s="101" t="s">
        <v>288</v>
      </c>
      <c r="C2086" s="150">
        <f>C2189</f>
        <v>6576</v>
      </c>
      <c r="D2086" s="150">
        <f>D2189</f>
        <v>0</v>
      </c>
      <c r="E2086" s="150">
        <f>E2189</f>
        <v>0</v>
      </c>
      <c r="F2086" s="150">
        <f>F2189</f>
        <v>6576</v>
      </c>
      <c r="G2086" s="97" t="str">
        <f>HYPERLINK("#G"&amp;ROW(G2162),"_x0005_`BDCOD|D01496_x0007_`POSS|"&amp;ROW(G2088)&amp;"_x0007_`POSE|"&amp;ROW(G2162)&amp;"_x0007_`")</f>
        <v>_x0005_`BDCOD|D01496_x0007_`POSS|2088_x0007_`POSE|2162_x0007_`</v>
      </c>
    </row>
    <row r="2087" spans="1:14" ht="12.6" customHeight="1" x14ac:dyDescent="0.3">
      <c r="A2087" s="83"/>
      <c r="B2087" s="101" t="s">
        <v>287</v>
      </c>
      <c r="C2087" s="139"/>
      <c r="D2087" s="139"/>
      <c r="E2087" s="139"/>
      <c r="F2087" s="139"/>
      <c r="M2087" s="35" t="s">
        <v>291</v>
      </c>
    </row>
    <row r="2088" spans="1:14" ht="12.6" customHeight="1" x14ac:dyDescent="0.3">
      <c r="A2088" s="68"/>
      <c r="B2088" s="77" t="s">
        <v>2179</v>
      </c>
      <c r="C2088" s="103"/>
      <c r="D2088" s="103"/>
      <c r="E2088" s="103"/>
      <c r="F2088" s="103"/>
      <c r="G2088" s="17" t="s">
        <v>2178</v>
      </c>
    </row>
    <row r="2089" spans="1:14" ht="12.6" customHeight="1" x14ac:dyDescent="0.3">
      <c r="A2089" s="78"/>
      <c r="B2089" s="78"/>
      <c r="C2089" s="78"/>
      <c r="D2089" s="78"/>
      <c r="E2089" s="78"/>
      <c r="F2089" s="78"/>
      <c r="G2089" s="17" t="s">
        <v>1229</v>
      </c>
    </row>
    <row r="2090" spans="1:14" ht="12.6" customHeight="1" x14ac:dyDescent="0.3">
      <c r="A2090" s="68"/>
      <c r="B2090" s="77" t="s">
        <v>2181</v>
      </c>
      <c r="C2090" s="78"/>
      <c r="D2090" s="78"/>
      <c r="E2090" s="78"/>
      <c r="F2090" s="78"/>
      <c r="G2090" s="17" t="s">
        <v>2180</v>
      </c>
    </row>
    <row r="2091" spans="1:14" ht="12.6" customHeight="1" x14ac:dyDescent="0.3">
      <c r="A2091" s="78"/>
      <c r="B2091" s="78"/>
      <c r="C2091" s="78"/>
      <c r="D2091" s="78"/>
      <c r="E2091" s="78"/>
      <c r="F2091" s="78"/>
      <c r="G2091" s="17" t="s">
        <v>1229</v>
      </c>
    </row>
    <row r="2092" spans="1:14" ht="12.6" customHeight="1" x14ac:dyDescent="0.3">
      <c r="A2092" s="68"/>
      <c r="B2092" s="77" t="s">
        <v>2183</v>
      </c>
      <c r="C2092" s="78"/>
      <c r="D2092" s="78"/>
      <c r="E2092" s="78"/>
      <c r="F2092" s="78"/>
      <c r="G2092" s="17" t="s">
        <v>2182</v>
      </c>
    </row>
    <row r="2093" spans="1:14" ht="12.6" customHeight="1" x14ac:dyDescent="0.3">
      <c r="A2093" s="78"/>
      <c r="B2093" s="78"/>
      <c r="C2093" s="78"/>
      <c r="D2093" s="78"/>
      <c r="E2093" s="78"/>
      <c r="F2093" s="78"/>
      <c r="G2093" s="17" t="s">
        <v>1229</v>
      </c>
    </row>
    <row r="2094" spans="1:14" ht="12.6" customHeight="1" x14ac:dyDescent="0.3">
      <c r="A2094" s="68"/>
      <c r="B2094" s="77" t="s">
        <v>2185</v>
      </c>
      <c r="C2094" s="78"/>
      <c r="D2094" s="78"/>
      <c r="E2094" s="78"/>
      <c r="F2094" s="78"/>
      <c r="G2094" s="17" t="s">
        <v>2184</v>
      </c>
    </row>
    <row r="2095" spans="1:14" ht="12.6" customHeight="1" x14ac:dyDescent="0.3">
      <c r="A2095" s="78"/>
      <c r="B2095" s="78"/>
      <c r="C2095" s="78"/>
      <c r="D2095" s="78"/>
      <c r="E2095" s="78"/>
      <c r="F2095" s="78"/>
      <c r="G2095" s="17" t="s">
        <v>1229</v>
      </c>
    </row>
    <row r="2096" spans="1:14" ht="12.6" customHeight="1" x14ac:dyDescent="0.3">
      <c r="A2096" s="68"/>
      <c r="B2096" s="77" t="s">
        <v>2187</v>
      </c>
      <c r="C2096" s="78"/>
      <c r="D2096" s="78"/>
      <c r="E2096" s="78"/>
      <c r="F2096" s="78"/>
      <c r="G2096" s="17" t="s">
        <v>2186</v>
      </c>
    </row>
    <row r="2097" spans="1:7" ht="12.6" customHeight="1" x14ac:dyDescent="0.3">
      <c r="A2097" s="78"/>
      <c r="B2097" s="78"/>
      <c r="C2097" s="78"/>
      <c r="D2097" s="78"/>
      <c r="E2097" s="78"/>
      <c r="F2097" s="78"/>
      <c r="G2097" s="17" t="s">
        <v>1229</v>
      </c>
    </row>
    <row r="2098" spans="1:7" ht="12.6" customHeight="1" x14ac:dyDescent="0.3">
      <c r="A2098" s="68"/>
      <c r="B2098" s="77" t="s">
        <v>2189</v>
      </c>
      <c r="C2098" s="78"/>
      <c r="D2098" s="78"/>
      <c r="E2098" s="78"/>
      <c r="F2098" s="78"/>
      <c r="G2098" s="17" t="s">
        <v>2188</v>
      </c>
    </row>
    <row r="2099" spans="1:7" ht="12.6" customHeight="1" x14ac:dyDescent="0.3">
      <c r="A2099" s="78"/>
      <c r="B2099" s="78"/>
      <c r="C2099" s="78"/>
      <c r="D2099" s="78"/>
      <c r="E2099" s="78"/>
      <c r="F2099" s="78"/>
      <c r="G2099" s="17" t="s">
        <v>1229</v>
      </c>
    </row>
    <row r="2100" spans="1:7" ht="12.6" customHeight="1" x14ac:dyDescent="0.3">
      <c r="A2100" s="68"/>
      <c r="B2100" s="77" t="s">
        <v>2191</v>
      </c>
      <c r="C2100" s="78"/>
      <c r="D2100" s="78"/>
      <c r="E2100" s="78"/>
      <c r="F2100" s="78"/>
      <c r="G2100" s="17" t="s">
        <v>2190</v>
      </c>
    </row>
    <row r="2101" spans="1:7" ht="12.6" customHeight="1" x14ac:dyDescent="0.3">
      <c r="A2101" s="78"/>
      <c r="B2101" s="78"/>
      <c r="C2101" s="78"/>
      <c r="D2101" s="78"/>
      <c r="E2101" s="78"/>
      <c r="F2101" s="78"/>
      <c r="G2101" s="17" t="s">
        <v>1229</v>
      </c>
    </row>
    <row r="2102" spans="1:7" ht="12.6" customHeight="1" x14ac:dyDescent="0.3">
      <c r="A2102" s="68"/>
      <c r="B2102" s="77" t="s">
        <v>2193</v>
      </c>
      <c r="C2102" s="78"/>
      <c r="D2102" s="78"/>
      <c r="E2102" s="78"/>
      <c r="F2102" s="78"/>
      <c r="G2102" s="17" t="s">
        <v>2192</v>
      </c>
    </row>
    <row r="2103" spans="1:7" ht="12.6" customHeight="1" x14ac:dyDescent="0.3">
      <c r="A2103" s="78"/>
      <c r="B2103" s="78"/>
      <c r="C2103" s="78"/>
      <c r="D2103" s="78"/>
      <c r="E2103" s="78"/>
      <c r="F2103" s="78"/>
      <c r="G2103" s="17" t="s">
        <v>1229</v>
      </c>
    </row>
    <row r="2104" spans="1:7" ht="12.6" customHeight="1" x14ac:dyDescent="0.3">
      <c r="A2104" s="68"/>
      <c r="B2104" s="77" t="s">
        <v>2195</v>
      </c>
      <c r="C2104" s="78"/>
      <c r="D2104" s="78"/>
      <c r="E2104" s="78"/>
      <c r="F2104" s="78"/>
      <c r="G2104" s="17" t="s">
        <v>2194</v>
      </c>
    </row>
    <row r="2105" spans="1:7" ht="12.6" customHeight="1" x14ac:dyDescent="0.3">
      <c r="A2105" s="78"/>
      <c r="B2105" s="78"/>
      <c r="C2105" s="78"/>
      <c r="D2105" s="78"/>
      <c r="E2105" s="78"/>
      <c r="F2105" s="78"/>
      <c r="G2105" s="17" t="s">
        <v>1229</v>
      </c>
    </row>
    <row r="2106" spans="1:7" ht="12.6" customHeight="1" x14ac:dyDescent="0.3">
      <c r="A2106" s="68"/>
      <c r="B2106" s="77" t="s">
        <v>2197</v>
      </c>
      <c r="C2106" s="78"/>
      <c r="D2106" s="78"/>
      <c r="E2106" s="78"/>
      <c r="F2106" s="78"/>
      <c r="G2106" s="17" t="s">
        <v>2196</v>
      </c>
    </row>
    <row r="2107" spans="1:7" ht="12.6" customHeight="1" x14ac:dyDescent="0.3">
      <c r="A2107" s="78"/>
      <c r="B2107" s="78"/>
      <c r="C2107" s="78"/>
      <c r="D2107" s="78"/>
      <c r="E2107" s="78"/>
      <c r="F2107" s="78"/>
      <c r="G2107" s="17" t="s">
        <v>1229</v>
      </c>
    </row>
    <row r="2108" spans="1:7" ht="12.6" customHeight="1" x14ac:dyDescent="0.3">
      <c r="A2108" s="68"/>
      <c r="B2108" s="77" t="s">
        <v>1869</v>
      </c>
      <c r="C2108" s="78"/>
      <c r="D2108" s="78"/>
      <c r="E2108" s="78"/>
      <c r="F2108" s="78"/>
      <c r="G2108" s="17" t="s">
        <v>1868</v>
      </c>
    </row>
    <row r="2109" spans="1:7" ht="12.6" customHeight="1" x14ac:dyDescent="0.3">
      <c r="A2109" s="78"/>
      <c r="B2109" s="78"/>
      <c r="C2109" s="78"/>
      <c r="D2109" s="78"/>
      <c r="E2109" s="78"/>
      <c r="F2109" s="78"/>
      <c r="G2109" s="17" t="s">
        <v>1229</v>
      </c>
    </row>
    <row r="2110" spans="1:7" ht="12.6" customHeight="1" x14ac:dyDescent="0.3">
      <c r="A2110" s="68"/>
      <c r="B2110" s="77" t="s">
        <v>2199</v>
      </c>
      <c r="C2110" s="78"/>
      <c r="D2110" s="78"/>
      <c r="E2110" s="78"/>
      <c r="F2110" s="78"/>
      <c r="G2110" s="17" t="s">
        <v>2198</v>
      </c>
    </row>
    <row r="2111" spans="1:7" ht="12.6" customHeight="1" x14ac:dyDescent="0.3">
      <c r="A2111" s="78"/>
      <c r="B2111" s="78"/>
      <c r="C2111" s="78"/>
      <c r="D2111" s="78"/>
      <c r="E2111" s="78"/>
      <c r="F2111" s="78"/>
      <c r="G2111" s="17" t="s">
        <v>1229</v>
      </c>
    </row>
    <row r="2112" spans="1:7" ht="12.6" customHeight="1" x14ac:dyDescent="0.3">
      <c r="A2112" s="68"/>
      <c r="B2112" s="77" t="s">
        <v>2201</v>
      </c>
      <c r="C2112" s="78"/>
      <c r="D2112" s="78"/>
      <c r="E2112" s="78"/>
      <c r="F2112" s="78"/>
      <c r="G2112" s="17" t="s">
        <v>2200</v>
      </c>
    </row>
    <row r="2113" spans="1:25" ht="12.6" customHeight="1" x14ac:dyDescent="0.3">
      <c r="A2113" s="78"/>
      <c r="B2113" s="78"/>
      <c r="C2113" s="78"/>
      <c r="D2113" s="78"/>
      <c r="E2113" s="78"/>
      <c r="F2113" s="78"/>
      <c r="G2113" s="17" t="s">
        <v>1229</v>
      </c>
    </row>
    <row r="2114" spans="1:25" ht="12.6" customHeight="1" x14ac:dyDescent="0.3">
      <c r="A2114" s="68"/>
      <c r="B2114" s="77" t="s">
        <v>2203</v>
      </c>
      <c r="C2114" s="78"/>
      <c r="D2114" s="78"/>
      <c r="E2114" s="78"/>
      <c r="F2114" s="78"/>
      <c r="G2114" s="17" t="s">
        <v>2202</v>
      </c>
    </row>
    <row r="2115" spans="1:25" ht="12.6" customHeight="1" x14ac:dyDescent="0.3">
      <c r="A2115" s="78"/>
      <c r="B2115" s="78"/>
      <c r="C2115" s="78"/>
      <c r="D2115" s="78"/>
      <c r="E2115" s="78"/>
      <c r="F2115" s="78"/>
      <c r="G2115" s="17" t="s">
        <v>1229</v>
      </c>
    </row>
    <row r="2116" spans="1:25" ht="12.6" customHeight="1" x14ac:dyDescent="0.3">
      <c r="A2116" s="68"/>
      <c r="B2116" s="77" t="s">
        <v>2205</v>
      </c>
      <c r="C2116" s="78"/>
      <c r="D2116" s="78"/>
      <c r="E2116" s="78"/>
      <c r="F2116" s="78"/>
      <c r="G2116" s="17" t="s">
        <v>2204</v>
      </c>
    </row>
    <row r="2117" spans="1:25" ht="12.6" customHeight="1" x14ac:dyDescent="0.3">
      <c r="A2117" s="78"/>
      <c r="B2117" s="78"/>
      <c r="C2117" s="78"/>
      <c r="D2117" s="78"/>
      <c r="E2117" s="78"/>
      <c r="F2117" s="78"/>
      <c r="G2117" s="17" t="s">
        <v>1229</v>
      </c>
    </row>
    <row r="2118" spans="1:25" ht="12.6" customHeight="1" x14ac:dyDescent="0.3">
      <c r="A2118" s="68"/>
      <c r="B2118" s="77" t="s">
        <v>2207</v>
      </c>
      <c r="C2118" s="78"/>
      <c r="D2118" s="78"/>
      <c r="E2118" s="78"/>
      <c r="F2118" s="78"/>
      <c r="G2118" s="17" t="s">
        <v>2206</v>
      </c>
    </row>
    <row r="2119" spans="1:25" ht="12.6" customHeight="1" x14ac:dyDescent="0.3">
      <c r="A2119" s="78"/>
      <c r="B2119" s="78"/>
      <c r="C2119" s="78"/>
      <c r="D2119" s="78"/>
      <c r="E2119" s="78"/>
      <c r="F2119" s="78"/>
      <c r="G2119" s="17" t="s">
        <v>1229</v>
      </c>
    </row>
    <row r="2120" spans="1:25" ht="12.6" customHeight="1" x14ac:dyDescent="0.3">
      <c r="A2120" s="78"/>
      <c r="B2120" s="78"/>
      <c r="C2120" s="78"/>
      <c r="D2120" s="78"/>
      <c r="E2120" s="78"/>
      <c r="F2120" s="78"/>
      <c r="G2120" s="17" t="s">
        <v>1229</v>
      </c>
    </row>
    <row r="2121" spans="1:25" ht="12.6" customHeight="1" x14ac:dyDescent="0.3">
      <c r="A2121" s="68" t="s">
        <v>2209</v>
      </c>
      <c r="B2121" s="102" t="str">
        <f>"  노무비 : "&amp;TEXT(I2121,"#,##0"&amp;IF(I2121&lt;&gt;INT(I2121),".###",""))&amp;"/Q*2 = "&amp;TEXT(C2121,"#,##0.0")&amp;""</f>
        <v xml:space="preserve">  노무비 : 49,479/Q*2 = 5,106.1</v>
      </c>
      <c r="C2121" s="104">
        <f>E2121+D2121+F2121</f>
        <v>5106.1000000000004</v>
      </c>
      <c r="D2121" s="104">
        <f>IF(H2121=0,0,ROUNDDOWN(J2121*H2121,1))</f>
        <v>5106.1000000000004</v>
      </c>
      <c r="E2121" s="104">
        <f>IF(H2121=0,0,ROUNDDOWN(K2121*H2121,1))</f>
        <v>0</v>
      </c>
      <c r="F2121" s="104">
        <f>IF(H2121=0,0,ROUNDDOWN(L2121*H2121,1))</f>
        <v>0</v>
      </c>
      <c r="G2121" s="17" t="s">
        <v>2208</v>
      </c>
      <c r="H2121" s="109">
        <v>0.1031991744068</v>
      </c>
      <c r="I2121" s="110">
        <f>K2121+J2121+L2121</f>
        <v>49479</v>
      </c>
      <c r="J2121" s="39">
        <f>중기목록표!F12</f>
        <v>49479</v>
      </c>
      <c r="M2121" s="35" t="s">
        <v>2210</v>
      </c>
      <c r="N2121" s="35" t="s">
        <v>1247</v>
      </c>
      <c r="X2121" s="111" t="str">
        <f>중기목록표!B12&amp;" / "&amp;중기목록표!C12</f>
        <v>덤프트럭 / 4.5톤</v>
      </c>
      <c r="Y2121" s="3" t="str">
        <f ca="1">HYPERLINK("#"&amp;중기목록표!J2&amp;"!A"&amp;ROW(중기목록표!A12),"X00061 →")</f>
        <v>X00061 →</v>
      </c>
    </row>
    <row r="2122" spans="1:25" ht="12.6" customHeight="1" x14ac:dyDescent="0.3">
      <c r="A2122" s="78"/>
      <c r="B2122" s="78"/>
      <c r="C2122" s="78"/>
      <c r="D2122" s="78"/>
      <c r="E2122" s="78"/>
      <c r="F2122" s="78"/>
      <c r="G2122" s="17" t="s">
        <v>1229</v>
      </c>
    </row>
    <row r="2123" spans="1:25" ht="12.6" customHeight="1" x14ac:dyDescent="0.3">
      <c r="A2123" s="68" t="s">
        <v>2212</v>
      </c>
      <c r="B2123" s="102" t="str">
        <f>"  재료비 : "&amp;TEXT(I2123,"#,##0"&amp;IF(I2123&lt;&gt;INT(I2123),".###",""))&amp;"/Q*(Cm-t1)/Cm*2 = "&amp;TEXT(C2123,"#,##0.0")&amp;""</f>
        <v xml:space="preserve">  재료비 : 9,377/Q*(Cm-t1)/Cm*2 = 921.4</v>
      </c>
      <c r="C2123" s="104">
        <f>E2123+D2123+F2123</f>
        <v>921.4</v>
      </c>
      <c r="D2123" s="104">
        <f>IF(H2123=0,0,ROUNDDOWN(J2123*H2123,1))</f>
        <v>0</v>
      </c>
      <c r="E2123" s="104">
        <f>IF(H2123=0,0,ROUNDDOWN(K2123*H2123,1))</f>
        <v>921.4</v>
      </c>
      <c r="F2123" s="104">
        <f>IF(H2123=0,0,ROUNDDOWN(L2123*H2123,1))</f>
        <v>0</v>
      </c>
      <c r="G2123" s="17" t="s">
        <v>2211</v>
      </c>
      <c r="H2123" s="109">
        <v>9.8261887333499998E-2</v>
      </c>
      <c r="I2123" s="110">
        <f>K2123+J2123+L2123</f>
        <v>9377</v>
      </c>
      <c r="K2123" s="39">
        <f>중기목록표!G12</f>
        <v>9377</v>
      </c>
      <c r="M2123" s="35" t="s">
        <v>2210</v>
      </c>
      <c r="N2123" s="35" t="s">
        <v>1247</v>
      </c>
      <c r="X2123" s="111" t="str">
        <f>중기목록표!B12&amp;" / "&amp;중기목록표!C12</f>
        <v>덤프트럭 / 4.5톤</v>
      </c>
      <c r="Y2123" s="3" t="str">
        <f ca="1">HYPERLINK("#"&amp;중기목록표!J2&amp;"!A"&amp;ROW(중기목록표!A12),"X00061 →")</f>
        <v>X00061 →</v>
      </c>
    </row>
    <row r="2124" spans="1:25" ht="12.6" customHeight="1" x14ac:dyDescent="0.3">
      <c r="A2124" s="78"/>
      <c r="B2124" s="78"/>
      <c r="C2124" s="78"/>
      <c r="D2124" s="78"/>
      <c r="E2124" s="78"/>
      <c r="F2124" s="78"/>
      <c r="G2124" s="17" t="s">
        <v>1229</v>
      </c>
    </row>
    <row r="2125" spans="1:25" ht="12.6" customHeight="1" x14ac:dyDescent="0.3">
      <c r="A2125" s="68" t="s">
        <v>2214</v>
      </c>
      <c r="B2125" s="102" t="str">
        <f>"  경  비 : "&amp;TEXT(I2125,"#,##0"&amp;IF(I2125&lt;&gt;INT(I2125),".###",""))&amp;"/Q *2 = "&amp;TEXT(C2125,"#,##0.0")&amp;""</f>
        <v xml:space="preserve">  경  비 : 7,472/Q *2 = 771.1</v>
      </c>
      <c r="C2125" s="104">
        <f>E2125+D2125+F2125</f>
        <v>771.1</v>
      </c>
      <c r="D2125" s="104">
        <f>IF(H2125=0,0,ROUNDDOWN(J2125*H2125,1))</f>
        <v>0</v>
      </c>
      <c r="E2125" s="104">
        <f>IF(H2125=0,0,ROUNDDOWN(K2125*H2125,1))</f>
        <v>0</v>
      </c>
      <c r="F2125" s="104">
        <f>IF(H2125=0,0,ROUNDDOWN(L2125*H2125,1))</f>
        <v>771.1</v>
      </c>
      <c r="G2125" s="17" t="s">
        <v>2213</v>
      </c>
      <c r="H2125" s="109">
        <v>0.1031991744068</v>
      </c>
      <c r="I2125" s="110">
        <f>K2125+J2125+L2125</f>
        <v>7472</v>
      </c>
      <c r="L2125" s="39">
        <f>중기목록표!H12</f>
        <v>7472</v>
      </c>
      <c r="M2125" s="35" t="s">
        <v>2210</v>
      </c>
      <c r="N2125" s="35" t="s">
        <v>1247</v>
      </c>
      <c r="X2125" s="111" t="str">
        <f>중기목록표!B12&amp;" / "&amp;중기목록표!C12</f>
        <v>덤프트럭 / 4.5톤</v>
      </c>
      <c r="Y2125" s="3" t="str">
        <f ca="1">HYPERLINK("#"&amp;중기목록표!J2&amp;"!A"&amp;ROW(중기목록표!A12),"X00061 →")</f>
        <v>X00061 →</v>
      </c>
    </row>
    <row r="2126" spans="1:25" ht="12.6" customHeight="1" x14ac:dyDescent="0.3">
      <c r="A2126" s="78"/>
      <c r="B2126" s="78"/>
      <c r="C2126" s="78"/>
      <c r="D2126" s="78"/>
      <c r="E2126" s="78"/>
      <c r="F2126" s="78"/>
      <c r="G2126" s="17" t="s">
        <v>1229</v>
      </c>
    </row>
    <row r="2127" spans="1:25" ht="12.6" customHeight="1" x14ac:dyDescent="0.3">
      <c r="A2127" s="68"/>
      <c r="B2127" s="77" t="s">
        <v>1246</v>
      </c>
      <c r="C2127" s="105">
        <f>E2127+D2127+F2127</f>
        <v>6798.6</v>
      </c>
      <c r="D2127" s="105">
        <f>SUMIF(N2088:N2126,M2127,D2088:D2126)</f>
        <v>5106.1000000000004</v>
      </c>
      <c r="E2127" s="105">
        <f>SUMIF(N2088:N2126,M2127,E2088:E2126)</f>
        <v>921.4</v>
      </c>
      <c r="F2127" s="105">
        <f>SUMIF(N2088:N2126,M2127,F2088:F2126)</f>
        <v>771.1</v>
      </c>
      <c r="G2127" s="17" t="s">
        <v>1245</v>
      </c>
      <c r="M2127" s="35" t="s">
        <v>1247</v>
      </c>
      <c r="N2127" s="35" t="s">
        <v>2120</v>
      </c>
    </row>
    <row r="2128" spans="1:25" ht="12.6" customHeight="1" x14ac:dyDescent="0.3">
      <c r="A2128" s="78"/>
      <c r="B2128" s="78"/>
      <c r="C2128" s="103"/>
      <c r="D2128" s="103"/>
      <c r="E2128" s="103"/>
      <c r="F2128" s="103"/>
      <c r="G2128" s="17" t="s">
        <v>1229</v>
      </c>
    </row>
    <row r="2129" spans="1:7" ht="12.6" customHeight="1" x14ac:dyDescent="0.3">
      <c r="A2129" s="68"/>
      <c r="B2129" s="77" t="s">
        <v>2216</v>
      </c>
      <c r="C2129" s="78"/>
      <c r="D2129" s="78"/>
      <c r="E2129" s="78"/>
      <c r="F2129" s="78"/>
      <c r="G2129" s="17" t="s">
        <v>2215</v>
      </c>
    </row>
    <row r="2130" spans="1:7" ht="12.6" customHeight="1" x14ac:dyDescent="0.3">
      <c r="A2130" s="78"/>
      <c r="B2130" s="78"/>
      <c r="C2130" s="78"/>
      <c r="D2130" s="78"/>
      <c r="E2130" s="78"/>
      <c r="F2130" s="78"/>
      <c r="G2130" s="17" t="s">
        <v>1229</v>
      </c>
    </row>
    <row r="2131" spans="1:7" ht="12.6" customHeight="1" x14ac:dyDescent="0.3">
      <c r="A2131" s="68"/>
      <c r="B2131" s="77" t="s">
        <v>2218</v>
      </c>
      <c r="C2131" s="78"/>
      <c r="D2131" s="78"/>
      <c r="E2131" s="78"/>
      <c r="F2131" s="78"/>
      <c r="G2131" s="17" t="s">
        <v>2217</v>
      </c>
    </row>
    <row r="2132" spans="1:7" ht="12.6" customHeight="1" x14ac:dyDescent="0.3">
      <c r="A2132" s="78"/>
      <c r="B2132" s="78"/>
      <c r="C2132" s="78"/>
      <c r="D2132" s="78"/>
      <c r="E2132" s="78"/>
      <c r="F2132" s="78"/>
      <c r="G2132" s="17" t="s">
        <v>1229</v>
      </c>
    </row>
    <row r="2133" spans="1:7" ht="12.6" customHeight="1" x14ac:dyDescent="0.3">
      <c r="A2133" s="68"/>
      <c r="B2133" s="77" t="s">
        <v>2220</v>
      </c>
      <c r="C2133" s="78"/>
      <c r="D2133" s="78"/>
      <c r="E2133" s="78"/>
      <c r="F2133" s="78"/>
      <c r="G2133" s="17" t="s">
        <v>2219</v>
      </c>
    </row>
    <row r="2134" spans="1:7" ht="12.6" customHeight="1" x14ac:dyDescent="0.3">
      <c r="A2134" s="78"/>
      <c r="B2134" s="78"/>
      <c r="C2134" s="78"/>
      <c r="D2134" s="78"/>
      <c r="E2134" s="78"/>
      <c r="F2134" s="78"/>
      <c r="G2134" s="17" t="s">
        <v>1229</v>
      </c>
    </row>
    <row r="2135" spans="1:7" ht="12.6" customHeight="1" x14ac:dyDescent="0.3">
      <c r="A2135" s="68"/>
      <c r="B2135" s="77" t="s">
        <v>2222</v>
      </c>
      <c r="C2135" s="78"/>
      <c r="D2135" s="78"/>
      <c r="E2135" s="78"/>
      <c r="F2135" s="78"/>
      <c r="G2135" s="17" t="s">
        <v>2221</v>
      </c>
    </row>
    <row r="2136" spans="1:7" ht="12.6" customHeight="1" x14ac:dyDescent="0.3">
      <c r="A2136" s="78"/>
      <c r="B2136" s="78"/>
      <c r="C2136" s="78"/>
      <c r="D2136" s="78"/>
      <c r="E2136" s="78"/>
      <c r="F2136" s="78"/>
      <c r="G2136" s="17" t="s">
        <v>1229</v>
      </c>
    </row>
    <row r="2137" spans="1:7" ht="12.6" customHeight="1" x14ac:dyDescent="0.3">
      <c r="A2137" s="68"/>
      <c r="B2137" s="77" t="s">
        <v>2224</v>
      </c>
      <c r="C2137" s="78"/>
      <c r="D2137" s="78"/>
      <c r="E2137" s="78"/>
      <c r="F2137" s="78"/>
      <c r="G2137" s="17" t="s">
        <v>2223</v>
      </c>
    </row>
    <row r="2138" spans="1:7" ht="12.6" customHeight="1" x14ac:dyDescent="0.3">
      <c r="A2138" s="78"/>
      <c r="B2138" s="78"/>
      <c r="C2138" s="78"/>
      <c r="D2138" s="78"/>
      <c r="E2138" s="78"/>
      <c r="F2138" s="78"/>
      <c r="G2138" s="17" t="s">
        <v>1229</v>
      </c>
    </row>
    <row r="2139" spans="1:7" ht="12.6" customHeight="1" x14ac:dyDescent="0.3">
      <c r="A2139" s="68"/>
      <c r="B2139" s="77" t="s">
        <v>2226</v>
      </c>
      <c r="C2139" s="78"/>
      <c r="D2139" s="78"/>
      <c r="E2139" s="78"/>
      <c r="F2139" s="78"/>
      <c r="G2139" s="17" t="s">
        <v>2225</v>
      </c>
    </row>
    <row r="2140" spans="1:7" ht="12.6" customHeight="1" x14ac:dyDescent="0.3">
      <c r="A2140" s="78"/>
      <c r="B2140" s="78"/>
      <c r="C2140" s="78"/>
      <c r="D2140" s="78"/>
      <c r="E2140" s="78"/>
      <c r="F2140" s="78"/>
      <c r="G2140" s="17" t="s">
        <v>1229</v>
      </c>
    </row>
    <row r="2141" spans="1:7" ht="12.6" customHeight="1" x14ac:dyDescent="0.3">
      <c r="A2141" s="68"/>
      <c r="B2141" s="77" t="s">
        <v>2228</v>
      </c>
      <c r="C2141" s="78"/>
      <c r="D2141" s="78"/>
      <c r="E2141" s="78"/>
      <c r="F2141" s="78"/>
      <c r="G2141" s="17" t="s">
        <v>2227</v>
      </c>
    </row>
    <row r="2142" spans="1:7" ht="12.6" customHeight="1" x14ac:dyDescent="0.3">
      <c r="A2142" s="78"/>
      <c r="B2142" s="78"/>
      <c r="C2142" s="78"/>
      <c r="D2142" s="78"/>
      <c r="E2142" s="78"/>
      <c r="F2142" s="78"/>
      <c r="G2142" s="17" t="s">
        <v>1229</v>
      </c>
    </row>
    <row r="2143" spans="1:7" ht="12.6" customHeight="1" x14ac:dyDescent="0.3">
      <c r="A2143" s="68"/>
      <c r="B2143" s="77" t="s">
        <v>2230</v>
      </c>
      <c r="C2143" s="78"/>
      <c r="D2143" s="78"/>
      <c r="E2143" s="78"/>
      <c r="F2143" s="78"/>
      <c r="G2143" s="17" t="s">
        <v>2229</v>
      </c>
    </row>
    <row r="2144" spans="1:7" ht="12.6" customHeight="1" x14ac:dyDescent="0.3">
      <c r="A2144" s="78"/>
      <c r="B2144" s="78"/>
      <c r="C2144" s="78"/>
      <c r="D2144" s="78"/>
      <c r="E2144" s="78"/>
      <c r="F2144" s="78"/>
      <c r="G2144" s="17" t="s">
        <v>1229</v>
      </c>
    </row>
    <row r="2145" spans="1:25" ht="12.6" customHeight="1" x14ac:dyDescent="0.3">
      <c r="A2145" s="68"/>
      <c r="B2145" s="77" t="s">
        <v>2232</v>
      </c>
      <c r="C2145" s="78"/>
      <c r="D2145" s="78"/>
      <c r="E2145" s="78"/>
      <c r="F2145" s="78"/>
      <c r="G2145" s="17" t="s">
        <v>2231</v>
      </c>
    </row>
    <row r="2146" spans="1:25" ht="12.6" customHeight="1" x14ac:dyDescent="0.3">
      <c r="A2146" s="78"/>
      <c r="B2146" s="78"/>
      <c r="C2146" s="78"/>
      <c r="D2146" s="78"/>
      <c r="E2146" s="78"/>
      <c r="F2146" s="78"/>
      <c r="G2146" s="17" t="s">
        <v>1229</v>
      </c>
    </row>
    <row r="2147" spans="1:25" ht="12.6" customHeight="1" x14ac:dyDescent="0.3">
      <c r="A2147" s="68"/>
      <c r="B2147" s="77" t="s">
        <v>2234</v>
      </c>
      <c r="C2147" s="78"/>
      <c r="D2147" s="78"/>
      <c r="E2147" s="78"/>
      <c r="F2147" s="78"/>
      <c r="G2147" s="17" t="s">
        <v>2233</v>
      </c>
    </row>
    <row r="2148" spans="1:25" ht="12.6" customHeight="1" x14ac:dyDescent="0.3">
      <c r="A2148" s="78"/>
      <c r="B2148" s="78"/>
      <c r="C2148" s="78"/>
      <c r="D2148" s="78"/>
      <c r="E2148" s="78"/>
      <c r="F2148" s="78"/>
      <c r="G2148" s="17" t="s">
        <v>1229</v>
      </c>
    </row>
    <row r="2149" spans="1:25" ht="12.6" customHeight="1" x14ac:dyDescent="0.3">
      <c r="A2149" s="68"/>
      <c r="B2149" s="77" t="s">
        <v>2236</v>
      </c>
      <c r="C2149" s="78"/>
      <c r="D2149" s="78"/>
      <c r="E2149" s="78"/>
      <c r="F2149" s="78"/>
      <c r="G2149" s="17" t="s">
        <v>2235</v>
      </c>
    </row>
    <row r="2150" spans="1:25" ht="12.6" customHeight="1" x14ac:dyDescent="0.3">
      <c r="A2150" s="68"/>
      <c r="B2150" s="77" t="s">
        <v>2238</v>
      </c>
      <c r="C2150" s="78"/>
      <c r="D2150" s="78"/>
      <c r="E2150" s="78"/>
      <c r="F2150" s="78"/>
      <c r="G2150" s="17" t="s">
        <v>2237</v>
      </c>
    </row>
    <row r="2151" spans="1:25" ht="12.6" customHeight="1" x14ac:dyDescent="0.3">
      <c r="A2151" s="78"/>
      <c r="B2151" s="78"/>
      <c r="C2151" s="78"/>
      <c r="D2151" s="78"/>
      <c r="E2151" s="78"/>
      <c r="F2151" s="78"/>
      <c r="G2151" s="17" t="s">
        <v>1229</v>
      </c>
    </row>
    <row r="2152" spans="1:25" ht="12.6" customHeight="1" x14ac:dyDescent="0.3">
      <c r="A2152" s="68"/>
      <c r="B2152" s="77" t="s">
        <v>2240</v>
      </c>
      <c r="C2152" s="78"/>
      <c r="D2152" s="78"/>
      <c r="E2152" s="78"/>
      <c r="F2152" s="78"/>
      <c r="G2152" s="17" t="s">
        <v>2239</v>
      </c>
    </row>
    <row r="2153" spans="1:25" ht="12.6" customHeight="1" x14ac:dyDescent="0.3">
      <c r="A2153" s="78"/>
      <c r="B2153" s="78"/>
      <c r="C2153" s="78"/>
      <c r="D2153" s="78"/>
      <c r="E2153" s="78"/>
      <c r="F2153" s="78"/>
      <c r="G2153" s="17" t="s">
        <v>1229</v>
      </c>
    </row>
    <row r="2154" spans="1:25" ht="12.6" customHeight="1" x14ac:dyDescent="0.3">
      <c r="A2154" s="68"/>
      <c r="B2154" s="77" t="s">
        <v>2242</v>
      </c>
      <c r="C2154" s="78"/>
      <c r="D2154" s="78"/>
      <c r="E2154" s="78"/>
      <c r="F2154" s="78"/>
      <c r="G2154" s="17" t="s">
        <v>2241</v>
      </c>
    </row>
    <row r="2155" spans="1:25" ht="12.6" customHeight="1" x14ac:dyDescent="0.3">
      <c r="A2155" s="78"/>
      <c r="B2155" s="78"/>
      <c r="C2155" s="78"/>
      <c r="D2155" s="78"/>
      <c r="E2155" s="78"/>
      <c r="F2155" s="78"/>
      <c r="G2155" s="17" t="s">
        <v>1229</v>
      </c>
    </row>
    <row r="2156" spans="1:25" ht="12.6" customHeight="1" x14ac:dyDescent="0.3">
      <c r="A2156" s="68" t="s">
        <v>588</v>
      </c>
      <c r="B2156" s="102" t="str">
        <f>"  1/125 * (33/(480-30)*7*"&amp;TEXT(I2156,"#,##0"&amp;IF(I2156&lt;&gt;INT(I2156),".###",""))&amp;") = "&amp;TEXT(C2156,"#,##0.0")&amp;" 원/대 "</f>
        <v xml:space="preserve">  1/125 * (33/(480-30)*7*169,804) = 697.3 원/대 </v>
      </c>
      <c r="C2156" s="104">
        <f>E2156+D2156+F2156</f>
        <v>697.3</v>
      </c>
      <c r="D2156" s="104">
        <f>IF(H2156=0,0,ROUNDDOWN(J2156*H2156,1))</f>
        <v>697.3</v>
      </c>
      <c r="E2156" s="104">
        <f>IF(H2156=0,0,ROUNDDOWN(K2156*H2156,1))</f>
        <v>0</v>
      </c>
      <c r="F2156" s="104">
        <f>IF(H2156=0,0,ROUNDDOWN(L2156*H2156,1))</f>
        <v>0</v>
      </c>
      <c r="G2156" s="17" t="s">
        <v>2243</v>
      </c>
      <c r="H2156" s="109">
        <v>4.1066666668999998E-3</v>
      </c>
      <c r="I2156" s="110">
        <f>K2156+J2156+L2156</f>
        <v>169804</v>
      </c>
      <c r="J2156" s="39">
        <f>노무비목록표!E11</f>
        <v>169804</v>
      </c>
      <c r="M2156" s="35" t="s">
        <v>1018</v>
      </c>
      <c r="N2156" s="35" t="s">
        <v>1247</v>
      </c>
      <c r="X2156" s="111" t="str">
        <f>노무비목록표!B11&amp;" / "&amp;노무비목록표!C11</f>
        <v xml:space="preserve">보통인부 / </v>
      </c>
      <c r="Y2156" s="3" t="str">
        <f ca="1">HYPERLINK("#"&amp;노무비목록표!G2&amp;"!A"&amp;ROW(노무비목록표!A11),"L00016 →")</f>
        <v>L00016 →</v>
      </c>
    </row>
    <row r="2157" spans="1:25" ht="12.6" customHeight="1" x14ac:dyDescent="0.3">
      <c r="A2157" s="78"/>
      <c r="B2157" s="78"/>
      <c r="C2157" s="78"/>
      <c r="D2157" s="78"/>
      <c r="E2157" s="78"/>
      <c r="F2157" s="78"/>
      <c r="G2157" s="17" t="s">
        <v>1229</v>
      </c>
    </row>
    <row r="2158" spans="1:25" ht="12.6" customHeight="1" x14ac:dyDescent="0.3">
      <c r="A2158" s="68"/>
      <c r="B2158" s="77" t="s">
        <v>1246</v>
      </c>
      <c r="C2158" s="105">
        <f>E2158+D2158+F2158</f>
        <v>697.3</v>
      </c>
      <c r="D2158" s="105">
        <f>SUMIF(N2128:N2157,M2158,D2128:D2157)</f>
        <v>697.3</v>
      </c>
      <c r="E2158" s="105">
        <f>SUMIF(N2128:N2157,M2158,E2128:E2157)</f>
        <v>0</v>
      </c>
      <c r="F2158" s="105">
        <f>SUMIF(N2128:N2157,M2158,F2128:F2157)</f>
        <v>0</v>
      </c>
      <c r="G2158" s="17" t="s">
        <v>1245</v>
      </c>
      <c r="M2158" s="35" t="s">
        <v>1247</v>
      </c>
      <c r="N2158" s="35" t="s">
        <v>2120</v>
      </c>
    </row>
    <row r="2159" spans="1:25" ht="12.6" customHeight="1" x14ac:dyDescent="0.3">
      <c r="A2159" s="78"/>
      <c r="B2159" s="78"/>
      <c r="C2159" s="103"/>
      <c r="D2159" s="103"/>
      <c r="E2159" s="103"/>
      <c r="F2159" s="103"/>
      <c r="G2159" s="17" t="s">
        <v>1229</v>
      </c>
    </row>
    <row r="2160" spans="1:25" ht="12.6" customHeight="1" x14ac:dyDescent="0.3">
      <c r="A2160" s="68"/>
      <c r="B2160" s="77" t="s">
        <v>2119</v>
      </c>
      <c r="C2160" s="107">
        <f>E2160+D2160+F2160</f>
        <v>7495.9000000000005</v>
      </c>
      <c r="D2160" s="107">
        <f>SUMIF(N2088:N2159,M2160,D2088:D2159)</f>
        <v>5803.4000000000005</v>
      </c>
      <c r="E2160" s="107">
        <f>SUMIF(N2088:N2159,M2160,E2088:E2159)</f>
        <v>921.4</v>
      </c>
      <c r="F2160" s="107">
        <f>SUMIF(N2088:N2159,M2160,F2088:F2159)</f>
        <v>771.1</v>
      </c>
      <c r="G2160" s="17" t="s">
        <v>2118</v>
      </c>
      <c r="M2160" s="35" t="s">
        <v>2120</v>
      </c>
    </row>
    <row r="2161" spans="1:14" ht="12.6" customHeight="1" x14ac:dyDescent="0.3">
      <c r="A2161" s="78"/>
      <c r="B2161" s="78"/>
      <c r="C2161" s="108"/>
      <c r="D2161" s="108"/>
      <c r="E2161" s="108"/>
      <c r="F2161" s="108"/>
      <c r="G2161" s="17" t="s">
        <v>1229</v>
      </c>
    </row>
    <row r="2162" spans="1:14" ht="12.6" customHeight="1" x14ac:dyDescent="0.3">
      <c r="A2162" s="68" t="s">
        <v>652</v>
      </c>
      <c r="B2162" s="102" t="str">
        <f>" ○운반비 계 : "&amp;TEXT(I2162,"#,##0"&amp;IF(I2162&lt;&gt;INT(I2162),".###",""))&amp;" * 1 식  = "&amp;TEXT(C2162,"#,##0.0")&amp;""</f>
        <v xml:space="preserve"> ○운반비 계 : 7,495.9 * 1 식  = 7,495.9</v>
      </c>
      <c r="C2162" s="104">
        <f>E2162+D2162+F2162</f>
        <v>7495.9</v>
      </c>
      <c r="D2162" s="104">
        <f>IF(H2162=0,0,ROUNDDOWN(J2162*H2162,1))</f>
        <v>0</v>
      </c>
      <c r="E2162" s="104">
        <f>IF(H2162=0,0,ROUNDDOWN(K2162*H2162,1))</f>
        <v>0</v>
      </c>
      <c r="F2162" s="104">
        <f>IF(H2162=0,0,ROUNDDOWN(L2162*H2162,1))</f>
        <v>7495.9</v>
      </c>
      <c r="G2162" s="17" t="s">
        <v>2121</v>
      </c>
      <c r="H2162" s="109">
        <v>1</v>
      </c>
      <c r="I2162" s="110">
        <f>K2162+J2162+L2162</f>
        <v>7495.9</v>
      </c>
      <c r="J2162" s="36">
        <v>0</v>
      </c>
      <c r="K2162" s="36">
        <v>0</v>
      </c>
      <c r="L2162" s="37">
        <v>7495.9</v>
      </c>
      <c r="M2162" s="35" t="s">
        <v>2122</v>
      </c>
      <c r="N2162" s="35" t="s">
        <v>1011</v>
      </c>
    </row>
    <row r="2163" spans="1:14" ht="12.6" customHeight="1" x14ac:dyDescent="0.3">
      <c r="A2163" s="78"/>
      <c r="B2163" s="78"/>
      <c r="C2163" s="78"/>
      <c r="D2163" s="78"/>
      <c r="E2163" s="78"/>
      <c r="F2163" s="78"/>
    </row>
    <row r="2164" spans="1:14" ht="12.6" customHeight="1" x14ac:dyDescent="0.3">
      <c r="A2164" s="78"/>
      <c r="B2164" s="78"/>
      <c r="C2164" s="78"/>
      <c r="D2164" s="78"/>
      <c r="E2164" s="78"/>
      <c r="F2164" s="78"/>
    </row>
    <row r="2165" spans="1:14" ht="12.6" customHeight="1" x14ac:dyDescent="0.3">
      <c r="A2165" s="78"/>
      <c r="B2165" s="78"/>
      <c r="C2165" s="78"/>
      <c r="D2165" s="78"/>
      <c r="E2165" s="78"/>
      <c r="F2165" s="78"/>
    </row>
    <row r="2166" spans="1:14" ht="12.6" customHeight="1" x14ac:dyDescent="0.3">
      <c r="A2166" s="78"/>
      <c r="B2166" s="78"/>
      <c r="C2166" s="78"/>
      <c r="D2166" s="78"/>
      <c r="E2166" s="78"/>
      <c r="F2166" s="78"/>
    </row>
    <row r="2167" spans="1:14" ht="12.6" customHeight="1" x14ac:dyDescent="0.3">
      <c r="A2167" s="78"/>
      <c r="B2167" s="78"/>
      <c r="C2167" s="78"/>
      <c r="D2167" s="78"/>
      <c r="E2167" s="78"/>
      <c r="F2167" s="78"/>
    </row>
    <row r="2168" spans="1:14" ht="12.6" customHeight="1" x14ac:dyDescent="0.3">
      <c r="A2168" s="78"/>
      <c r="B2168" s="78"/>
      <c r="C2168" s="78"/>
      <c r="D2168" s="78"/>
      <c r="E2168" s="78"/>
      <c r="F2168" s="78"/>
    </row>
    <row r="2169" spans="1:14" ht="12.6" customHeight="1" x14ac:dyDescent="0.3">
      <c r="A2169" s="78"/>
      <c r="B2169" s="78"/>
      <c r="C2169" s="78"/>
      <c r="D2169" s="78"/>
      <c r="E2169" s="78"/>
      <c r="F2169" s="78"/>
    </row>
    <row r="2170" spans="1:14" ht="12.6" customHeight="1" x14ac:dyDescent="0.3">
      <c r="A2170" s="78"/>
      <c r="B2170" s="78"/>
      <c r="C2170" s="78"/>
      <c r="D2170" s="78"/>
      <c r="E2170" s="78"/>
      <c r="F2170" s="78"/>
    </row>
    <row r="2171" spans="1:14" ht="12.6" customHeight="1" x14ac:dyDescent="0.3">
      <c r="A2171" s="78"/>
      <c r="B2171" s="78"/>
      <c r="C2171" s="78"/>
      <c r="D2171" s="78"/>
      <c r="E2171" s="78"/>
      <c r="F2171" s="78"/>
    </row>
    <row r="2172" spans="1:14" ht="12.6" customHeight="1" x14ac:dyDescent="0.3">
      <c r="A2172" s="78"/>
      <c r="B2172" s="78"/>
      <c r="C2172" s="78"/>
      <c r="D2172" s="78"/>
      <c r="E2172" s="78"/>
      <c r="F2172" s="78"/>
    </row>
    <row r="2173" spans="1:14" ht="12.6" customHeight="1" x14ac:dyDescent="0.3">
      <c r="A2173" s="78"/>
      <c r="B2173" s="78"/>
      <c r="C2173" s="78"/>
      <c r="D2173" s="78"/>
      <c r="E2173" s="78"/>
      <c r="F2173" s="78"/>
    </row>
    <row r="2174" spans="1:14" ht="12.6" customHeight="1" x14ac:dyDescent="0.3">
      <c r="A2174" s="78"/>
      <c r="B2174" s="78"/>
      <c r="C2174" s="78"/>
      <c r="D2174" s="78"/>
      <c r="E2174" s="78"/>
      <c r="F2174" s="78"/>
    </row>
    <row r="2175" spans="1:14" ht="12.6" customHeight="1" x14ac:dyDescent="0.3">
      <c r="A2175" s="78"/>
      <c r="B2175" s="78"/>
      <c r="C2175" s="78"/>
      <c r="D2175" s="78"/>
      <c r="E2175" s="78"/>
      <c r="F2175" s="78"/>
    </row>
    <row r="2176" spans="1:14" ht="12.6" customHeight="1" x14ac:dyDescent="0.3">
      <c r="A2176" s="78"/>
      <c r="B2176" s="78"/>
      <c r="C2176" s="78"/>
      <c r="D2176" s="78"/>
      <c r="E2176" s="78"/>
      <c r="F2176" s="78"/>
    </row>
    <row r="2177" spans="1:14" ht="12.6" customHeight="1" x14ac:dyDescent="0.3">
      <c r="A2177" s="78"/>
      <c r="B2177" s="78"/>
      <c r="C2177" s="78"/>
      <c r="D2177" s="78"/>
      <c r="E2177" s="78"/>
      <c r="F2177" s="78"/>
    </row>
    <row r="2178" spans="1:14" ht="12.6" customHeight="1" x14ac:dyDescent="0.3">
      <c r="A2178" s="78"/>
      <c r="B2178" s="78"/>
      <c r="C2178" s="78"/>
      <c r="D2178" s="78"/>
      <c r="E2178" s="78"/>
      <c r="F2178" s="78"/>
    </row>
    <row r="2179" spans="1:14" ht="12.6" customHeight="1" x14ac:dyDescent="0.3">
      <c r="A2179" s="78"/>
      <c r="B2179" s="78"/>
      <c r="C2179" s="78"/>
      <c r="D2179" s="78"/>
      <c r="E2179" s="78"/>
      <c r="F2179" s="78"/>
    </row>
    <row r="2180" spans="1:14" ht="12.6" customHeight="1" x14ac:dyDescent="0.3">
      <c r="A2180" s="78"/>
      <c r="B2180" s="78"/>
      <c r="C2180" s="78"/>
      <c r="D2180" s="78"/>
      <c r="E2180" s="78"/>
      <c r="F2180" s="78"/>
    </row>
    <row r="2181" spans="1:14" ht="12.6" customHeight="1" x14ac:dyDescent="0.3">
      <c r="A2181" s="78"/>
      <c r="B2181" s="78"/>
      <c r="C2181" s="78"/>
      <c r="D2181" s="78"/>
      <c r="E2181" s="78"/>
      <c r="F2181" s="78"/>
    </row>
    <row r="2182" spans="1:14" ht="12.6" customHeight="1" x14ac:dyDescent="0.3">
      <c r="A2182" s="78"/>
      <c r="B2182" s="78"/>
      <c r="C2182" s="78"/>
      <c r="D2182" s="78"/>
      <c r="E2182" s="78"/>
      <c r="F2182" s="78"/>
    </row>
    <row r="2183" spans="1:14" ht="12.6" customHeight="1" x14ac:dyDescent="0.3">
      <c r="A2183" s="78"/>
      <c r="B2183" s="78"/>
      <c r="C2183" s="78"/>
      <c r="D2183" s="78"/>
      <c r="E2183" s="78"/>
      <c r="F2183" s="78"/>
    </row>
    <row r="2184" spans="1:14" ht="12.6" customHeight="1" x14ac:dyDescent="0.3">
      <c r="A2184" s="78"/>
      <c r="B2184" s="78"/>
      <c r="C2184" s="78"/>
      <c r="D2184" s="78"/>
      <c r="E2184" s="78"/>
      <c r="F2184" s="78"/>
    </row>
    <row r="2185" spans="1:14" ht="12.6" customHeight="1" x14ac:dyDescent="0.3">
      <c r="A2185" s="78"/>
      <c r="B2185" s="78"/>
      <c r="C2185" s="78"/>
      <c r="D2185" s="78"/>
      <c r="E2185" s="78"/>
      <c r="F2185" s="78"/>
    </row>
    <row r="2186" spans="1:14" ht="12.6" customHeight="1" x14ac:dyDescent="0.3">
      <c r="A2186" s="78"/>
      <c r="B2186" s="78"/>
      <c r="C2186" s="78"/>
      <c r="D2186" s="78"/>
      <c r="E2186" s="78"/>
      <c r="F2186" s="78"/>
    </row>
    <row r="2187" spans="1:14" ht="12.6" customHeight="1" x14ac:dyDescent="0.3">
      <c r="A2187" s="56"/>
      <c r="B2187" s="56"/>
      <c r="C2187" s="56"/>
      <c r="D2187" s="56"/>
      <c r="E2187" s="56"/>
      <c r="F2187" s="56"/>
    </row>
    <row r="2188" spans="1:14" ht="12.6" customHeight="1" x14ac:dyDescent="0.3">
      <c r="A2188" s="143" t="s">
        <v>1101</v>
      </c>
      <c r="B2188" s="144"/>
      <c r="C2188" s="54">
        <f>E2188+D2188+F2188</f>
        <v>7495</v>
      </c>
      <c r="D2188" s="52">
        <f>ROUNDDOWN(SUMIF(N2088:N2162,M2188,D2088:D2162),0)</f>
        <v>0</v>
      </c>
      <c r="E2188" s="64">
        <f>ROUNDDOWN(SUMIF(N2088:N2162,M2188,E2088:E2162),0)</f>
        <v>0</v>
      </c>
      <c r="F2188" s="54">
        <f>ROUNDDOWN(SUMIF(N2088:N2162,M2188,F2088:F2162),0)</f>
        <v>7495</v>
      </c>
      <c r="M2188" s="35" t="s">
        <v>1011</v>
      </c>
      <c r="N2188" s="35" t="s">
        <v>1102</v>
      </c>
    </row>
    <row r="2189" spans="1:14" ht="12.6" customHeight="1" x14ac:dyDescent="0.3">
      <c r="A2189" s="143" t="s">
        <v>1103</v>
      </c>
      <c r="B2189" s="144"/>
      <c r="C2189" s="54">
        <f>E2189+D2189+F2189</f>
        <v>6576</v>
      </c>
      <c r="D2189" s="52">
        <f>ROUNDDOWN(D2188*H2189/100,0)</f>
        <v>0</v>
      </c>
      <c r="E2189" s="64">
        <f>ROUNDDOWN(E2188*H2189/100,0)</f>
        <v>0</v>
      </c>
      <c r="F2189" s="54">
        <f>ROUNDDOWN(F2188*H2189/100,0)</f>
        <v>6576</v>
      </c>
      <c r="H2189" s="37">
        <v>87.745000000000005</v>
      </c>
      <c r="M2189" s="35" t="s">
        <v>1102</v>
      </c>
    </row>
    <row r="2190" spans="1:14" ht="12.6" customHeight="1" x14ac:dyDescent="0.3">
      <c r="A2190" s="100" t="s">
        <v>296</v>
      </c>
      <c r="B2190" s="101" t="s">
        <v>293</v>
      </c>
      <c r="C2190" s="150">
        <f>C2258</f>
        <v>29070</v>
      </c>
      <c r="D2190" s="150">
        <f>D2258</f>
        <v>0</v>
      </c>
      <c r="E2190" s="150">
        <f>E2258</f>
        <v>0</v>
      </c>
      <c r="F2190" s="150">
        <f>F2258</f>
        <v>29070</v>
      </c>
      <c r="G2190" s="97" t="str">
        <f>HYPERLINK("#G"&amp;ROW(G2237),"_x0005_`BDCOD|D01497_x0007_`POSS|"&amp;ROW(G2192)&amp;"_x0007_`POSE|"&amp;ROW(G2237)&amp;"_x0007_`")</f>
        <v>_x0005_`BDCOD|D01497_x0007_`POSS|2192_x0007_`POSE|2237_x0007_`</v>
      </c>
    </row>
    <row r="2191" spans="1:14" ht="12.6" customHeight="1" x14ac:dyDescent="0.3">
      <c r="A2191" s="83"/>
      <c r="B2191" s="101" t="s">
        <v>292</v>
      </c>
      <c r="C2191" s="139"/>
      <c r="D2191" s="139"/>
      <c r="E2191" s="139"/>
      <c r="F2191" s="139"/>
      <c r="M2191" s="35" t="s">
        <v>296</v>
      </c>
    </row>
    <row r="2192" spans="1:14" ht="12.6" customHeight="1" x14ac:dyDescent="0.3">
      <c r="A2192" s="78"/>
      <c r="B2192" s="78"/>
      <c r="C2192" s="103"/>
      <c r="D2192" s="103"/>
      <c r="E2192" s="103"/>
      <c r="F2192" s="103"/>
      <c r="G2192" s="17" t="s">
        <v>1229</v>
      </c>
    </row>
    <row r="2193" spans="1:7" ht="12.6" customHeight="1" x14ac:dyDescent="0.3">
      <c r="A2193" s="68"/>
      <c r="B2193" s="77" t="s">
        <v>2245</v>
      </c>
      <c r="C2193" s="78"/>
      <c r="D2193" s="78"/>
      <c r="E2193" s="78"/>
      <c r="F2193" s="78"/>
      <c r="G2193" s="17" t="s">
        <v>2244</v>
      </c>
    </row>
    <row r="2194" spans="1:7" ht="12.6" customHeight="1" x14ac:dyDescent="0.3">
      <c r="A2194" s="78"/>
      <c r="B2194" s="78"/>
      <c r="C2194" s="78"/>
      <c r="D2194" s="78"/>
      <c r="E2194" s="78"/>
      <c r="F2194" s="78"/>
      <c r="G2194" s="17" t="s">
        <v>1229</v>
      </c>
    </row>
    <row r="2195" spans="1:7" ht="12.6" customHeight="1" x14ac:dyDescent="0.3">
      <c r="A2195" s="68"/>
      <c r="B2195" s="77" t="s">
        <v>2247</v>
      </c>
      <c r="C2195" s="78"/>
      <c r="D2195" s="78"/>
      <c r="E2195" s="78"/>
      <c r="F2195" s="78"/>
      <c r="G2195" s="17" t="s">
        <v>2246</v>
      </c>
    </row>
    <row r="2196" spans="1:7" ht="12.6" customHeight="1" x14ac:dyDescent="0.3">
      <c r="A2196" s="78"/>
      <c r="B2196" s="78"/>
      <c r="C2196" s="78"/>
      <c r="D2196" s="78"/>
      <c r="E2196" s="78"/>
      <c r="F2196" s="78"/>
      <c r="G2196" s="17" t="s">
        <v>1229</v>
      </c>
    </row>
    <row r="2197" spans="1:7" ht="12.6" customHeight="1" x14ac:dyDescent="0.3">
      <c r="A2197" s="68"/>
      <c r="B2197" s="77" t="s">
        <v>2249</v>
      </c>
      <c r="C2197" s="78"/>
      <c r="D2197" s="78"/>
      <c r="E2197" s="78"/>
      <c r="F2197" s="78"/>
      <c r="G2197" s="17" t="s">
        <v>2248</v>
      </c>
    </row>
    <row r="2198" spans="1:7" ht="12.6" customHeight="1" x14ac:dyDescent="0.3">
      <c r="A2198" s="78"/>
      <c r="B2198" s="78"/>
      <c r="C2198" s="78"/>
      <c r="D2198" s="78"/>
      <c r="E2198" s="78"/>
      <c r="F2198" s="78"/>
      <c r="G2198" s="17" t="s">
        <v>1229</v>
      </c>
    </row>
    <row r="2199" spans="1:7" ht="12.6" customHeight="1" x14ac:dyDescent="0.3">
      <c r="A2199" s="68"/>
      <c r="B2199" s="77" t="s">
        <v>2251</v>
      </c>
      <c r="C2199" s="78"/>
      <c r="D2199" s="78"/>
      <c r="E2199" s="78"/>
      <c r="F2199" s="78"/>
      <c r="G2199" s="17" t="s">
        <v>2250</v>
      </c>
    </row>
    <row r="2200" spans="1:7" ht="12.6" customHeight="1" x14ac:dyDescent="0.3">
      <c r="A2200" s="78"/>
      <c r="B2200" s="78"/>
      <c r="C2200" s="78"/>
      <c r="D2200" s="78"/>
      <c r="E2200" s="78"/>
      <c r="F2200" s="78"/>
      <c r="G2200" s="17" t="s">
        <v>1229</v>
      </c>
    </row>
    <row r="2201" spans="1:7" ht="12.6" customHeight="1" x14ac:dyDescent="0.3">
      <c r="A2201" s="68"/>
      <c r="B2201" s="77" t="s">
        <v>2253</v>
      </c>
      <c r="C2201" s="78"/>
      <c r="D2201" s="78"/>
      <c r="E2201" s="78"/>
      <c r="F2201" s="78"/>
      <c r="G2201" s="17" t="s">
        <v>2252</v>
      </c>
    </row>
    <row r="2202" spans="1:7" ht="12.6" customHeight="1" x14ac:dyDescent="0.3">
      <c r="A2202" s="78"/>
      <c r="B2202" s="78"/>
      <c r="C2202" s="78"/>
      <c r="D2202" s="78"/>
      <c r="E2202" s="78"/>
      <c r="F2202" s="78"/>
      <c r="G2202" s="17" t="s">
        <v>1229</v>
      </c>
    </row>
    <row r="2203" spans="1:7" ht="12.6" customHeight="1" x14ac:dyDescent="0.3">
      <c r="A2203" s="68"/>
      <c r="B2203" s="77" t="s">
        <v>2255</v>
      </c>
      <c r="C2203" s="78"/>
      <c r="D2203" s="78"/>
      <c r="E2203" s="78"/>
      <c r="F2203" s="78"/>
      <c r="G2203" s="17" t="s">
        <v>2254</v>
      </c>
    </row>
    <row r="2204" spans="1:7" ht="12.6" customHeight="1" x14ac:dyDescent="0.3">
      <c r="A2204" s="78"/>
      <c r="B2204" s="78"/>
      <c r="C2204" s="78"/>
      <c r="D2204" s="78"/>
      <c r="E2204" s="78"/>
      <c r="F2204" s="78"/>
      <c r="G2204" s="17" t="s">
        <v>1229</v>
      </c>
    </row>
    <row r="2205" spans="1:7" ht="12.6" customHeight="1" x14ac:dyDescent="0.3">
      <c r="A2205" s="68"/>
      <c r="B2205" s="77" t="s">
        <v>2257</v>
      </c>
      <c r="C2205" s="78"/>
      <c r="D2205" s="78"/>
      <c r="E2205" s="78"/>
      <c r="F2205" s="78"/>
      <c r="G2205" s="17" t="s">
        <v>2256</v>
      </c>
    </row>
    <row r="2206" spans="1:7" ht="12.6" customHeight="1" x14ac:dyDescent="0.3">
      <c r="A2206" s="78"/>
      <c r="B2206" s="78"/>
      <c r="C2206" s="78"/>
      <c r="D2206" s="78"/>
      <c r="E2206" s="78"/>
      <c r="F2206" s="78"/>
      <c r="G2206" s="17" t="s">
        <v>1229</v>
      </c>
    </row>
    <row r="2207" spans="1:7" ht="12.6" customHeight="1" x14ac:dyDescent="0.3">
      <c r="A2207" s="68"/>
      <c r="B2207" s="77" t="s">
        <v>1869</v>
      </c>
      <c r="C2207" s="78"/>
      <c r="D2207" s="78"/>
      <c r="E2207" s="78"/>
      <c r="F2207" s="78"/>
      <c r="G2207" s="17" t="s">
        <v>1868</v>
      </c>
    </row>
    <row r="2208" spans="1:7" ht="12.6" customHeight="1" x14ac:dyDescent="0.3">
      <c r="A2208" s="78"/>
      <c r="B2208" s="78"/>
      <c r="C2208" s="78"/>
      <c r="D2208" s="78"/>
      <c r="E2208" s="78"/>
      <c r="F2208" s="78"/>
      <c r="G2208" s="17" t="s">
        <v>1229</v>
      </c>
    </row>
    <row r="2209" spans="1:7" ht="12.6" customHeight="1" x14ac:dyDescent="0.3">
      <c r="A2209" s="68"/>
      <c r="B2209" s="77" t="s">
        <v>1323</v>
      </c>
      <c r="C2209" s="78"/>
      <c r="D2209" s="78"/>
      <c r="E2209" s="78"/>
      <c r="F2209" s="78"/>
      <c r="G2209" s="17" t="s">
        <v>1322</v>
      </c>
    </row>
    <row r="2210" spans="1:7" ht="12.6" customHeight="1" x14ac:dyDescent="0.3">
      <c r="A2210" s="78"/>
      <c r="B2210" s="78"/>
      <c r="C2210" s="78"/>
      <c r="D2210" s="78"/>
      <c r="E2210" s="78"/>
      <c r="F2210" s="78"/>
      <c r="G2210" s="17" t="s">
        <v>1229</v>
      </c>
    </row>
    <row r="2211" spans="1:7" ht="12.6" customHeight="1" x14ac:dyDescent="0.3">
      <c r="A2211" s="68"/>
      <c r="B2211" s="77" t="s">
        <v>2259</v>
      </c>
      <c r="C2211" s="78"/>
      <c r="D2211" s="78"/>
      <c r="E2211" s="78"/>
      <c r="F2211" s="78"/>
      <c r="G2211" s="17" t="s">
        <v>2258</v>
      </c>
    </row>
    <row r="2212" spans="1:7" ht="12.6" customHeight="1" x14ac:dyDescent="0.3">
      <c r="A2212" s="78"/>
      <c r="B2212" s="78"/>
      <c r="C2212" s="78"/>
      <c r="D2212" s="78"/>
      <c r="E2212" s="78"/>
      <c r="F2212" s="78"/>
      <c r="G2212" s="17" t="s">
        <v>1229</v>
      </c>
    </row>
    <row r="2213" spans="1:7" ht="12.6" customHeight="1" x14ac:dyDescent="0.3">
      <c r="A2213" s="68"/>
      <c r="B2213" s="77" t="s">
        <v>2261</v>
      </c>
      <c r="C2213" s="78"/>
      <c r="D2213" s="78"/>
      <c r="E2213" s="78"/>
      <c r="F2213" s="78"/>
      <c r="G2213" s="17" t="s">
        <v>2260</v>
      </c>
    </row>
    <row r="2214" spans="1:7" ht="12.6" customHeight="1" x14ac:dyDescent="0.3">
      <c r="A2214" s="78"/>
      <c r="B2214" s="78"/>
      <c r="C2214" s="78"/>
      <c r="D2214" s="78"/>
      <c r="E2214" s="78"/>
      <c r="F2214" s="78"/>
      <c r="G2214" s="17" t="s">
        <v>1229</v>
      </c>
    </row>
    <row r="2215" spans="1:7" ht="12.6" customHeight="1" x14ac:dyDescent="0.3">
      <c r="A2215" s="68"/>
      <c r="B2215" s="77" t="s">
        <v>2263</v>
      </c>
      <c r="C2215" s="78"/>
      <c r="D2215" s="78"/>
      <c r="E2215" s="78"/>
      <c r="F2215" s="78"/>
      <c r="G2215" s="17" t="s">
        <v>2262</v>
      </c>
    </row>
    <row r="2216" spans="1:7" ht="12.6" customHeight="1" x14ac:dyDescent="0.3">
      <c r="A2216" s="78"/>
      <c r="B2216" s="78"/>
      <c r="C2216" s="78"/>
      <c r="D2216" s="78"/>
      <c r="E2216" s="78"/>
      <c r="F2216" s="78"/>
      <c r="G2216" s="17" t="s">
        <v>1229</v>
      </c>
    </row>
    <row r="2217" spans="1:7" ht="12.6" customHeight="1" x14ac:dyDescent="0.3">
      <c r="A2217" s="68"/>
      <c r="B2217" s="77" t="s">
        <v>2265</v>
      </c>
      <c r="C2217" s="78"/>
      <c r="D2217" s="78"/>
      <c r="E2217" s="78"/>
      <c r="F2217" s="78"/>
      <c r="G2217" s="17" t="s">
        <v>2264</v>
      </c>
    </row>
    <row r="2218" spans="1:7" ht="12.6" customHeight="1" x14ac:dyDescent="0.3">
      <c r="A2218" s="78"/>
      <c r="B2218" s="78"/>
      <c r="C2218" s="78"/>
      <c r="D2218" s="78"/>
      <c r="E2218" s="78"/>
      <c r="F2218" s="78"/>
      <c r="G2218" s="17" t="s">
        <v>1229</v>
      </c>
    </row>
    <row r="2219" spans="1:7" ht="12.6" customHeight="1" x14ac:dyDescent="0.3">
      <c r="A2219" s="68"/>
      <c r="B2219" s="77" t="s">
        <v>1563</v>
      </c>
      <c r="C2219" s="78"/>
      <c r="D2219" s="78"/>
      <c r="E2219" s="78"/>
      <c r="F2219" s="78"/>
      <c r="G2219" s="17" t="s">
        <v>1562</v>
      </c>
    </row>
    <row r="2220" spans="1:7" ht="12.6" customHeight="1" x14ac:dyDescent="0.3">
      <c r="A2220" s="78"/>
      <c r="B2220" s="78"/>
      <c r="C2220" s="78"/>
      <c r="D2220" s="78"/>
      <c r="E2220" s="78"/>
      <c r="F2220" s="78"/>
      <c r="G2220" s="17" t="s">
        <v>1229</v>
      </c>
    </row>
    <row r="2221" spans="1:7" ht="12.6" customHeight="1" x14ac:dyDescent="0.3">
      <c r="A2221" s="68"/>
      <c r="B2221" s="77" t="s">
        <v>2267</v>
      </c>
      <c r="C2221" s="78"/>
      <c r="D2221" s="78"/>
      <c r="E2221" s="78"/>
      <c r="F2221" s="78"/>
      <c r="G2221" s="17" t="s">
        <v>2266</v>
      </c>
    </row>
    <row r="2222" spans="1:7" ht="12.6" customHeight="1" x14ac:dyDescent="0.3">
      <c r="A2222" s="78"/>
      <c r="B2222" s="78"/>
      <c r="C2222" s="78"/>
      <c r="D2222" s="78"/>
      <c r="E2222" s="78"/>
      <c r="F2222" s="78"/>
      <c r="G2222" s="17" t="s">
        <v>1229</v>
      </c>
    </row>
    <row r="2223" spans="1:7" ht="12.6" customHeight="1" x14ac:dyDescent="0.3">
      <c r="A2223" s="68"/>
      <c r="B2223" s="77" t="s">
        <v>2152</v>
      </c>
      <c r="C2223" s="78"/>
      <c r="D2223" s="78"/>
      <c r="E2223" s="78"/>
      <c r="F2223" s="78"/>
      <c r="G2223" s="17" t="s">
        <v>2151</v>
      </c>
    </row>
    <row r="2224" spans="1:7" ht="12.6" customHeight="1" x14ac:dyDescent="0.3">
      <c r="A2224" s="78"/>
      <c r="B2224" s="78"/>
      <c r="C2224" s="78"/>
      <c r="D2224" s="78"/>
      <c r="E2224" s="78"/>
      <c r="F2224" s="78"/>
      <c r="G2224" s="17" t="s">
        <v>1229</v>
      </c>
    </row>
    <row r="2225" spans="1:25" ht="12.6" customHeight="1" x14ac:dyDescent="0.3">
      <c r="A2225" s="68"/>
      <c r="B2225" s="77" t="s">
        <v>2269</v>
      </c>
      <c r="C2225" s="78"/>
      <c r="D2225" s="78"/>
      <c r="E2225" s="78"/>
      <c r="F2225" s="78"/>
      <c r="G2225" s="17" t="s">
        <v>2268</v>
      </c>
    </row>
    <row r="2226" spans="1:25" ht="12.6" customHeight="1" x14ac:dyDescent="0.3">
      <c r="A2226" s="78"/>
      <c r="B2226" s="78"/>
      <c r="C2226" s="78"/>
      <c r="D2226" s="78"/>
      <c r="E2226" s="78"/>
      <c r="F2226" s="78"/>
      <c r="G2226" s="17" t="s">
        <v>1229</v>
      </c>
    </row>
    <row r="2227" spans="1:25" ht="12.6" customHeight="1" x14ac:dyDescent="0.3">
      <c r="A2227" s="68"/>
      <c r="B2227" s="77" t="s">
        <v>2271</v>
      </c>
      <c r="C2227" s="78"/>
      <c r="D2227" s="78"/>
      <c r="E2227" s="78"/>
      <c r="F2227" s="78"/>
      <c r="G2227" s="17" t="s">
        <v>2270</v>
      </c>
    </row>
    <row r="2228" spans="1:25" ht="12.6" customHeight="1" x14ac:dyDescent="0.3">
      <c r="A2228" s="78"/>
      <c r="B2228" s="78"/>
      <c r="C2228" s="78"/>
      <c r="D2228" s="78"/>
      <c r="E2228" s="78"/>
      <c r="F2228" s="78"/>
      <c r="G2228" s="17" t="s">
        <v>1229</v>
      </c>
    </row>
    <row r="2229" spans="1:25" ht="12.6" customHeight="1" x14ac:dyDescent="0.3">
      <c r="A2229" s="68" t="s">
        <v>2273</v>
      </c>
      <c r="B2229" s="102" t="str">
        <f>" 노무비: "&amp;TEXT(I2229,"#,##0"&amp;IF(I2229&lt;&gt;INT(I2229),".###",""))&amp;" / Q = "&amp;TEXT(C2229,"#,##0.0")&amp;""</f>
        <v xml:space="preserve"> 노무비: 57,077 / Q = 14,093.0</v>
      </c>
      <c r="C2229" s="104">
        <f>E2229+D2229+F2229</f>
        <v>14093</v>
      </c>
      <c r="D2229" s="104">
        <f>IF(H2229=0,0,ROUNDDOWN(J2229*H2229,1))</f>
        <v>14093</v>
      </c>
      <c r="E2229" s="104">
        <f>IF(H2229=0,0,ROUNDDOWN(K2229*H2229,1))</f>
        <v>0</v>
      </c>
      <c r="F2229" s="104">
        <f>IF(H2229=0,0,ROUNDDOWN(L2229*H2229,1))</f>
        <v>0</v>
      </c>
      <c r="G2229" s="17" t="s">
        <v>2272</v>
      </c>
      <c r="H2229" s="109">
        <v>0.2469135802471</v>
      </c>
      <c r="I2229" s="110">
        <f>K2229+J2229+L2229</f>
        <v>57077</v>
      </c>
      <c r="J2229" s="39">
        <f>중기목록표!F25</f>
        <v>57077</v>
      </c>
      <c r="M2229" s="35" t="s">
        <v>2274</v>
      </c>
      <c r="N2229" s="35" t="s">
        <v>2281</v>
      </c>
      <c r="X2229" s="111" t="str">
        <f>중기목록표!B25&amp;" / "&amp;중기목록표!C25</f>
        <v>덤프트럭 / 24톤(할증125%)</v>
      </c>
      <c r="Y2229" s="3" t="str">
        <f ca="1">HYPERLINK("#"&amp;중기목록표!J2&amp;"!A"&amp;ROW(중기목록표!A25),"X00740 →")</f>
        <v>X00740 →</v>
      </c>
    </row>
    <row r="2230" spans="1:25" ht="12.6" customHeight="1" x14ac:dyDescent="0.3">
      <c r="A2230" s="78"/>
      <c r="B2230" s="78"/>
      <c r="C2230" s="78"/>
      <c r="D2230" s="78"/>
      <c r="E2230" s="78"/>
      <c r="F2230" s="78"/>
      <c r="G2230" s="17" t="s">
        <v>1229</v>
      </c>
    </row>
    <row r="2231" spans="1:25" ht="12.6" customHeight="1" x14ac:dyDescent="0.3">
      <c r="A2231" s="68" t="s">
        <v>2276</v>
      </c>
      <c r="B2231" s="102" t="str">
        <f>" 재료비: "&amp;TEXT(I2231,"#,##0"&amp;IF(I2231&lt;&gt;INT(I2231),".###",""))&amp;" / Q * (Cm-t1)/Cm = "&amp;TEXT(C2231,"#,##0.0")&amp;""</f>
        <v xml:space="preserve"> 재료비: 43,134 / Q * (Cm-t1)/Cm = 9,671.8</v>
      </c>
      <c r="C2231" s="104">
        <f>E2231+D2231+F2231</f>
        <v>9671.7999999999993</v>
      </c>
      <c r="D2231" s="104">
        <f>IF(H2231=0,0,ROUNDDOWN(J2231*H2231,1))</f>
        <v>0</v>
      </c>
      <c r="E2231" s="104">
        <f>IF(H2231=0,0,ROUNDDOWN(K2231*H2231,1))</f>
        <v>9671.7999999999993</v>
      </c>
      <c r="F2231" s="104">
        <f>IF(H2231=0,0,ROUNDDOWN(L2231*H2231,1))</f>
        <v>0</v>
      </c>
      <c r="G2231" s="17" t="s">
        <v>2275</v>
      </c>
      <c r="H2231" s="109">
        <v>0.22422760387019999</v>
      </c>
      <c r="I2231" s="110">
        <f>K2231+J2231+L2231</f>
        <v>43134</v>
      </c>
      <c r="K2231" s="39">
        <f>중기목록표!G25</f>
        <v>43134</v>
      </c>
      <c r="M2231" s="35" t="s">
        <v>2274</v>
      </c>
      <c r="N2231" s="35" t="s">
        <v>2281</v>
      </c>
      <c r="X2231" s="111" t="str">
        <f>중기목록표!B25&amp;" / "&amp;중기목록표!C25</f>
        <v>덤프트럭 / 24톤(할증125%)</v>
      </c>
      <c r="Y2231" s="3" t="str">
        <f ca="1">HYPERLINK("#"&amp;중기목록표!J2&amp;"!A"&amp;ROW(중기목록표!A25),"X00740 →")</f>
        <v>X00740 →</v>
      </c>
    </row>
    <row r="2232" spans="1:25" ht="12.6" customHeight="1" x14ac:dyDescent="0.3">
      <c r="A2232" s="78"/>
      <c r="B2232" s="78"/>
      <c r="C2232" s="78"/>
      <c r="D2232" s="78"/>
      <c r="E2232" s="78"/>
      <c r="F2232" s="78"/>
      <c r="G2232" s="17" t="s">
        <v>1229</v>
      </c>
    </row>
    <row r="2233" spans="1:25" ht="12.6" customHeight="1" x14ac:dyDescent="0.3">
      <c r="A2233" s="68" t="s">
        <v>2278</v>
      </c>
      <c r="B2233" s="102" t="str">
        <f>" 경  비: "&amp;TEXT(I2233,"#,##0"&amp;IF(I2233&lt;&gt;INT(I2233),".###",""))&amp;" / Q = "&amp;TEXT(C2233,"#,##0.0")&amp;""</f>
        <v xml:space="preserve"> 경  비: 37,935 / Q = 9,366.6</v>
      </c>
      <c r="C2233" s="104">
        <f>E2233+D2233+F2233</f>
        <v>9366.6</v>
      </c>
      <c r="D2233" s="104">
        <f>IF(H2233=0,0,ROUNDDOWN(J2233*H2233,1))</f>
        <v>0</v>
      </c>
      <c r="E2233" s="104">
        <f>IF(H2233=0,0,ROUNDDOWN(K2233*H2233,1))</f>
        <v>0</v>
      </c>
      <c r="F2233" s="104">
        <f>IF(H2233=0,0,ROUNDDOWN(L2233*H2233,1))</f>
        <v>9366.6</v>
      </c>
      <c r="G2233" s="17" t="s">
        <v>2277</v>
      </c>
      <c r="H2233" s="109">
        <v>0.2469135802471</v>
      </c>
      <c r="I2233" s="110">
        <f>K2233+J2233+L2233</f>
        <v>37935</v>
      </c>
      <c r="L2233" s="39">
        <f>중기목록표!H25</f>
        <v>37935</v>
      </c>
      <c r="M2233" s="35" t="s">
        <v>2274</v>
      </c>
      <c r="N2233" s="35" t="s">
        <v>2281</v>
      </c>
      <c r="X2233" s="111" t="str">
        <f>중기목록표!B25&amp;" / "&amp;중기목록표!C25</f>
        <v>덤프트럭 / 24톤(할증125%)</v>
      </c>
      <c r="Y2233" s="3" t="str">
        <f ca="1">HYPERLINK("#"&amp;중기목록표!J2&amp;"!A"&amp;ROW(중기목록표!A25),"X00740 →")</f>
        <v>X00740 →</v>
      </c>
    </row>
    <row r="2234" spans="1:25" ht="12.6" customHeight="1" x14ac:dyDescent="0.3">
      <c r="A2234" s="78"/>
      <c r="B2234" s="78"/>
      <c r="C2234" s="78"/>
      <c r="D2234" s="78"/>
      <c r="E2234" s="78"/>
      <c r="F2234" s="78"/>
      <c r="G2234" s="17" t="s">
        <v>1229</v>
      </c>
    </row>
    <row r="2235" spans="1:25" ht="12.6" customHeight="1" x14ac:dyDescent="0.3">
      <c r="A2235" s="68"/>
      <c r="B2235" s="77" t="s">
        <v>2280</v>
      </c>
      <c r="C2235" s="107">
        <f>E2235+D2235+F2235</f>
        <v>33131.4</v>
      </c>
      <c r="D2235" s="107">
        <f>SUMIF(N2192:N2234,M2235,D2192:D2234)</f>
        <v>14093</v>
      </c>
      <c r="E2235" s="107">
        <f>SUMIF(N2192:N2234,M2235,E2192:E2234)</f>
        <v>9671.7999999999993</v>
      </c>
      <c r="F2235" s="107">
        <f>SUMIF(N2192:N2234,M2235,F2192:F2234)</f>
        <v>9366.6</v>
      </c>
      <c r="G2235" s="17" t="s">
        <v>2279</v>
      </c>
      <c r="M2235" s="35" t="s">
        <v>2281</v>
      </c>
    </row>
    <row r="2236" spans="1:25" ht="12.6" customHeight="1" x14ac:dyDescent="0.3">
      <c r="A2236" s="78"/>
      <c r="B2236" s="78"/>
      <c r="C2236" s="108"/>
      <c r="D2236" s="108"/>
      <c r="E2236" s="108"/>
      <c r="F2236" s="108"/>
      <c r="G2236" s="17" t="s">
        <v>1229</v>
      </c>
    </row>
    <row r="2237" spans="1:25" ht="12.6" customHeight="1" x14ac:dyDescent="0.3">
      <c r="A2237" s="68" t="s">
        <v>652</v>
      </c>
      <c r="B2237" s="102" t="str">
        <f>" ○운반비 계 : "&amp;TEXT(I2237,"#,##0"&amp;IF(I2237&lt;&gt;INT(I2237),".###",""))&amp;" * 1 식  = "&amp;TEXT(C2237,"#,##0.0")&amp;""</f>
        <v xml:space="preserve"> ○운반비 계 : 33,131.4 * 1 식  = 33,131.4</v>
      </c>
      <c r="C2237" s="104">
        <f>E2237+D2237+F2237</f>
        <v>33131.4</v>
      </c>
      <c r="D2237" s="104">
        <f>IF(H2237=0,0,ROUNDDOWN(J2237*H2237,1))</f>
        <v>0</v>
      </c>
      <c r="E2237" s="104">
        <f>IF(H2237=0,0,ROUNDDOWN(K2237*H2237,1))</f>
        <v>0</v>
      </c>
      <c r="F2237" s="104">
        <f>IF(H2237=0,0,ROUNDDOWN(L2237*H2237,1))</f>
        <v>33131.4</v>
      </c>
      <c r="G2237" s="17" t="s">
        <v>2121</v>
      </c>
      <c r="H2237" s="109">
        <v>1</v>
      </c>
      <c r="I2237" s="110">
        <f>K2237+J2237+L2237</f>
        <v>33131.4</v>
      </c>
      <c r="J2237" s="36">
        <v>0</v>
      </c>
      <c r="K2237" s="36">
        <v>0</v>
      </c>
      <c r="L2237" s="37">
        <v>33131.4</v>
      </c>
      <c r="M2237" s="35" t="s">
        <v>2122</v>
      </c>
      <c r="N2237" s="35" t="s">
        <v>1011</v>
      </c>
    </row>
    <row r="2238" spans="1:25" ht="12.6" customHeight="1" x14ac:dyDescent="0.3">
      <c r="A2238" s="78"/>
      <c r="B2238" s="78"/>
      <c r="C2238" s="78"/>
      <c r="D2238" s="78"/>
      <c r="E2238" s="78"/>
      <c r="F2238" s="78"/>
    </row>
    <row r="2239" spans="1:25" ht="12.6" customHeight="1" x14ac:dyDescent="0.3">
      <c r="A2239" s="78"/>
      <c r="B2239" s="78"/>
      <c r="C2239" s="78"/>
      <c r="D2239" s="78"/>
      <c r="E2239" s="78"/>
      <c r="F2239" s="78"/>
    </row>
    <row r="2240" spans="1:25" ht="12.6" customHeight="1" x14ac:dyDescent="0.3">
      <c r="A2240" s="78"/>
      <c r="B2240" s="78"/>
      <c r="C2240" s="78"/>
      <c r="D2240" s="78"/>
      <c r="E2240" s="78"/>
      <c r="F2240" s="78"/>
    </row>
    <row r="2241" spans="1:6" ht="12.6" customHeight="1" x14ac:dyDescent="0.3">
      <c r="A2241" s="78"/>
      <c r="B2241" s="78"/>
      <c r="C2241" s="78"/>
      <c r="D2241" s="78"/>
      <c r="E2241" s="78"/>
      <c r="F2241" s="78"/>
    </row>
    <row r="2242" spans="1:6" ht="12.6" customHeight="1" x14ac:dyDescent="0.3">
      <c r="A2242" s="78"/>
      <c r="B2242" s="78"/>
      <c r="C2242" s="78"/>
      <c r="D2242" s="78"/>
      <c r="E2242" s="78"/>
      <c r="F2242" s="78"/>
    </row>
    <row r="2243" spans="1:6" ht="12.6" customHeight="1" x14ac:dyDescent="0.3">
      <c r="A2243" s="78"/>
      <c r="B2243" s="78"/>
      <c r="C2243" s="78"/>
      <c r="D2243" s="78"/>
      <c r="E2243" s="78"/>
      <c r="F2243" s="78"/>
    </row>
    <row r="2244" spans="1:6" ht="12.6" customHeight="1" x14ac:dyDescent="0.3">
      <c r="A2244" s="78"/>
      <c r="B2244" s="78"/>
      <c r="C2244" s="78"/>
      <c r="D2244" s="78"/>
      <c r="E2244" s="78"/>
      <c r="F2244" s="78"/>
    </row>
    <row r="2245" spans="1:6" ht="12.6" customHeight="1" x14ac:dyDescent="0.3">
      <c r="A2245" s="78"/>
      <c r="B2245" s="78"/>
      <c r="C2245" s="78"/>
      <c r="D2245" s="78"/>
      <c r="E2245" s="78"/>
      <c r="F2245" s="78"/>
    </row>
    <row r="2246" spans="1:6" ht="12.6" customHeight="1" x14ac:dyDescent="0.3">
      <c r="A2246" s="78"/>
      <c r="B2246" s="78"/>
      <c r="C2246" s="78"/>
      <c r="D2246" s="78"/>
      <c r="E2246" s="78"/>
      <c r="F2246" s="78"/>
    </row>
    <row r="2247" spans="1:6" ht="12.6" customHeight="1" x14ac:dyDescent="0.3">
      <c r="A2247" s="78"/>
      <c r="B2247" s="78"/>
      <c r="C2247" s="78"/>
      <c r="D2247" s="78"/>
      <c r="E2247" s="78"/>
      <c r="F2247" s="78"/>
    </row>
    <row r="2248" spans="1:6" ht="12.6" customHeight="1" x14ac:dyDescent="0.3">
      <c r="A2248" s="78"/>
      <c r="B2248" s="78"/>
      <c r="C2248" s="78"/>
      <c r="D2248" s="78"/>
      <c r="E2248" s="78"/>
      <c r="F2248" s="78"/>
    </row>
    <row r="2249" spans="1:6" ht="12.6" customHeight="1" x14ac:dyDescent="0.3">
      <c r="A2249" s="78"/>
      <c r="B2249" s="78"/>
      <c r="C2249" s="78"/>
      <c r="D2249" s="78"/>
      <c r="E2249" s="78"/>
      <c r="F2249" s="78"/>
    </row>
    <row r="2250" spans="1:6" ht="12.6" customHeight="1" x14ac:dyDescent="0.3">
      <c r="A2250" s="78"/>
      <c r="B2250" s="78"/>
      <c r="C2250" s="78"/>
      <c r="D2250" s="78"/>
      <c r="E2250" s="78"/>
      <c r="F2250" s="78"/>
    </row>
    <row r="2251" spans="1:6" ht="12.6" customHeight="1" x14ac:dyDescent="0.3">
      <c r="A2251" s="78"/>
      <c r="B2251" s="78"/>
      <c r="C2251" s="78"/>
      <c r="D2251" s="78"/>
      <c r="E2251" s="78"/>
      <c r="F2251" s="78"/>
    </row>
    <row r="2252" spans="1:6" ht="12.6" customHeight="1" x14ac:dyDescent="0.3">
      <c r="A2252" s="78"/>
      <c r="B2252" s="78"/>
      <c r="C2252" s="78"/>
      <c r="D2252" s="78"/>
      <c r="E2252" s="78"/>
      <c r="F2252" s="78"/>
    </row>
    <row r="2253" spans="1:6" ht="12.6" customHeight="1" x14ac:dyDescent="0.3">
      <c r="A2253" s="78"/>
      <c r="B2253" s="78"/>
      <c r="C2253" s="78"/>
      <c r="D2253" s="78"/>
      <c r="E2253" s="78"/>
      <c r="F2253" s="78"/>
    </row>
    <row r="2254" spans="1:6" ht="12.6" customHeight="1" x14ac:dyDescent="0.3">
      <c r="A2254" s="78"/>
      <c r="B2254" s="78"/>
      <c r="C2254" s="78"/>
      <c r="D2254" s="78"/>
      <c r="E2254" s="78"/>
      <c r="F2254" s="78"/>
    </row>
    <row r="2255" spans="1:6" ht="12.6" customHeight="1" x14ac:dyDescent="0.3">
      <c r="A2255" s="78"/>
      <c r="B2255" s="78"/>
      <c r="C2255" s="78"/>
      <c r="D2255" s="78"/>
      <c r="E2255" s="78"/>
      <c r="F2255" s="78"/>
    </row>
    <row r="2256" spans="1:6" ht="12.6" customHeight="1" x14ac:dyDescent="0.3">
      <c r="A2256" s="56"/>
      <c r="B2256" s="56"/>
      <c r="C2256" s="56"/>
      <c r="D2256" s="56"/>
      <c r="E2256" s="56"/>
      <c r="F2256" s="56"/>
    </row>
    <row r="2257" spans="1:14" ht="12.6" customHeight="1" x14ac:dyDescent="0.3">
      <c r="A2257" s="143" t="s">
        <v>1101</v>
      </c>
      <c r="B2257" s="144"/>
      <c r="C2257" s="54">
        <f>E2257+D2257+F2257</f>
        <v>33131</v>
      </c>
      <c r="D2257" s="52">
        <f>ROUNDDOWN(SUMIF(N2192:N2237,M2257,D2192:D2237),0)</f>
        <v>0</v>
      </c>
      <c r="E2257" s="64">
        <f>ROUNDDOWN(SUMIF(N2192:N2237,M2257,E2192:E2237),0)</f>
        <v>0</v>
      </c>
      <c r="F2257" s="54">
        <f>ROUNDDOWN(SUMIF(N2192:N2237,M2257,F2192:F2237),0)</f>
        <v>33131</v>
      </c>
      <c r="M2257" s="35" t="s">
        <v>1011</v>
      </c>
      <c r="N2257" s="35" t="s">
        <v>1102</v>
      </c>
    </row>
    <row r="2258" spans="1:14" ht="12.6" customHeight="1" x14ac:dyDescent="0.3">
      <c r="A2258" s="143" t="s">
        <v>1103</v>
      </c>
      <c r="B2258" s="144"/>
      <c r="C2258" s="54">
        <f>E2258+D2258+F2258</f>
        <v>29070</v>
      </c>
      <c r="D2258" s="52">
        <f>ROUNDDOWN(D2257*H2258/100,0)</f>
        <v>0</v>
      </c>
      <c r="E2258" s="64">
        <f>ROUNDDOWN(E2257*H2258/100,0)</f>
        <v>0</v>
      </c>
      <c r="F2258" s="54">
        <f>ROUNDDOWN(F2257*H2258/100,0)</f>
        <v>29070</v>
      </c>
      <c r="H2258" s="37">
        <v>87.745000000000005</v>
      </c>
      <c r="M2258" s="35" t="s">
        <v>1102</v>
      </c>
    </row>
  </sheetData>
  <mergeCells count="229">
    <mergeCell ref="C2190:C2191"/>
    <mergeCell ref="D2190:D2191"/>
    <mergeCell ref="E2190:E2191"/>
    <mergeCell ref="F2190:F2191"/>
    <mergeCell ref="A2257:B2257"/>
    <mergeCell ref="A2258:B2258"/>
    <mergeCell ref="C2086:C2087"/>
    <mergeCell ref="D2086:D2087"/>
    <mergeCell ref="E2086:E2087"/>
    <mergeCell ref="F2086:F2087"/>
    <mergeCell ref="A2188:B2188"/>
    <mergeCell ref="A2189:B2189"/>
    <mergeCell ref="C2017:C2018"/>
    <mergeCell ref="D2017:D2018"/>
    <mergeCell ref="E2017:E2018"/>
    <mergeCell ref="F2017:F2018"/>
    <mergeCell ref="A2084:B2084"/>
    <mergeCell ref="A2085:B2085"/>
    <mergeCell ref="C1948:C1949"/>
    <mergeCell ref="D1948:D1949"/>
    <mergeCell ref="E1948:E1949"/>
    <mergeCell ref="F1948:F1949"/>
    <mergeCell ref="A2015:B2015"/>
    <mergeCell ref="A2016:B2016"/>
    <mergeCell ref="C1809:C1810"/>
    <mergeCell ref="D1809:D1810"/>
    <mergeCell ref="E1809:E1810"/>
    <mergeCell ref="F1809:F1810"/>
    <mergeCell ref="A1946:B1946"/>
    <mergeCell ref="A1947:B1947"/>
    <mergeCell ref="C1775:C1776"/>
    <mergeCell ref="D1775:D1776"/>
    <mergeCell ref="E1775:E1776"/>
    <mergeCell ref="F1775:F1776"/>
    <mergeCell ref="A1807:B1807"/>
    <mergeCell ref="A1808:B1808"/>
    <mergeCell ref="C1706:C1707"/>
    <mergeCell ref="D1706:D1707"/>
    <mergeCell ref="E1706:E1707"/>
    <mergeCell ref="F1706:F1707"/>
    <mergeCell ref="A1773:B1773"/>
    <mergeCell ref="A1774:B1774"/>
    <mergeCell ref="C1637:C1638"/>
    <mergeCell ref="D1637:D1638"/>
    <mergeCell ref="E1637:E1638"/>
    <mergeCell ref="F1637:F1638"/>
    <mergeCell ref="A1704:B1704"/>
    <mergeCell ref="A1705:B1705"/>
    <mergeCell ref="C1568:C1569"/>
    <mergeCell ref="D1568:D1569"/>
    <mergeCell ref="E1568:E1569"/>
    <mergeCell ref="F1568:F1569"/>
    <mergeCell ref="A1635:B1635"/>
    <mergeCell ref="A1636:B1636"/>
    <mergeCell ref="C1499:C1500"/>
    <mergeCell ref="D1499:D1500"/>
    <mergeCell ref="E1499:E1500"/>
    <mergeCell ref="F1499:F1500"/>
    <mergeCell ref="A1566:B1566"/>
    <mergeCell ref="A1567:B1567"/>
    <mergeCell ref="C1395:C1396"/>
    <mergeCell ref="D1395:D1396"/>
    <mergeCell ref="E1395:E1396"/>
    <mergeCell ref="F1395:F1396"/>
    <mergeCell ref="A1497:B1497"/>
    <mergeCell ref="A1498:B1498"/>
    <mergeCell ref="C1361:C1362"/>
    <mergeCell ref="D1361:D1362"/>
    <mergeCell ref="E1361:E1362"/>
    <mergeCell ref="F1361:F1362"/>
    <mergeCell ref="A1393:B1393"/>
    <mergeCell ref="A1394:B1394"/>
    <mergeCell ref="C1327:C1328"/>
    <mergeCell ref="D1327:D1328"/>
    <mergeCell ref="E1327:E1328"/>
    <mergeCell ref="F1327:F1328"/>
    <mergeCell ref="A1359:B1359"/>
    <mergeCell ref="A1360:B1360"/>
    <mergeCell ref="C1258:C1259"/>
    <mergeCell ref="D1258:D1259"/>
    <mergeCell ref="E1258:E1259"/>
    <mergeCell ref="F1258:F1259"/>
    <mergeCell ref="A1325:B1325"/>
    <mergeCell ref="A1326:B1326"/>
    <mergeCell ref="C1189:C1190"/>
    <mergeCell ref="D1189:D1190"/>
    <mergeCell ref="E1189:E1190"/>
    <mergeCell ref="F1189:F1190"/>
    <mergeCell ref="A1256:B1256"/>
    <mergeCell ref="A1257:B1257"/>
    <mergeCell ref="C1154:C1155"/>
    <mergeCell ref="D1154:D1155"/>
    <mergeCell ref="E1154:E1155"/>
    <mergeCell ref="F1154:F1155"/>
    <mergeCell ref="A1187:B1187"/>
    <mergeCell ref="A1188:B1188"/>
    <mergeCell ref="C1085:C1086"/>
    <mergeCell ref="D1085:D1086"/>
    <mergeCell ref="E1085:E1086"/>
    <mergeCell ref="F1085:F1086"/>
    <mergeCell ref="A1152:B1152"/>
    <mergeCell ref="A1153:B1153"/>
    <mergeCell ref="C1016:C1017"/>
    <mergeCell ref="D1016:D1017"/>
    <mergeCell ref="E1016:E1017"/>
    <mergeCell ref="F1016:F1017"/>
    <mergeCell ref="A1083:B1083"/>
    <mergeCell ref="A1084:B1084"/>
    <mergeCell ref="C982:C983"/>
    <mergeCell ref="D982:D983"/>
    <mergeCell ref="E982:E983"/>
    <mergeCell ref="F982:F983"/>
    <mergeCell ref="A1014:B1014"/>
    <mergeCell ref="A1015:B1015"/>
    <mergeCell ref="C913:C914"/>
    <mergeCell ref="D913:D914"/>
    <mergeCell ref="E913:E914"/>
    <mergeCell ref="F913:F914"/>
    <mergeCell ref="A980:B980"/>
    <mergeCell ref="A981:B981"/>
    <mergeCell ref="C879:C880"/>
    <mergeCell ref="D879:D880"/>
    <mergeCell ref="E879:E880"/>
    <mergeCell ref="F879:F880"/>
    <mergeCell ref="A911:B911"/>
    <mergeCell ref="A912:B912"/>
    <mergeCell ref="C845:C846"/>
    <mergeCell ref="D845:D846"/>
    <mergeCell ref="E845:E846"/>
    <mergeCell ref="F845:F846"/>
    <mergeCell ref="A877:B877"/>
    <mergeCell ref="A878:B878"/>
    <mergeCell ref="A809:B809"/>
    <mergeCell ref="C810:C811"/>
    <mergeCell ref="D810:D811"/>
    <mergeCell ref="E810:E811"/>
    <mergeCell ref="F810:F811"/>
    <mergeCell ref="A844:B844"/>
    <mergeCell ref="C740:C741"/>
    <mergeCell ref="D740:D741"/>
    <mergeCell ref="E740:E741"/>
    <mergeCell ref="F740:F741"/>
    <mergeCell ref="A774:B774"/>
    <mergeCell ref="C775:C776"/>
    <mergeCell ref="D775:D776"/>
    <mergeCell ref="E775:E776"/>
    <mergeCell ref="F775:F776"/>
    <mergeCell ref="A634:B634"/>
    <mergeCell ref="C635:C636"/>
    <mergeCell ref="D635:D636"/>
    <mergeCell ref="E635:E636"/>
    <mergeCell ref="F635:F636"/>
    <mergeCell ref="A739:B739"/>
    <mergeCell ref="C565:C566"/>
    <mergeCell ref="D565:D566"/>
    <mergeCell ref="E565:E566"/>
    <mergeCell ref="F565:F566"/>
    <mergeCell ref="A599:B599"/>
    <mergeCell ref="C600:C601"/>
    <mergeCell ref="D600:D601"/>
    <mergeCell ref="E600:E601"/>
    <mergeCell ref="F600:F601"/>
    <mergeCell ref="A529:B529"/>
    <mergeCell ref="C530:C531"/>
    <mergeCell ref="D530:D531"/>
    <mergeCell ref="E530:E531"/>
    <mergeCell ref="F530:F531"/>
    <mergeCell ref="A564:B564"/>
    <mergeCell ref="C425:C426"/>
    <mergeCell ref="D425:D426"/>
    <mergeCell ref="E425:E426"/>
    <mergeCell ref="F425:F426"/>
    <mergeCell ref="A459:B459"/>
    <mergeCell ref="C460:C461"/>
    <mergeCell ref="D460:D461"/>
    <mergeCell ref="E460:E461"/>
    <mergeCell ref="F460:F461"/>
    <mergeCell ref="A389:B389"/>
    <mergeCell ref="C390:C391"/>
    <mergeCell ref="D390:D391"/>
    <mergeCell ref="E390:E391"/>
    <mergeCell ref="F390:F391"/>
    <mergeCell ref="A424:B424"/>
    <mergeCell ref="C320:C321"/>
    <mergeCell ref="D320:D321"/>
    <mergeCell ref="E320:E321"/>
    <mergeCell ref="F320:F321"/>
    <mergeCell ref="A354:B354"/>
    <mergeCell ref="C355:C356"/>
    <mergeCell ref="D355:D356"/>
    <mergeCell ref="E355:E356"/>
    <mergeCell ref="F355:F356"/>
    <mergeCell ref="A284:B284"/>
    <mergeCell ref="C285:C286"/>
    <mergeCell ref="D285:D286"/>
    <mergeCell ref="E285:E286"/>
    <mergeCell ref="F285:F286"/>
    <mergeCell ref="A319:B319"/>
    <mergeCell ref="C180:C181"/>
    <mergeCell ref="D180:D181"/>
    <mergeCell ref="E180:E181"/>
    <mergeCell ref="F180:F181"/>
    <mergeCell ref="A214:B214"/>
    <mergeCell ref="C215:C216"/>
    <mergeCell ref="D215:D216"/>
    <mergeCell ref="E215:E216"/>
    <mergeCell ref="F215:F216"/>
    <mergeCell ref="A74:B74"/>
    <mergeCell ref="C75:C76"/>
    <mergeCell ref="D75:D76"/>
    <mergeCell ref="E75:E76"/>
    <mergeCell ref="F75:F76"/>
    <mergeCell ref="A179:B179"/>
    <mergeCell ref="C5:C6"/>
    <mergeCell ref="D5:D6"/>
    <mergeCell ref="E5:E6"/>
    <mergeCell ref="F5:F6"/>
    <mergeCell ref="A39:B39"/>
    <mergeCell ref="C40:C41"/>
    <mergeCell ref="D40:D41"/>
    <mergeCell ref="E40:E41"/>
    <mergeCell ref="F40:F41"/>
    <mergeCell ref="A1:F1"/>
    <mergeCell ref="A3:A4"/>
    <mergeCell ref="B3:B4"/>
    <mergeCell ref="C3:C4"/>
    <mergeCell ref="D3:D4"/>
    <mergeCell ref="E3:E4"/>
    <mergeCell ref="F3:F4"/>
  </mergeCells>
  <phoneticPr fontId="23" type="noConversion"/>
  <conditionalFormatting sqref="C5:F2258">
    <cfRule type="expression" dxfId="1" priority="1" stopIfTrue="1">
      <formula>AND(C5&lt;&gt;0,INT(C5)=C5)</formula>
    </cfRule>
  </conditionalFormatting>
  <hyperlinks>
    <hyperlink ref="Y1" r:id="rId1" tooltip="설계예산시스템(STmate w25.07)으로 작성 하였으며,_x000a_엑셀 인쇄품질 600 dpi에 최적화 되어 있습니다._x000a_경영정보(주) http://www.stma.co.kr_x000a_Tel) 070-4350-0040_x000a_Fax) 0505-300-3948"/>
    <hyperlink ref="G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9" width="13" style="6" customWidth="1"/>
    <col min="10" max="10" width="10" style="6" customWidth="1"/>
    <col min="11" max="11" width="9.125" style="6" hidden="1" customWidth="1"/>
    <col min="12" max="12" width="9.125" style="18" customWidth="1"/>
    <col min="13" max="16384" width="9.125" style="6"/>
  </cols>
  <sheetData>
    <row r="1" spans="1:12" ht="24.95" customHeight="1" x14ac:dyDescent="0.3">
      <c r="A1" s="133" t="s">
        <v>297</v>
      </c>
      <c r="B1" s="132"/>
      <c r="C1" s="132"/>
      <c r="D1" s="132"/>
      <c r="E1" s="132"/>
      <c r="F1" s="132"/>
      <c r="G1" s="132"/>
      <c r="H1" s="132"/>
      <c r="I1" s="132"/>
      <c r="J1" s="132"/>
      <c r="K1" s="5" t="s">
        <v>133</v>
      </c>
      <c r="L1" s="19" t="s">
        <v>133</v>
      </c>
    </row>
    <row r="2" spans="1:12" ht="24.95" customHeight="1" x14ac:dyDescent="0.3">
      <c r="A2" s="1" t="s">
        <v>1</v>
      </c>
      <c r="K2" s="20" t="str">
        <f ca="1">MID(CELL("filename",$A$1),FIND("]",CELL("filename",$A$1))+1,LEN(CELL("filename",$A$1)))</f>
        <v>단가산출근거수량금액집계표</v>
      </c>
    </row>
    <row r="3" spans="1:12" ht="24.95" customHeight="1" x14ac:dyDescent="0.3">
      <c r="A3" s="8" t="s">
        <v>2</v>
      </c>
      <c r="B3" s="8" t="s">
        <v>3</v>
      </c>
      <c r="C3" s="8" t="s">
        <v>4</v>
      </c>
      <c r="D3" s="8" t="s">
        <v>735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4" t="s">
        <v>10</v>
      </c>
      <c r="L3" s="3" t="str">
        <f>HYPERLINK("#'〓 목 차 〓'!B2","목차 →")</f>
        <v>목차 →</v>
      </c>
    </row>
    <row r="4" spans="1:12" ht="24.95" customHeight="1" x14ac:dyDescent="0.3">
      <c r="A4" s="9" t="s">
        <v>1195</v>
      </c>
      <c r="B4" s="10" t="s">
        <v>135</v>
      </c>
      <c r="C4" s="10" t="s">
        <v>136</v>
      </c>
      <c r="D4" s="98">
        <v>29.59</v>
      </c>
      <c r="E4" s="32" t="s">
        <v>26</v>
      </c>
      <c r="F4" s="54">
        <f t="shared" ref="F4:F43" si="0">H4+G4+I4</f>
        <v>237578</v>
      </c>
      <c r="G4" s="52">
        <f>ROUND(D4*단가산출근거목록표!F4,0)</f>
        <v>195116</v>
      </c>
      <c r="H4" s="64">
        <f>ROUND(D4*단가산출근거목록표!G4,0)</f>
        <v>33082</v>
      </c>
      <c r="I4" s="54">
        <f>ROUND(D4*단가산출근거목록표!H4,0)</f>
        <v>9380</v>
      </c>
      <c r="J4" s="15" t="s">
        <v>137</v>
      </c>
      <c r="L4" s="3" t="str">
        <f ca="1">HYPERLINK("#"&amp;단가산출근거목록표!J2&amp;"!A"&amp;ROW(단가산출근거목록표!A4),"D00083 →")</f>
        <v>D00083 →</v>
      </c>
    </row>
    <row r="5" spans="1:12" ht="24.95" customHeight="1" x14ac:dyDescent="0.3">
      <c r="A5" s="9" t="s">
        <v>1196</v>
      </c>
      <c r="B5" s="10" t="s">
        <v>139</v>
      </c>
      <c r="C5" s="10" t="s">
        <v>140</v>
      </c>
      <c r="D5" s="98">
        <v>31.45</v>
      </c>
      <c r="E5" s="32" t="s">
        <v>26</v>
      </c>
      <c r="F5" s="54">
        <f t="shared" si="0"/>
        <v>252512</v>
      </c>
      <c r="G5" s="52">
        <f>ROUND(D5*단가산출근거목록표!F5,0)</f>
        <v>143695</v>
      </c>
      <c r="H5" s="64">
        <f>ROUND(D5*단가산출근거목록표!G5,0)</f>
        <v>48402</v>
      </c>
      <c r="I5" s="54">
        <f>ROUND(D5*단가산출근거목록표!H5,0)</f>
        <v>60415</v>
      </c>
      <c r="J5" s="15" t="s">
        <v>141</v>
      </c>
      <c r="L5" s="3" t="str">
        <f ca="1">HYPERLINK("#"&amp;단가산출근거목록표!J2&amp;"!A"&amp;ROW(단가산출근거목록표!A5),"D00091 →")</f>
        <v>D00091 →</v>
      </c>
    </row>
    <row r="6" spans="1:12" ht="24.95" customHeight="1" x14ac:dyDescent="0.3">
      <c r="A6" s="9" t="s">
        <v>1197</v>
      </c>
      <c r="B6" s="10" t="s">
        <v>143</v>
      </c>
      <c r="C6" s="10"/>
      <c r="D6" s="98">
        <v>4.1399999999999997</v>
      </c>
      <c r="E6" s="32" t="s">
        <v>26</v>
      </c>
      <c r="F6" s="54">
        <f t="shared" si="0"/>
        <v>53402</v>
      </c>
      <c r="G6" s="52">
        <f>ROUND(D6*단가산출근거목록표!F6,0)</f>
        <v>33459</v>
      </c>
      <c r="H6" s="64">
        <f>ROUND(D6*단가산출근거목록표!G6,0)</f>
        <v>7833</v>
      </c>
      <c r="I6" s="54">
        <f>ROUND(D6*단가산출근거목록표!H6,0)</f>
        <v>12110</v>
      </c>
      <c r="J6" s="15" t="s">
        <v>144</v>
      </c>
      <c r="L6" s="3" t="str">
        <f ca="1">HYPERLINK("#"&amp;단가산출근거목록표!J2&amp;"!A"&amp;ROW(단가산출근거목록표!A6),"D00408 →")</f>
        <v>D00408 →</v>
      </c>
    </row>
    <row r="7" spans="1:12" ht="24.95" customHeight="1" x14ac:dyDescent="0.3">
      <c r="A7" s="9" t="s">
        <v>1198</v>
      </c>
      <c r="B7" s="10" t="s">
        <v>146</v>
      </c>
      <c r="C7" s="10" t="s">
        <v>147</v>
      </c>
      <c r="D7" s="98">
        <v>2.04</v>
      </c>
      <c r="E7" s="32" t="s">
        <v>26</v>
      </c>
      <c r="F7" s="54">
        <f t="shared" si="0"/>
        <v>16380</v>
      </c>
      <c r="G7" s="52">
        <f>ROUND(D7*단가산출근거목록표!F7,0)</f>
        <v>13452</v>
      </c>
      <c r="H7" s="64">
        <f>ROUND(D7*단가산출근거목록표!G7,0)</f>
        <v>2281</v>
      </c>
      <c r="I7" s="54">
        <f>ROUND(D7*단가산출근거목록표!H7,0)</f>
        <v>647</v>
      </c>
      <c r="J7" s="15" t="s">
        <v>148</v>
      </c>
      <c r="L7" s="3" t="str">
        <f ca="1">HYPERLINK("#"&amp;단가산출근거목록표!J2&amp;"!A"&amp;ROW(단가산출근거목록표!A7),"D00492 →")</f>
        <v>D00492 →</v>
      </c>
    </row>
    <row r="8" spans="1:12" ht="24.95" customHeight="1" x14ac:dyDescent="0.3">
      <c r="A8" s="9" t="s">
        <v>1199</v>
      </c>
      <c r="B8" s="10" t="s">
        <v>150</v>
      </c>
      <c r="C8" s="10" t="s">
        <v>151</v>
      </c>
      <c r="D8" s="98">
        <v>110</v>
      </c>
      <c r="E8" s="32" t="s">
        <v>50</v>
      </c>
      <c r="F8" s="54">
        <f t="shared" si="0"/>
        <v>337370</v>
      </c>
      <c r="G8" s="52">
        <f>ROUND(D8*단가산출근거목록표!F8,0)</f>
        <v>337370</v>
      </c>
      <c r="H8" s="64">
        <f>ROUND(D8*단가산출근거목록표!G8,0)</f>
        <v>0</v>
      </c>
      <c r="I8" s="54">
        <f>ROUND(D8*단가산출근거목록표!H8,0)</f>
        <v>0</v>
      </c>
      <c r="J8" s="15" t="s">
        <v>152</v>
      </c>
      <c r="L8" s="3" t="str">
        <f ca="1">HYPERLINK("#"&amp;단가산출근거목록표!J2&amp;"!A"&amp;ROW(단가산출근거목록표!A8),"D00794 →")</f>
        <v>D00794 →</v>
      </c>
    </row>
    <row r="9" spans="1:12" ht="24.95" customHeight="1" x14ac:dyDescent="0.3">
      <c r="A9" s="9" t="s">
        <v>1200</v>
      </c>
      <c r="B9" s="10" t="s">
        <v>154</v>
      </c>
      <c r="C9" s="10" t="s">
        <v>155</v>
      </c>
      <c r="D9" s="98">
        <v>47.54</v>
      </c>
      <c r="E9" s="32" t="s">
        <v>26</v>
      </c>
      <c r="F9" s="54">
        <f t="shared" si="0"/>
        <v>231140</v>
      </c>
      <c r="G9" s="52">
        <f>ROUND(D9*단가산출근거목록표!F9,0)</f>
        <v>161208</v>
      </c>
      <c r="H9" s="64">
        <f>ROUND(D9*단가산출근거목록표!G9,0)</f>
        <v>29713</v>
      </c>
      <c r="I9" s="54">
        <f>ROUND(D9*단가산출근거목록표!H9,0)</f>
        <v>40219</v>
      </c>
      <c r="J9" s="15" t="s">
        <v>156</v>
      </c>
      <c r="L9" s="3" t="str">
        <f ca="1">HYPERLINK("#"&amp;단가산출근거목록표!J2&amp;"!A"&amp;ROW(단가산출근거목록표!A9),"D00867 →")</f>
        <v>D00867 →</v>
      </c>
    </row>
    <row r="10" spans="1:12" ht="24.95" customHeight="1" x14ac:dyDescent="0.3">
      <c r="A10" s="9" t="s">
        <v>1201</v>
      </c>
      <c r="B10" s="10" t="s">
        <v>158</v>
      </c>
      <c r="C10" s="10" t="s">
        <v>147</v>
      </c>
      <c r="D10" s="98">
        <v>27.55</v>
      </c>
      <c r="E10" s="32" t="s">
        <v>26</v>
      </c>
      <c r="F10" s="54">
        <f t="shared" si="0"/>
        <v>1911722</v>
      </c>
      <c r="G10" s="52">
        <f>ROUND(D10*단가산출근거목록표!F10,0)</f>
        <v>1872188</v>
      </c>
      <c r="H10" s="64">
        <f>ROUND(D10*단가산출근거목록표!G10,0)</f>
        <v>30801</v>
      </c>
      <c r="I10" s="54">
        <f>ROUND(D10*단가산출근거목록표!H10,0)</f>
        <v>8733</v>
      </c>
      <c r="J10" s="15" t="s">
        <v>159</v>
      </c>
      <c r="L10" s="3" t="str">
        <f ca="1">HYPERLINK("#"&amp;단가산출근거목록표!J2&amp;"!A"&amp;ROW(단가산출근거목록표!A10),"D00918 →")</f>
        <v>D00918 →</v>
      </c>
    </row>
    <row r="11" spans="1:12" ht="24.95" customHeight="1" x14ac:dyDescent="0.3">
      <c r="A11" s="9" t="s">
        <v>1202</v>
      </c>
      <c r="B11" s="10" t="s">
        <v>139</v>
      </c>
      <c r="C11" s="10" t="s">
        <v>161</v>
      </c>
      <c r="D11" s="98">
        <v>0.36</v>
      </c>
      <c r="E11" s="32" t="s">
        <v>26</v>
      </c>
      <c r="F11" s="54">
        <f t="shared" si="0"/>
        <v>3299</v>
      </c>
      <c r="G11" s="52">
        <f>ROUND(D11*단가산출근거목록표!F11,0)</f>
        <v>2332</v>
      </c>
      <c r="H11" s="64">
        <f>ROUND(D11*단가산출근거목록표!G11,0)</f>
        <v>336</v>
      </c>
      <c r="I11" s="54">
        <f>ROUND(D11*단가산출근거목록표!H11,0)</f>
        <v>631</v>
      </c>
      <c r="J11" s="15" t="s">
        <v>162</v>
      </c>
      <c r="L11" s="3" t="str">
        <f ca="1">HYPERLINK("#"&amp;단가산출근거목록표!J2&amp;"!A"&amp;ROW(단가산출근거목록표!A11),"D01030 →")</f>
        <v>D01030 →</v>
      </c>
    </row>
    <row r="12" spans="1:12" ht="24.95" customHeight="1" x14ac:dyDescent="0.3">
      <c r="A12" s="9" t="s">
        <v>1203</v>
      </c>
      <c r="B12" s="10" t="s">
        <v>164</v>
      </c>
      <c r="C12" s="10"/>
      <c r="D12" s="98">
        <v>48.4</v>
      </c>
      <c r="E12" s="32" t="s">
        <v>14</v>
      </c>
      <c r="F12" s="54">
        <f t="shared" si="0"/>
        <v>32138</v>
      </c>
      <c r="G12" s="52">
        <f>ROUND(D12*단가산출근거목록표!F12,0)</f>
        <v>32138</v>
      </c>
      <c r="H12" s="64">
        <f>ROUND(D12*단가산출근거목록표!G12,0)</f>
        <v>0</v>
      </c>
      <c r="I12" s="54">
        <f>ROUND(D12*단가산출근거목록표!H12,0)</f>
        <v>0</v>
      </c>
      <c r="J12" s="15" t="s">
        <v>165</v>
      </c>
      <c r="L12" s="3" t="str">
        <f ca="1">HYPERLINK("#"&amp;단가산출근거목록표!J2&amp;"!A"&amp;ROW(단가산출근거목록표!A12),"D01129 →")</f>
        <v>D01129 →</v>
      </c>
    </row>
    <row r="13" spans="1:12" ht="24.95" customHeight="1" x14ac:dyDescent="0.3">
      <c r="A13" s="9" t="s">
        <v>1204</v>
      </c>
      <c r="B13" s="10" t="s">
        <v>167</v>
      </c>
      <c r="C13" s="10"/>
      <c r="D13" s="98">
        <v>44</v>
      </c>
      <c r="E13" s="32" t="s">
        <v>14</v>
      </c>
      <c r="F13" s="54">
        <f t="shared" si="0"/>
        <v>264968</v>
      </c>
      <c r="G13" s="52">
        <f>ROUND(D13*단가산출근거목록표!F13,0)</f>
        <v>264968</v>
      </c>
      <c r="H13" s="64">
        <f>ROUND(D13*단가산출근거목록표!G13,0)</f>
        <v>0</v>
      </c>
      <c r="I13" s="54">
        <f>ROUND(D13*단가산출근거목록표!H13,0)</f>
        <v>0</v>
      </c>
      <c r="J13" s="15" t="s">
        <v>168</v>
      </c>
      <c r="L13" s="3" t="str">
        <f ca="1">HYPERLINK("#"&amp;단가산출근거목록표!J2&amp;"!A"&amp;ROW(단가산출근거목록표!A13),"D01329 →")</f>
        <v>D01329 →</v>
      </c>
    </row>
    <row r="14" spans="1:12" ht="24.95" customHeight="1" x14ac:dyDescent="0.3">
      <c r="A14" s="9" t="s">
        <v>1205</v>
      </c>
      <c r="B14" s="10" t="s">
        <v>170</v>
      </c>
      <c r="C14" s="10" t="s">
        <v>171</v>
      </c>
      <c r="D14" s="98">
        <v>66.92</v>
      </c>
      <c r="E14" s="32" t="s">
        <v>26</v>
      </c>
      <c r="F14" s="54">
        <f t="shared" si="0"/>
        <v>1925088</v>
      </c>
      <c r="G14" s="52">
        <f>ROUND(D14*단가산출근거목록표!F14,0)</f>
        <v>1513864</v>
      </c>
      <c r="H14" s="64">
        <f>ROUND(D14*단가산출근거목록표!G14,0)</f>
        <v>165962</v>
      </c>
      <c r="I14" s="54">
        <f>ROUND(D14*단가산출근거목록표!H14,0)</f>
        <v>245262</v>
      </c>
      <c r="J14" s="15" t="s">
        <v>172</v>
      </c>
      <c r="L14" s="3" t="str">
        <f ca="1">HYPERLINK("#"&amp;단가산출근거목록표!J2&amp;"!A"&amp;ROW(단가산출근거목록표!A14),"D01336 →")</f>
        <v>D01336 →</v>
      </c>
    </row>
    <row r="15" spans="1:12" ht="24.95" customHeight="1" x14ac:dyDescent="0.3">
      <c r="A15" s="9" t="s">
        <v>1206</v>
      </c>
      <c r="B15" s="10" t="s">
        <v>174</v>
      </c>
      <c r="C15" s="10" t="s">
        <v>59</v>
      </c>
      <c r="D15" s="98">
        <v>308.22000000000003</v>
      </c>
      <c r="E15" s="32" t="s">
        <v>14</v>
      </c>
      <c r="F15" s="54">
        <f t="shared" si="0"/>
        <v>10008828</v>
      </c>
      <c r="G15" s="52">
        <f>ROUND(D15*단가산출근거목록표!F15,0)</f>
        <v>9717560</v>
      </c>
      <c r="H15" s="64">
        <f>ROUND(D15*단가산출근거목록표!G15,0)</f>
        <v>0</v>
      </c>
      <c r="I15" s="54">
        <f>ROUND(D15*단가산출근거목록표!H15,0)</f>
        <v>291268</v>
      </c>
      <c r="J15" s="15" t="s">
        <v>175</v>
      </c>
      <c r="L15" s="3" t="str">
        <f ca="1">HYPERLINK("#"&amp;단가산출근거목록표!J2&amp;"!A"&amp;ROW(단가산출근거목록표!A15),"D01351 →")</f>
        <v>D01351 →</v>
      </c>
    </row>
    <row r="16" spans="1:12" ht="24.95" customHeight="1" x14ac:dyDescent="0.3">
      <c r="A16" s="9" t="s">
        <v>1207</v>
      </c>
      <c r="B16" s="10" t="s">
        <v>174</v>
      </c>
      <c r="C16" s="10" t="s">
        <v>13</v>
      </c>
      <c r="D16" s="98">
        <v>10.92</v>
      </c>
      <c r="E16" s="32" t="s">
        <v>14</v>
      </c>
      <c r="F16" s="54">
        <f t="shared" si="0"/>
        <v>405263</v>
      </c>
      <c r="G16" s="52">
        <f>ROUND(D16*단가산출근거목록표!F16,0)</f>
        <v>393469</v>
      </c>
      <c r="H16" s="64">
        <f>ROUND(D16*단가산출근거목록표!G16,0)</f>
        <v>0</v>
      </c>
      <c r="I16" s="54">
        <f>ROUND(D16*단가산출근거목록표!H16,0)</f>
        <v>11794</v>
      </c>
      <c r="J16" s="15" t="s">
        <v>177</v>
      </c>
      <c r="L16" s="3" t="str">
        <f ca="1">HYPERLINK("#"&amp;단가산출근거목록표!J2&amp;"!A"&amp;ROW(단가산출근거목록표!A16),"D01352 →")</f>
        <v>D01352 →</v>
      </c>
    </row>
    <row r="17" spans="1:12" ht="24.95" customHeight="1" x14ac:dyDescent="0.3">
      <c r="A17" s="9" t="s">
        <v>1208</v>
      </c>
      <c r="B17" s="10" t="s">
        <v>179</v>
      </c>
      <c r="C17" s="10" t="s">
        <v>180</v>
      </c>
      <c r="D17" s="98">
        <v>376.8</v>
      </c>
      <c r="E17" s="32" t="s">
        <v>26</v>
      </c>
      <c r="F17" s="54">
        <f t="shared" si="0"/>
        <v>10956214</v>
      </c>
      <c r="G17" s="52">
        <f>ROUND(D17*단가산출근거목록표!F17,0)</f>
        <v>10637441</v>
      </c>
      <c r="H17" s="64">
        <f>ROUND(D17*단가산출근거목록표!G17,0)</f>
        <v>0</v>
      </c>
      <c r="I17" s="54">
        <f>ROUND(D17*단가산출근거목록표!H17,0)</f>
        <v>318773</v>
      </c>
      <c r="J17" s="15" t="s">
        <v>181</v>
      </c>
      <c r="L17" s="3" t="str">
        <f ca="1">HYPERLINK("#"&amp;단가산출근거목록표!J2&amp;"!A"&amp;ROW(단가산출근거목록표!A17),"D01354 →")</f>
        <v>D01354 →</v>
      </c>
    </row>
    <row r="18" spans="1:12" ht="24.95" customHeight="1" x14ac:dyDescent="0.3">
      <c r="A18" s="9" t="s">
        <v>1209</v>
      </c>
      <c r="B18" s="10" t="s">
        <v>183</v>
      </c>
      <c r="C18" s="10" t="s">
        <v>184</v>
      </c>
      <c r="D18" s="98">
        <v>3</v>
      </c>
      <c r="E18" s="32" t="s">
        <v>14</v>
      </c>
      <c r="F18" s="54">
        <f t="shared" si="0"/>
        <v>56061</v>
      </c>
      <c r="G18" s="52">
        <f>ROUND(D18*단가산출근거목록표!F18,0)</f>
        <v>35151</v>
      </c>
      <c r="H18" s="64">
        <f>ROUND(D18*단가산출근거목록표!G18,0)</f>
        <v>8007</v>
      </c>
      <c r="I18" s="54">
        <f>ROUND(D18*단가산출근거목록표!H18,0)</f>
        <v>12903</v>
      </c>
      <c r="J18" s="15" t="s">
        <v>185</v>
      </c>
      <c r="L18" s="3" t="str">
        <f ca="1">HYPERLINK("#"&amp;단가산출근거목록표!J2&amp;"!A"&amp;ROW(단가산출근거목록표!A18),"D01448 →")</f>
        <v>D01448 →</v>
      </c>
    </row>
    <row r="19" spans="1:12" ht="24.95" customHeight="1" x14ac:dyDescent="0.3">
      <c r="A19" s="9" t="s">
        <v>1210</v>
      </c>
      <c r="B19" s="10" t="s">
        <v>187</v>
      </c>
      <c r="C19" s="10" t="s">
        <v>188</v>
      </c>
      <c r="D19" s="98">
        <v>216.07</v>
      </c>
      <c r="E19" s="32" t="s">
        <v>26</v>
      </c>
      <c r="F19" s="54">
        <f t="shared" si="0"/>
        <v>937744</v>
      </c>
      <c r="G19" s="52">
        <f>ROUND(D19*단가산출근거목록표!F19,0)</f>
        <v>519216</v>
      </c>
      <c r="H19" s="64">
        <f>ROUND(D19*단가산출근거목록표!G19,0)</f>
        <v>177826</v>
      </c>
      <c r="I19" s="54">
        <f>ROUND(D19*단가산출근거목록표!H19,0)</f>
        <v>240702</v>
      </c>
      <c r="J19" s="15" t="s">
        <v>189</v>
      </c>
      <c r="L19" s="3" t="str">
        <f ca="1">HYPERLINK("#"&amp;단가산출근거목록표!J2&amp;"!A"&amp;ROW(단가산출근거목록표!A19),"D01456 →")</f>
        <v>D01456 →</v>
      </c>
    </row>
    <row r="20" spans="1:12" ht="24.95" customHeight="1" x14ac:dyDescent="0.3">
      <c r="A20" s="9" t="s">
        <v>1211</v>
      </c>
      <c r="B20" s="10" t="s">
        <v>191</v>
      </c>
      <c r="C20" s="10" t="s">
        <v>188</v>
      </c>
      <c r="D20" s="98">
        <v>132.36000000000001</v>
      </c>
      <c r="E20" s="32" t="s">
        <v>26</v>
      </c>
      <c r="F20" s="54">
        <f t="shared" si="0"/>
        <v>554853</v>
      </c>
      <c r="G20" s="52">
        <f>ROUND(D20*단가산출근거목록표!F20,0)</f>
        <v>386888</v>
      </c>
      <c r="H20" s="64">
        <f>ROUND(D20*단가산출근거목록표!G20,0)</f>
        <v>71342</v>
      </c>
      <c r="I20" s="54">
        <f>ROUND(D20*단가산출근거목록표!H20,0)</f>
        <v>96623</v>
      </c>
      <c r="J20" s="15" t="s">
        <v>192</v>
      </c>
      <c r="L20" s="3" t="str">
        <f ca="1">HYPERLINK("#"&amp;단가산출근거목록표!J2&amp;"!A"&amp;ROW(단가산출근거목록표!A20),"D01474 →")</f>
        <v>D01474 →</v>
      </c>
    </row>
    <row r="21" spans="1:12" ht="24.95" customHeight="1" x14ac:dyDescent="0.3">
      <c r="A21" s="9" t="s">
        <v>1212</v>
      </c>
      <c r="B21" s="10" t="s">
        <v>194</v>
      </c>
      <c r="C21" s="10" t="s">
        <v>188</v>
      </c>
      <c r="D21" s="98">
        <v>87.43</v>
      </c>
      <c r="E21" s="32" t="s">
        <v>26</v>
      </c>
      <c r="F21" s="54">
        <f t="shared" si="0"/>
        <v>104217</v>
      </c>
      <c r="G21" s="52">
        <f>ROUND(D21*단가산출근거목록표!F21,0)</f>
        <v>57704</v>
      </c>
      <c r="H21" s="64">
        <f>ROUND(D21*단가산출근거목록표!G21,0)</f>
        <v>19759</v>
      </c>
      <c r="I21" s="54">
        <f>ROUND(D21*단가산출근거목록표!H21,0)</f>
        <v>26754</v>
      </c>
      <c r="J21" s="15" t="s">
        <v>195</v>
      </c>
      <c r="L21" s="3" t="str">
        <f ca="1">HYPERLINK("#"&amp;단가산출근거목록표!J2&amp;"!A"&amp;ROW(단가산출근거목록표!A21),"D01475 →")</f>
        <v>D01475 →</v>
      </c>
    </row>
    <row r="22" spans="1:12" ht="24.95" customHeight="1" x14ac:dyDescent="0.3">
      <c r="A22" s="9" t="s">
        <v>1213</v>
      </c>
      <c r="B22" s="10" t="s">
        <v>197</v>
      </c>
      <c r="C22" s="10" t="s">
        <v>198</v>
      </c>
      <c r="D22" s="98">
        <v>298</v>
      </c>
      <c r="E22" s="32" t="s">
        <v>14</v>
      </c>
      <c r="F22" s="54">
        <f t="shared" si="0"/>
        <v>205024</v>
      </c>
      <c r="G22" s="52">
        <f>ROUND(D22*단가산출근거목록표!F22,0)</f>
        <v>126352</v>
      </c>
      <c r="H22" s="64">
        <f>ROUND(D22*단가산출근거목록표!G22,0)</f>
        <v>34866</v>
      </c>
      <c r="I22" s="54">
        <f>ROUND(D22*단가산출근거목록표!H22,0)</f>
        <v>43806</v>
      </c>
      <c r="J22" s="15" t="s">
        <v>199</v>
      </c>
      <c r="L22" s="3" t="str">
        <f ca="1">HYPERLINK("#"&amp;단가산출근거목록표!J2&amp;"!A"&amp;ROW(단가산출근거목록표!A22),"D01476 →")</f>
        <v>D01476 →</v>
      </c>
    </row>
    <row r="23" spans="1:12" ht="24.95" customHeight="1" x14ac:dyDescent="0.3">
      <c r="A23" s="9" t="s">
        <v>1214</v>
      </c>
      <c r="B23" s="10" t="s">
        <v>201</v>
      </c>
      <c r="C23" s="10" t="s">
        <v>202</v>
      </c>
      <c r="D23" s="98">
        <v>2749</v>
      </c>
      <c r="E23" s="32" t="s">
        <v>26</v>
      </c>
      <c r="F23" s="54">
        <f t="shared" si="0"/>
        <v>5926844</v>
      </c>
      <c r="G23" s="52">
        <f>ROUND(D23*단가산출근거목록표!F23,0)</f>
        <v>3375772</v>
      </c>
      <c r="H23" s="64">
        <f>ROUND(D23*단가산출근거목록표!G23,0)</f>
        <v>1135337</v>
      </c>
      <c r="I23" s="54">
        <f>ROUND(D23*단가산출근거목록표!H23,0)</f>
        <v>1415735</v>
      </c>
      <c r="J23" s="15" t="s">
        <v>203</v>
      </c>
      <c r="L23" s="3" t="str">
        <f ca="1">HYPERLINK("#"&amp;단가산출근거목록표!J2&amp;"!A"&amp;ROW(단가산출근거목록표!A23),"D01477 →")</f>
        <v>D01477 →</v>
      </c>
    </row>
    <row r="24" spans="1:12" ht="24.95" customHeight="1" x14ac:dyDescent="0.3">
      <c r="A24" s="9" t="s">
        <v>1215</v>
      </c>
      <c r="B24" s="10" t="s">
        <v>205</v>
      </c>
      <c r="C24" s="10" t="s">
        <v>206</v>
      </c>
      <c r="D24" s="98">
        <v>2292</v>
      </c>
      <c r="E24" s="32" t="s">
        <v>26</v>
      </c>
      <c r="F24" s="54">
        <f t="shared" si="0"/>
        <v>49688268</v>
      </c>
      <c r="G24" s="52">
        <f>ROUND(D24*단가산출근거목록표!F24,0)</f>
        <v>25548924</v>
      </c>
      <c r="H24" s="64">
        <f>ROUND(D24*단가산출근거목록표!G24,0)</f>
        <v>8225988</v>
      </c>
      <c r="I24" s="54">
        <f>ROUND(D24*단가산출근거목록표!H24,0)</f>
        <v>15913356</v>
      </c>
      <c r="J24" s="15" t="s">
        <v>207</v>
      </c>
      <c r="L24" s="3" t="str">
        <f ca="1">HYPERLINK("#"&amp;단가산출근거목록표!J2&amp;"!A"&amp;ROW(단가산출근거목록표!A24),"D01478 →")</f>
        <v>D01478 →</v>
      </c>
    </row>
    <row r="25" spans="1:12" ht="24.95" customHeight="1" x14ac:dyDescent="0.3">
      <c r="A25" s="9" t="s">
        <v>1216</v>
      </c>
      <c r="B25" s="10" t="s">
        <v>209</v>
      </c>
      <c r="C25" s="10" t="s">
        <v>210</v>
      </c>
      <c r="D25" s="98">
        <v>46</v>
      </c>
      <c r="E25" s="32" t="s">
        <v>26</v>
      </c>
      <c r="F25" s="54">
        <f t="shared" si="0"/>
        <v>130502</v>
      </c>
      <c r="G25" s="52">
        <f>ROUND(D25*단가산출근거목록표!F25,0)</f>
        <v>82156</v>
      </c>
      <c r="H25" s="64">
        <f>ROUND(D25*단가산출근거목록표!G25,0)</f>
        <v>23598</v>
      </c>
      <c r="I25" s="54">
        <f>ROUND(D25*단가산출근거목록표!H25,0)</f>
        <v>24748</v>
      </c>
      <c r="J25" s="15" t="s">
        <v>211</v>
      </c>
      <c r="L25" s="3" t="str">
        <f ca="1">HYPERLINK("#"&amp;단가산출근거목록표!J2&amp;"!A"&amp;ROW(단가산출근거목록표!A25),"D01479 →")</f>
        <v>D01479 →</v>
      </c>
    </row>
    <row r="26" spans="1:12" ht="24.95" customHeight="1" x14ac:dyDescent="0.3">
      <c r="A26" s="9" t="s">
        <v>1217</v>
      </c>
      <c r="B26" s="10" t="s">
        <v>213</v>
      </c>
      <c r="C26" s="10" t="s">
        <v>214</v>
      </c>
      <c r="D26" s="98">
        <v>8</v>
      </c>
      <c r="E26" s="32" t="s">
        <v>26</v>
      </c>
      <c r="F26" s="54">
        <f t="shared" si="0"/>
        <v>269504</v>
      </c>
      <c r="G26" s="52">
        <f>ROUND(D26*단가산출근거목록표!F26,0)</f>
        <v>142968</v>
      </c>
      <c r="H26" s="64">
        <f>ROUND(D26*단가산출근거목록표!G26,0)</f>
        <v>44856</v>
      </c>
      <c r="I26" s="54">
        <f>ROUND(D26*단가산출근거목록표!H26,0)</f>
        <v>81680</v>
      </c>
      <c r="J26" s="15" t="s">
        <v>215</v>
      </c>
      <c r="L26" s="3" t="str">
        <f ca="1">HYPERLINK("#"&amp;단가산출근거목록표!J2&amp;"!A"&amp;ROW(단가산출근거목록표!A26),"D01480 →")</f>
        <v>D01480 →</v>
      </c>
    </row>
    <row r="27" spans="1:12" ht="24.95" customHeight="1" x14ac:dyDescent="0.3">
      <c r="A27" s="9" t="s">
        <v>1218</v>
      </c>
      <c r="B27" s="10" t="s">
        <v>217</v>
      </c>
      <c r="C27" s="10" t="s">
        <v>218</v>
      </c>
      <c r="D27" s="98">
        <v>178</v>
      </c>
      <c r="E27" s="32" t="s">
        <v>26</v>
      </c>
      <c r="F27" s="54">
        <f t="shared" si="0"/>
        <v>283376</v>
      </c>
      <c r="G27" s="52">
        <f>ROUND(D27*단가산출근거목록표!F27,0)</f>
        <v>123710</v>
      </c>
      <c r="H27" s="64">
        <f>ROUND(D27*단가산출근거목록표!G27,0)</f>
        <v>85440</v>
      </c>
      <c r="I27" s="54">
        <f>ROUND(D27*단가산출근거목록표!H27,0)</f>
        <v>74226</v>
      </c>
      <c r="J27" s="15" t="s">
        <v>219</v>
      </c>
      <c r="L27" s="3" t="str">
        <f ca="1">HYPERLINK("#"&amp;단가산출근거목록표!J2&amp;"!A"&amp;ROW(단가산출근거목록표!A27),"D01481 →")</f>
        <v>D01481 →</v>
      </c>
    </row>
    <row r="28" spans="1:12" ht="24.95" customHeight="1" x14ac:dyDescent="0.3">
      <c r="A28" s="9" t="s">
        <v>1219</v>
      </c>
      <c r="B28" s="10" t="s">
        <v>221</v>
      </c>
      <c r="C28" s="10" t="s">
        <v>222</v>
      </c>
      <c r="D28" s="98">
        <v>294</v>
      </c>
      <c r="E28" s="32" t="s">
        <v>26</v>
      </c>
      <c r="F28" s="54">
        <f t="shared" si="0"/>
        <v>705600</v>
      </c>
      <c r="G28" s="52">
        <f>ROUND(D28*단가산출근거목록표!F28,0)</f>
        <v>308112</v>
      </c>
      <c r="H28" s="64">
        <f>ROUND(D28*단가산출근거목록표!G28,0)</f>
        <v>212562</v>
      </c>
      <c r="I28" s="54">
        <f>ROUND(D28*단가산출근거목록표!H28,0)</f>
        <v>184926</v>
      </c>
      <c r="J28" s="15" t="s">
        <v>223</v>
      </c>
      <c r="L28" s="3" t="str">
        <f ca="1">HYPERLINK("#"&amp;단가산출근거목록표!J2&amp;"!A"&amp;ROW(단가산출근거목록표!A28),"D01482 →")</f>
        <v>D01482 →</v>
      </c>
    </row>
    <row r="29" spans="1:12" ht="24.95" customHeight="1" x14ac:dyDescent="0.3">
      <c r="A29" s="9" t="s">
        <v>2282</v>
      </c>
      <c r="B29" s="10" t="s">
        <v>226</v>
      </c>
      <c r="C29" s="10" t="s">
        <v>227</v>
      </c>
      <c r="D29" s="98">
        <v>147</v>
      </c>
      <c r="E29" s="32" t="s">
        <v>26</v>
      </c>
      <c r="F29" s="54">
        <f t="shared" si="0"/>
        <v>907137</v>
      </c>
      <c r="G29" s="52">
        <f>ROUND(D29*단가산출근거목록표!F29,0)</f>
        <v>571683</v>
      </c>
      <c r="H29" s="64">
        <f>ROUND(D29*단가산출근거목록표!G29,0)</f>
        <v>115395</v>
      </c>
      <c r="I29" s="54">
        <f>ROUND(D29*단가산출근거목록표!H29,0)</f>
        <v>220059</v>
      </c>
      <c r="J29" s="15" t="s">
        <v>228</v>
      </c>
      <c r="L29" s="3" t="str">
        <f ca="1">HYPERLINK("#"&amp;단가산출근거목록표!J2&amp;"!A"&amp;ROW(단가산출근거목록표!A29),"D01483 →")</f>
        <v>D01483 →</v>
      </c>
    </row>
    <row r="30" spans="1:12" ht="24.95" customHeight="1" x14ac:dyDescent="0.3">
      <c r="A30" s="9" t="s">
        <v>2283</v>
      </c>
      <c r="B30" s="10" t="s">
        <v>231</v>
      </c>
      <c r="C30" s="10" t="s">
        <v>232</v>
      </c>
      <c r="D30" s="98">
        <v>200</v>
      </c>
      <c r="E30" s="32" t="s">
        <v>26</v>
      </c>
      <c r="F30" s="54">
        <f t="shared" si="0"/>
        <v>1577800</v>
      </c>
      <c r="G30" s="52">
        <f>ROUND(D30*단가산출근거목록표!F30,0)</f>
        <v>959000</v>
      </c>
      <c r="H30" s="64">
        <f>ROUND(D30*단가산출근거목록표!G30,0)</f>
        <v>186800</v>
      </c>
      <c r="I30" s="54">
        <f>ROUND(D30*단가산출근거목록표!H30,0)</f>
        <v>432000</v>
      </c>
      <c r="J30" s="15" t="s">
        <v>233</v>
      </c>
      <c r="L30" s="3" t="str">
        <f ca="1">HYPERLINK("#"&amp;단가산출근거목록표!J2&amp;"!A"&amp;ROW(단가산출근거목록표!A30),"D01484 →")</f>
        <v>D01484 →</v>
      </c>
    </row>
    <row r="31" spans="1:12" ht="24.95" customHeight="1" x14ac:dyDescent="0.3">
      <c r="A31" s="9" t="s">
        <v>2284</v>
      </c>
      <c r="B31" s="10" t="s">
        <v>236</v>
      </c>
      <c r="C31" s="10" t="s">
        <v>237</v>
      </c>
      <c r="D31" s="98">
        <v>608</v>
      </c>
      <c r="E31" s="32" t="s">
        <v>14</v>
      </c>
      <c r="F31" s="54">
        <f t="shared" si="0"/>
        <v>711968</v>
      </c>
      <c r="G31" s="52">
        <f>ROUND(D31*단가산출근거목록표!F31,0)</f>
        <v>391552</v>
      </c>
      <c r="H31" s="64">
        <f>ROUND(D31*단가산출근거목록표!G31,0)</f>
        <v>131328</v>
      </c>
      <c r="I31" s="54">
        <f>ROUND(D31*단가산출근거목록표!H31,0)</f>
        <v>189088</v>
      </c>
      <c r="J31" s="15" t="s">
        <v>238</v>
      </c>
      <c r="L31" s="3" t="str">
        <f ca="1">HYPERLINK("#"&amp;단가산출근거목록표!J2&amp;"!A"&amp;ROW(단가산출근거목록표!A31),"D01485 →")</f>
        <v>D01485 →</v>
      </c>
    </row>
    <row r="32" spans="1:12" ht="24.95" customHeight="1" x14ac:dyDescent="0.3">
      <c r="A32" s="9" t="s">
        <v>2285</v>
      </c>
      <c r="B32" s="10" t="s">
        <v>241</v>
      </c>
      <c r="C32" s="10"/>
      <c r="D32" s="98">
        <v>2526</v>
      </c>
      <c r="E32" s="32" t="s">
        <v>14</v>
      </c>
      <c r="F32" s="54">
        <f t="shared" si="0"/>
        <v>596136</v>
      </c>
      <c r="G32" s="52">
        <f>ROUND(D32*단가산출근거목록표!F32,0)</f>
        <v>330906</v>
      </c>
      <c r="H32" s="64">
        <f>ROUND(D32*단가산출근거목록표!G32,0)</f>
        <v>111144</v>
      </c>
      <c r="I32" s="54">
        <f>ROUND(D32*단가산출근거목록표!H32,0)</f>
        <v>154086</v>
      </c>
      <c r="J32" s="15" t="s">
        <v>242</v>
      </c>
      <c r="L32" s="3" t="str">
        <f ca="1">HYPERLINK("#"&amp;단가산출근거목록표!J2&amp;"!A"&amp;ROW(단가산출근거목록표!A32),"D01486 →")</f>
        <v>D01486 →</v>
      </c>
    </row>
    <row r="33" spans="1:12" ht="24.95" customHeight="1" x14ac:dyDescent="0.3">
      <c r="A33" s="9" t="s">
        <v>2286</v>
      </c>
      <c r="B33" s="10" t="s">
        <v>245</v>
      </c>
      <c r="C33" s="10" t="s">
        <v>246</v>
      </c>
      <c r="D33" s="98">
        <v>2938</v>
      </c>
      <c r="E33" s="32" t="s">
        <v>26</v>
      </c>
      <c r="F33" s="54">
        <f t="shared" si="0"/>
        <v>12536446</v>
      </c>
      <c r="G33" s="52">
        <f>ROUND(D33*단가산출근거목록표!F33,0)</f>
        <v>8044244</v>
      </c>
      <c r="H33" s="64">
        <f>ROUND(D33*단가산출근거목록표!G33,0)</f>
        <v>1466062</v>
      </c>
      <c r="I33" s="54">
        <f>ROUND(D33*단가산출근거목록표!H33,0)</f>
        <v>3026140</v>
      </c>
      <c r="J33" s="15" t="s">
        <v>247</v>
      </c>
      <c r="L33" s="3" t="str">
        <f ca="1">HYPERLINK("#"&amp;단가산출근거목록표!J2&amp;"!A"&amp;ROW(단가산출근거목록표!A33),"D01487 →")</f>
        <v>D01487 →</v>
      </c>
    </row>
    <row r="34" spans="1:12" ht="24.95" customHeight="1" x14ac:dyDescent="0.3">
      <c r="A34" s="9" t="s">
        <v>2287</v>
      </c>
      <c r="B34" s="10" t="s">
        <v>250</v>
      </c>
      <c r="C34" s="10" t="s">
        <v>110</v>
      </c>
      <c r="D34" s="98">
        <v>311</v>
      </c>
      <c r="E34" s="32" t="s">
        <v>50</v>
      </c>
      <c r="F34" s="54">
        <f t="shared" si="0"/>
        <v>515327</v>
      </c>
      <c r="G34" s="52">
        <f>ROUND(D34*단가산출근거목록표!F34,0)</f>
        <v>307268</v>
      </c>
      <c r="H34" s="64">
        <f>ROUND(D34*단가산출근거목록표!G34,0)</f>
        <v>195308</v>
      </c>
      <c r="I34" s="54">
        <f>ROUND(D34*단가산출근거목록표!H34,0)</f>
        <v>12751</v>
      </c>
      <c r="J34" s="15" t="s">
        <v>251</v>
      </c>
      <c r="L34" s="3" t="str">
        <f ca="1">HYPERLINK("#"&amp;단가산출근거목록표!J2&amp;"!A"&amp;ROW(단가산출근거목록표!A34),"D01488 →")</f>
        <v>D01488 →</v>
      </c>
    </row>
    <row r="35" spans="1:12" ht="24.95" customHeight="1" x14ac:dyDescent="0.3">
      <c r="A35" s="9" t="s">
        <v>2288</v>
      </c>
      <c r="B35" s="10" t="s">
        <v>254</v>
      </c>
      <c r="C35" s="10" t="s">
        <v>255</v>
      </c>
      <c r="D35" s="98">
        <v>38</v>
      </c>
      <c r="E35" s="32" t="s">
        <v>256</v>
      </c>
      <c r="F35" s="54">
        <f t="shared" si="0"/>
        <v>14028498</v>
      </c>
      <c r="G35" s="52">
        <f>ROUND(D35*단가산출근거목록표!F35,0)</f>
        <v>6075858</v>
      </c>
      <c r="H35" s="64">
        <f>ROUND(D35*단가산출근거목록표!G35,0)</f>
        <v>7680864</v>
      </c>
      <c r="I35" s="54">
        <f>ROUND(D35*단가산출근거목록표!H35,0)</f>
        <v>271776</v>
      </c>
      <c r="J35" s="15" t="s">
        <v>257</v>
      </c>
      <c r="L35" s="3" t="str">
        <f ca="1">HYPERLINK("#"&amp;단가산출근거목록표!J2&amp;"!A"&amp;ROW(단가산출근거목록표!A35),"D01489 →")</f>
        <v>D01489 →</v>
      </c>
    </row>
    <row r="36" spans="1:12" ht="24.95" customHeight="1" x14ac:dyDescent="0.3">
      <c r="A36" s="9" t="s">
        <v>2289</v>
      </c>
      <c r="B36" s="10" t="s">
        <v>260</v>
      </c>
      <c r="C36" s="10" t="s">
        <v>255</v>
      </c>
      <c r="D36" s="98">
        <v>4</v>
      </c>
      <c r="E36" s="32" t="s">
        <v>256</v>
      </c>
      <c r="F36" s="54">
        <f t="shared" si="0"/>
        <v>3719448</v>
      </c>
      <c r="G36" s="52">
        <f>ROUND(D36*단가산출근거목록표!F36,0)</f>
        <v>639564</v>
      </c>
      <c r="H36" s="64">
        <f>ROUND(D36*단가산출근거목록표!G36,0)</f>
        <v>3051276</v>
      </c>
      <c r="I36" s="54">
        <f>ROUND(D36*단가산출근거목록표!H36,0)</f>
        <v>28608</v>
      </c>
      <c r="J36" s="15" t="s">
        <v>261</v>
      </c>
      <c r="L36" s="3" t="str">
        <f ca="1">HYPERLINK("#"&amp;단가산출근거목록표!J2&amp;"!A"&amp;ROW(단가산출근거목록표!A36),"D01490 →")</f>
        <v>D01490 →</v>
      </c>
    </row>
    <row r="37" spans="1:12" ht="24.95" customHeight="1" x14ac:dyDescent="0.3">
      <c r="A37" s="9" t="s">
        <v>2290</v>
      </c>
      <c r="B37" s="10" t="s">
        <v>264</v>
      </c>
      <c r="C37" s="10" t="s">
        <v>265</v>
      </c>
      <c r="D37" s="98">
        <v>27</v>
      </c>
      <c r="E37" s="32" t="s">
        <v>26</v>
      </c>
      <c r="F37" s="54">
        <f t="shared" si="0"/>
        <v>683019</v>
      </c>
      <c r="G37" s="52">
        <f>ROUND(D37*단가산출근거목록표!F37,0)</f>
        <v>403245</v>
      </c>
      <c r="H37" s="64">
        <f>ROUND(D37*단가산출근거목록표!G37,0)</f>
        <v>99009</v>
      </c>
      <c r="I37" s="54">
        <f>ROUND(D37*단가산출근거목록표!H37,0)</f>
        <v>180765</v>
      </c>
      <c r="J37" s="15" t="s">
        <v>266</v>
      </c>
      <c r="L37" s="3" t="str">
        <f ca="1">HYPERLINK("#"&amp;단가산출근거목록표!J2&amp;"!A"&amp;ROW(단가산출근거목록표!A37),"D01491 →")</f>
        <v>D01491 →</v>
      </c>
    </row>
    <row r="38" spans="1:12" ht="24.95" customHeight="1" x14ac:dyDescent="0.3">
      <c r="A38" s="9" t="s">
        <v>2291</v>
      </c>
      <c r="B38" s="10" t="s">
        <v>269</v>
      </c>
      <c r="C38" s="10"/>
      <c r="D38" s="98">
        <v>1250</v>
      </c>
      <c r="E38" s="32" t="s">
        <v>50</v>
      </c>
      <c r="F38" s="54">
        <f t="shared" si="0"/>
        <v>2027500</v>
      </c>
      <c r="G38" s="52">
        <f>ROUND(D38*단가산출근거목록표!F38,0)</f>
        <v>1692500</v>
      </c>
      <c r="H38" s="64">
        <f>ROUND(D38*단가산출근거목록표!G38,0)</f>
        <v>335000</v>
      </c>
      <c r="I38" s="54">
        <f>ROUND(D38*단가산출근거목록표!H38,0)</f>
        <v>0</v>
      </c>
      <c r="J38" s="15" t="s">
        <v>270</v>
      </c>
      <c r="L38" s="3" t="str">
        <f ca="1">HYPERLINK("#"&amp;단가산출근거목록표!J2&amp;"!A"&amp;ROW(단가산출근거목록표!A38),"D01492 →")</f>
        <v>D01492 →</v>
      </c>
    </row>
    <row r="39" spans="1:12" ht="24.95" customHeight="1" x14ac:dyDescent="0.3">
      <c r="A39" s="9" t="s">
        <v>2292</v>
      </c>
      <c r="B39" s="10" t="s">
        <v>273</v>
      </c>
      <c r="C39" s="10" t="s">
        <v>274</v>
      </c>
      <c r="D39" s="98">
        <v>1</v>
      </c>
      <c r="E39" s="32" t="s">
        <v>275</v>
      </c>
      <c r="F39" s="54">
        <f t="shared" si="0"/>
        <v>1514976</v>
      </c>
      <c r="G39" s="52">
        <f>ROUND(D39*단가산출근거목록표!F39,0)</f>
        <v>0</v>
      </c>
      <c r="H39" s="64">
        <f>ROUND(D39*단가산출근거목록표!G39,0)</f>
        <v>0</v>
      </c>
      <c r="I39" s="54">
        <f>ROUND(D39*단가산출근거목록표!H39,0)</f>
        <v>1514976</v>
      </c>
      <c r="J39" s="15" t="s">
        <v>276</v>
      </c>
      <c r="L39" s="3" t="str">
        <f ca="1">HYPERLINK("#"&amp;단가산출근거목록표!J2&amp;"!A"&amp;ROW(단가산출근거목록표!A39),"D01493 →")</f>
        <v>D01493 →</v>
      </c>
    </row>
    <row r="40" spans="1:12" ht="24.95" customHeight="1" x14ac:dyDescent="0.3">
      <c r="A40" s="9" t="s">
        <v>2293</v>
      </c>
      <c r="B40" s="10" t="s">
        <v>279</v>
      </c>
      <c r="C40" s="10" t="s">
        <v>280</v>
      </c>
      <c r="D40" s="98">
        <v>26</v>
      </c>
      <c r="E40" s="32" t="s">
        <v>26</v>
      </c>
      <c r="F40" s="54">
        <f t="shared" si="0"/>
        <v>1467726</v>
      </c>
      <c r="G40" s="52">
        <f>ROUND(D40*단가산출근거목록표!F40,0)</f>
        <v>0</v>
      </c>
      <c r="H40" s="64">
        <f>ROUND(D40*단가산출근거목록표!G40,0)</f>
        <v>0</v>
      </c>
      <c r="I40" s="54">
        <f>ROUND(D40*단가산출근거목록표!H40,0)</f>
        <v>1467726</v>
      </c>
      <c r="J40" s="15" t="s">
        <v>281</v>
      </c>
      <c r="L40" s="3" t="str">
        <f ca="1">HYPERLINK("#"&amp;단가산출근거목록표!J2&amp;"!A"&amp;ROW(단가산출근거목록표!A40),"D01494 →")</f>
        <v>D01494 →</v>
      </c>
    </row>
    <row r="41" spans="1:12" ht="24.95" customHeight="1" x14ac:dyDescent="0.3">
      <c r="A41" s="9" t="s">
        <v>2294</v>
      </c>
      <c r="B41" s="10" t="s">
        <v>284</v>
      </c>
      <c r="C41" s="10" t="s">
        <v>285</v>
      </c>
      <c r="D41" s="98">
        <v>75</v>
      </c>
      <c r="E41" s="32" t="s">
        <v>26</v>
      </c>
      <c r="F41" s="54">
        <f t="shared" si="0"/>
        <v>3303675</v>
      </c>
      <c r="G41" s="52">
        <f>ROUND(D41*단가산출근거목록표!F41,0)</f>
        <v>0</v>
      </c>
      <c r="H41" s="64">
        <f>ROUND(D41*단가산출근거목록표!G41,0)</f>
        <v>0</v>
      </c>
      <c r="I41" s="54">
        <f>ROUND(D41*단가산출근거목록표!H41,0)</f>
        <v>3303675</v>
      </c>
      <c r="J41" s="15" t="s">
        <v>286</v>
      </c>
      <c r="L41" s="3" t="str">
        <f ca="1">HYPERLINK("#"&amp;단가산출근거목록표!J2&amp;"!A"&amp;ROW(단가산출근거목록표!A41),"D01495 →")</f>
        <v>D01495 →</v>
      </c>
    </row>
    <row r="42" spans="1:12" ht="24.95" customHeight="1" x14ac:dyDescent="0.3">
      <c r="A42" s="9" t="s">
        <v>2295</v>
      </c>
      <c r="B42" s="10" t="s">
        <v>289</v>
      </c>
      <c r="C42" s="10" t="s">
        <v>285</v>
      </c>
      <c r="D42" s="98">
        <v>387</v>
      </c>
      <c r="E42" s="32" t="s">
        <v>290</v>
      </c>
      <c r="F42" s="54">
        <f t="shared" si="0"/>
        <v>2544912</v>
      </c>
      <c r="G42" s="52">
        <f>ROUND(D42*단가산출근거목록표!F42,0)</f>
        <v>0</v>
      </c>
      <c r="H42" s="64">
        <f>ROUND(D42*단가산출근거목록표!G42,0)</f>
        <v>0</v>
      </c>
      <c r="I42" s="54">
        <f>ROUND(D42*단가산출근거목록표!H42,0)</f>
        <v>2544912</v>
      </c>
      <c r="J42" s="15" t="s">
        <v>291</v>
      </c>
      <c r="L42" s="3" t="str">
        <f ca="1">HYPERLINK("#"&amp;단가산출근거목록표!J2&amp;"!A"&amp;ROW(단가산출근거목록표!A42),"D01496 →")</f>
        <v>D01496 →</v>
      </c>
    </row>
    <row r="43" spans="1:12" ht="24.95" customHeight="1" x14ac:dyDescent="0.3">
      <c r="A43" s="9" t="s">
        <v>2296</v>
      </c>
      <c r="B43" s="10" t="s">
        <v>294</v>
      </c>
      <c r="C43" s="10" t="s">
        <v>285</v>
      </c>
      <c r="D43" s="98">
        <v>210</v>
      </c>
      <c r="E43" s="32" t="s">
        <v>295</v>
      </c>
      <c r="F43" s="54">
        <f t="shared" si="0"/>
        <v>6104700</v>
      </c>
      <c r="G43" s="52">
        <f>ROUND(D43*단가산출근거목록표!F43,0)</f>
        <v>0</v>
      </c>
      <c r="H43" s="64">
        <f>ROUND(D43*단가산출근거목록표!G43,0)</f>
        <v>0</v>
      </c>
      <c r="I43" s="54">
        <f>ROUND(D43*단가산출근거목록표!H43,0)</f>
        <v>6104700</v>
      </c>
      <c r="J43" s="15" t="s">
        <v>296</v>
      </c>
      <c r="L43" s="3" t="str">
        <f ca="1">HYPERLINK("#"&amp;단가산출근거목록표!J2&amp;"!A"&amp;ROW(단가산출근거목록표!A43),"D01497 →")</f>
        <v>D01497 →</v>
      </c>
    </row>
  </sheetData>
  <mergeCells count="1">
    <mergeCell ref="A1:J1"/>
  </mergeCells>
  <phoneticPr fontId="23" type="noConversion"/>
  <hyperlinks>
    <hyperlink ref="L1" r:id="rId1" tooltip="설계예산시스템(STmate w25.07)으로 작성 하였으며,_x000a_엑셀 인쇄품질 600 dpi에 최적화 되어 있습니다._x000a_경영정보(주) http://www.stma.co.kr_x000a_Tel) 070-4350-0040_x000a_Fax) 0505-300-3948"/>
    <hyperlink ref="K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workbookViewId="0">
      <selection sqref="A1:H1"/>
    </sheetView>
  </sheetViews>
  <sheetFormatPr defaultColWidth="9.125" defaultRowHeight="16.5" x14ac:dyDescent="0.3"/>
  <cols>
    <col min="1" max="1" width="4" style="6" customWidth="1"/>
    <col min="2" max="2" width="5.5" style="6" customWidth="1"/>
    <col min="3" max="4" width="16" style="6" customWidth="1"/>
    <col min="5" max="5" width="5.5" style="6" customWidth="1"/>
    <col min="6" max="6" width="16" style="6" customWidth="1"/>
    <col min="7" max="7" width="11.5" style="6" customWidth="1"/>
    <col min="8" max="8" width="10" style="6" customWidth="1"/>
    <col min="9" max="9" width="9.125" style="6" hidden="1" customWidth="1"/>
    <col min="10" max="10" width="9.125" style="18" customWidth="1"/>
    <col min="11" max="16384" width="9.125" style="6"/>
  </cols>
  <sheetData>
    <row r="1" spans="1:10" ht="25.35" customHeight="1" x14ac:dyDescent="0.3">
      <c r="A1" s="151" t="s">
        <v>683</v>
      </c>
      <c r="B1" s="132"/>
      <c r="C1" s="144"/>
      <c r="D1" s="144"/>
      <c r="E1" s="144"/>
      <c r="F1" s="144"/>
      <c r="G1" s="144"/>
      <c r="H1" s="144"/>
      <c r="I1" s="5" t="s">
        <v>133</v>
      </c>
      <c r="J1" s="19" t="s">
        <v>133</v>
      </c>
    </row>
    <row r="2" spans="1:10" ht="25.35" customHeight="1" x14ac:dyDescent="0.3">
      <c r="C2" s="25" t="s">
        <v>684</v>
      </c>
      <c r="D2" s="25" t="s">
        <v>685</v>
      </c>
      <c r="E2" s="152" t="s">
        <v>686</v>
      </c>
      <c r="F2" s="153"/>
      <c r="G2" s="152" t="s">
        <v>687</v>
      </c>
      <c r="H2" s="153"/>
      <c r="I2" s="20" t="str">
        <f ca="1">MID(CELL("filename",$A$1),FIND("]",CELL("filename",$A$1))+1,LEN(CELL("filename",$A$1)))</f>
        <v>환율및기초자료</v>
      </c>
    </row>
    <row r="3" spans="1:10" ht="25.35" customHeight="1" x14ac:dyDescent="0.3">
      <c r="C3" s="27">
        <v>1470</v>
      </c>
      <c r="D3" s="27">
        <v>1470</v>
      </c>
      <c r="E3" s="154">
        <v>1423</v>
      </c>
      <c r="F3" s="153"/>
      <c r="G3" s="155">
        <v>915</v>
      </c>
      <c r="H3" s="153"/>
    </row>
    <row r="4" spans="1:10" ht="25.35" customHeight="1" x14ac:dyDescent="0.3">
      <c r="C4" s="26"/>
      <c r="D4" s="26"/>
      <c r="E4" s="26"/>
      <c r="F4" s="26"/>
      <c r="G4" s="26"/>
      <c r="H4" s="26"/>
    </row>
    <row r="5" spans="1:10" ht="25.35" customHeight="1" x14ac:dyDescent="0.3">
      <c r="A5" s="151" t="s">
        <v>688</v>
      </c>
      <c r="B5" s="132"/>
      <c r="C5" s="132"/>
      <c r="D5" s="132"/>
      <c r="E5" s="132"/>
      <c r="F5" s="132"/>
      <c r="G5" s="132"/>
      <c r="H5" s="132"/>
    </row>
    <row r="6" spans="1:10" ht="25.35" customHeight="1" x14ac:dyDescent="0.3">
      <c r="C6" s="28" t="s">
        <v>595</v>
      </c>
      <c r="D6" s="30">
        <f>노무비목록표!E14</f>
        <v>273971</v>
      </c>
      <c r="E6" s="156" t="s">
        <v>689</v>
      </c>
      <c r="F6" s="144"/>
      <c r="G6" s="30">
        <f>ROUNDDOWN(D6*0.20833333334,1)</f>
        <v>57077.2</v>
      </c>
      <c r="H6" s="32" t="s">
        <v>597</v>
      </c>
      <c r="J6" s="3" t="str">
        <f ca="1">HYPERLINK("#"&amp;노무비목록표!G2&amp;"!A"&amp;ROW(노무비목록표!A14),"L00038 →")</f>
        <v>L00038 →</v>
      </c>
    </row>
    <row r="7" spans="1:10" ht="25.35" customHeight="1" x14ac:dyDescent="0.3">
      <c r="C7" s="29" t="s">
        <v>598</v>
      </c>
      <c r="D7" s="31">
        <f>노무비목록표!E15</f>
        <v>237500</v>
      </c>
      <c r="E7" s="152" t="s">
        <v>689</v>
      </c>
      <c r="F7" s="153"/>
      <c r="G7" s="31">
        <f>ROUNDDOWN(D7*0.20833333334,1)</f>
        <v>49479.1</v>
      </c>
      <c r="H7" s="25" t="s">
        <v>600</v>
      </c>
      <c r="J7" s="3" t="str">
        <f ca="1">HYPERLINK("#"&amp;노무비목록표!G2&amp;"!A"&amp;ROW(노무비목록표!A15),"L00039 →")</f>
        <v>L00039 →</v>
      </c>
    </row>
    <row r="8" spans="1:10" ht="25.35" customHeight="1" x14ac:dyDescent="0.3">
      <c r="C8" s="29" t="s">
        <v>601</v>
      </c>
      <c r="D8" s="31">
        <f>노무비목록표!E16</f>
        <v>170920</v>
      </c>
      <c r="E8" s="152" t="s">
        <v>689</v>
      </c>
      <c r="F8" s="153"/>
      <c r="G8" s="31">
        <f>ROUNDDOWN(D8*0.20833333334,1)</f>
        <v>35608.300000000003</v>
      </c>
      <c r="H8" s="25" t="s">
        <v>603</v>
      </c>
      <c r="J8" s="3" t="str">
        <f ca="1">HYPERLINK("#"&amp;노무비목록표!G2&amp;"!A"&amp;ROW(노무비목록표!A16),"L00040 →")</f>
        <v>L00040 →</v>
      </c>
    </row>
    <row r="9" spans="1:10" ht="25.35" customHeight="1" x14ac:dyDescent="0.3">
      <c r="C9" s="26"/>
      <c r="D9" s="26"/>
      <c r="E9" s="26"/>
      <c r="F9" s="26"/>
      <c r="G9" s="26"/>
      <c r="H9" s="26"/>
    </row>
    <row r="10" spans="1:10" ht="25.35" customHeight="1" x14ac:dyDescent="0.3">
      <c r="A10" s="151" t="s">
        <v>690</v>
      </c>
      <c r="B10" s="144"/>
      <c r="C10" s="144"/>
      <c r="D10" s="144"/>
      <c r="E10" s="144"/>
      <c r="F10" s="144"/>
      <c r="G10" s="144"/>
      <c r="H10" s="144"/>
    </row>
    <row r="11" spans="1:10" ht="25.35" customHeight="1" x14ac:dyDescent="0.3">
      <c r="B11" s="25" t="s">
        <v>691</v>
      </c>
      <c r="C11" s="25" t="s">
        <v>692</v>
      </c>
      <c r="D11" s="25" t="s">
        <v>693</v>
      </c>
      <c r="E11" s="25" t="s">
        <v>5</v>
      </c>
      <c r="F11" s="25" t="s">
        <v>694</v>
      </c>
      <c r="G11" s="25"/>
      <c r="H11" s="25" t="s">
        <v>10</v>
      </c>
    </row>
    <row r="12" spans="1:10" ht="25.35" customHeight="1" x14ac:dyDescent="0.3">
      <c r="B12" s="25" t="s">
        <v>299</v>
      </c>
      <c r="C12" s="29" t="s">
        <v>595</v>
      </c>
      <c r="D12" s="25"/>
      <c r="E12" s="25" t="s">
        <v>565</v>
      </c>
      <c r="F12" s="31">
        <f>노무비목록표!E14</f>
        <v>273971</v>
      </c>
      <c r="G12" s="29"/>
      <c r="H12" s="25" t="s">
        <v>597</v>
      </c>
      <c r="J12" s="3" t="str">
        <f ca="1">HYPERLINK("#"&amp;노무비목록표!G2&amp;"!A"&amp;ROW(노무비목록표!A14),"L00038 →")</f>
        <v>L00038 →</v>
      </c>
    </row>
    <row r="13" spans="1:10" ht="25.35" customHeight="1" x14ac:dyDescent="0.3">
      <c r="B13" s="25" t="s">
        <v>305</v>
      </c>
      <c r="C13" s="29" t="s">
        <v>598</v>
      </c>
      <c r="D13" s="25"/>
      <c r="E13" s="25" t="s">
        <v>565</v>
      </c>
      <c r="F13" s="31">
        <f>노무비목록표!E15</f>
        <v>237500</v>
      </c>
      <c r="G13" s="29"/>
      <c r="H13" s="25" t="s">
        <v>600</v>
      </c>
      <c r="J13" s="3" t="str">
        <f ca="1">HYPERLINK("#"&amp;노무비목록표!G2&amp;"!A"&amp;ROW(노무비목록표!A15),"L00039 →")</f>
        <v>L00039 →</v>
      </c>
    </row>
    <row r="14" spans="1:10" ht="25.35" customHeight="1" x14ac:dyDescent="0.3">
      <c r="B14" s="25" t="s">
        <v>309</v>
      </c>
      <c r="C14" s="29" t="s">
        <v>601</v>
      </c>
      <c r="D14" s="25"/>
      <c r="E14" s="25" t="s">
        <v>565</v>
      </c>
      <c r="F14" s="31">
        <f>노무비목록표!E16</f>
        <v>170920</v>
      </c>
      <c r="G14" s="29"/>
      <c r="H14" s="25" t="s">
        <v>603</v>
      </c>
      <c r="J14" s="3" t="str">
        <f ca="1">HYPERLINK("#"&amp;노무비목록표!G2&amp;"!A"&amp;ROW(노무비목록표!A16),"L00040 →")</f>
        <v>L00040 →</v>
      </c>
    </row>
    <row r="15" spans="1:10" ht="25.35" customHeight="1" x14ac:dyDescent="0.3">
      <c r="B15" s="25" t="s">
        <v>314</v>
      </c>
      <c r="C15" s="29" t="s">
        <v>474</v>
      </c>
      <c r="D15" s="25" t="s">
        <v>475</v>
      </c>
      <c r="E15" s="25" t="s">
        <v>476</v>
      </c>
      <c r="F15" s="31">
        <f>재료비목록표!E20</f>
        <v>1518</v>
      </c>
      <c r="G15" s="29"/>
      <c r="H15" s="25" t="s">
        <v>478</v>
      </c>
      <c r="J15" s="3" t="str">
        <f ca="1">HYPERLINK("#"&amp;재료비목록표!G2&amp;"!A"&amp;ROW(재료비목록표!A20),"M00302 →")</f>
        <v>M00302 →</v>
      </c>
    </row>
    <row r="16" spans="1:10" ht="25.35" customHeight="1" x14ac:dyDescent="0.3">
      <c r="B16" s="25" t="s">
        <v>319</v>
      </c>
      <c r="C16" s="29" t="s">
        <v>479</v>
      </c>
      <c r="D16" s="25" t="s">
        <v>480</v>
      </c>
      <c r="E16" s="25" t="s">
        <v>476</v>
      </c>
      <c r="F16" s="31">
        <f>재료비목록표!E21</f>
        <v>1359</v>
      </c>
      <c r="G16" s="29"/>
      <c r="H16" s="25" t="s">
        <v>482</v>
      </c>
      <c r="J16" s="3" t="str">
        <f ca="1">HYPERLINK("#"&amp;재료비목록표!G2&amp;"!A"&amp;ROW(재료비목록표!A21),"M00303 →")</f>
        <v>M00303 →</v>
      </c>
    </row>
    <row r="17" spans="2:8" ht="25.35" customHeight="1" x14ac:dyDescent="0.3">
      <c r="B17" s="26"/>
      <c r="C17" s="26"/>
      <c r="D17" s="26"/>
      <c r="E17" s="26"/>
      <c r="F17" s="26"/>
      <c r="G17" s="26"/>
      <c r="H17" s="26"/>
    </row>
  </sheetData>
  <mergeCells count="10">
    <mergeCell ref="E6:F6"/>
    <mergeCell ref="E7:F7"/>
    <mergeCell ref="E8:F8"/>
    <mergeCell ref="A10:H10"/>
    <mergeCell ref="A1:H1"/>
    <mergeCell ref="E2:F2"/>
    <mergeCell ref="G2:H2"/>
    <mergeCell ref="E3:F3"/>
    <mergeCell ref="G3:H3"/>
    <mergeCell ref="A5:H5"/>
  </mergeCells>
  <phoneticPr fontId="23" type="noConversion"/>
  <hyperlinks>
    <hyperlink ref="J1" r:id="rId1" tooltip="설계예산시스템(STmate w25.07)으로 작성 하였으며,_x000a_엑셀 인쇄품질 600 dpi에 최적화 되어 있습니다._x000a_경영정보(주) http://www.stma.co.kr_x000a_Tel) 070-4350-0040_x000a_Fax) 0505-300-3948"/>
    <hyperlink ref="I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8" width="11.5" style="6" customWidth="1"/>
    <col min="9" max="9" width="10" style="6" customWidth="1"/>
    <col min="10" max="10" width="9.125" style="16" hidden="1" customWidth="1"/>
    <col min="11" max="11" width="9.125" style="18" customWidth="1"/>
    <col min="12" max="16384" width="9.125" style="6"/>
  </cols>
  <sheetData>
    <row r="1" spans="1:11" ht="24.95" customHeight="1" x14ac:dyDescent="0.3">
      <c r="A1" s="133" t="s">
        <v>298</v>
      </c>
      <c r="B1" s="132"/>
      <c r="C1" s="132"/>
      <c r="D1" s="132"/>
      <c r="E1" s="132"/>
      <c r="F1" s="132"/>
      <c r="G1" s="132"/>
      <c r="H1" s="132"/>
      <c r="I1" s="132"/>
      <c r="J1" s="5" t="s">
        <v>133</v>
      </c>
      <c r="K1" s="19" t="s">
        <v>133</v>
      </c>
    </row>
    <row r="2" spans="1:11" ht="22.35" customHeight="1" x14ac:dyDescent="0.3">
      <c r="A2" s="1" t="s">
        <v>1</v>
      </c>
      <c r="J2" s="20" t="str">
        <f ca="1">MID(CELL("filename",$A$1),FIND("]",CELL("filename",$A$1))+1,LEN(CELL("filename",$A$1)))</f>
        <v>중기목록표</v>
      </c>
    </row>
    <row r="3" spans="1:11" ht="22.3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K3" s="3" t="str">
        <f>HYPERLINK("#'〓 목 차 〓'!B2","목차 →")</f>
        <v>목차 →</v>
      </c>
    </row>
    <row r="4" spans="1:11" ht="22.35" customHeight="1" x14ac:dyDescent="0.3">
      <c r="A4" s="9" t="s">
        <v>299</v>
      </c>
      <c r="B4" s="10" t="s">
        <v>300</v>
      </c>
      <c r="C4" s="10" t="s">
        <v>301</v>
      </c>
      <c r="D4" s="9" t="s">
        <v>302</v>
      </c>
      <c r="E4" s="54">
        <f>중기사용료!F11</f>
        <v>68123</v>
      </c>
      <c r="F4" s="52">
        <f>중기사용료!H11</f>
        <v>49479</v>
      </c>
      <c r="G4" s="64">
        <f>중기사용료!J11</f>
        <v>8317</v>
      </c>
      <c r="H4" s="54">
        <f>중기사용료!L11</f>
        <v>10327</v>
      </c>
      <c r="I4" s="15" t="s">
        <v>303</v>
      </c>
      <c r="J4" s="17" t="str">
        <f>"_x0007_`COD|X00002_x0005_`QTY1|1_x0005_`BQC|_x0005_`EQC|03210500050_x0005_`JDC|00002105000500000_x0005_`WQC|_x0005_`EDT|2025_x0005_`ADJ|F_x0005_`RXX|0_x0005_`NAG|0_x0005_`UC|F_x0005_`DET|"&amp;ROW(중기사용료!A5)&amp;"_x0005_`"</f>
        <v>_x0007_`COD|X00002_x0005_`QTY1|1_x0005_`BQC|_x0005_`EQC|03210500050_x0005_`JDC|00002105000500000_x0005_`WQC|_x0005_`EDT|2025_x0005_`ADJ|F_x0005_`RXX|0_x0005_`NAG|0_x0005_`UC|F_x0005_`DET|5_x0005_`</v>
      </c>
      <c r="K4" s="3" t="str">
        <f ca="1">HYPERLINK("#"&amp;중기사용료!N2&amp;"!A"&amp;ROW(중기사용료!A5),"X00002 →")</f>
        <v>X00002 →</v>
      </c>
    </row>
    <row r="5" spans="1:11" ht="22.35" customHeight="1" x14ac:dyDescent="0.3">
      <c r="A5" s="9" t="s">
        <v>305</v>
      </c>
      <c r="B5" s="10" t="s">
        <v>306</v>
      </c>
      <c r="C5" s="10"/>
      <c r="D5" s="9" t="s">
        <v>302</v>
      </c>
      <c r="E5" s="54">
        <f>중기사용료!F19</f>
        <v>110465</v>
      </c>
      <c r="F5" s="52">
        <f>중기사용료!H19</f>
        <v>57077</v>
      </c>
      <c r="G5" s="64">
        <f>중기사용료!J19</f>
        <v>18286</v>
      </c>
      <c r="H5" s="54">
        <f>중기사용료!L19</f>
        <v>35102</v>
      </c>
      <c r="I5" s="15" t="s">
        <v>307</v>
      </c>
      <c r="J5" s="17" t="str">
        <f>"_x0007_`COD|X00004_x0005_`QTY1|1_x0005_`BQC|_x0005_`EQC|_x0005_`JDC|_x0005_`WQC|_x0005_`EDT|_x0005_`ADJ|F_x0005_`RXX|0_x0005_`NAG|0_x0005_`UC|F_x0005_`DET|"&amp;ROW(중기사용료!A12)&amp;"_x0005_`"</f>
        <v>_x0007_`COD|X00004_x0005_`QTY1|1_x0005_`BQC|_x0005_`EQC|_x0005_`JDC|_x0005_`WQC|_x0005_`EDT|_x0005_`ADJ|F_x0005_`RXX|0_x0005_`NAG|0_x0005_`UC|F_x0005_`DET|12_x0005_`</v>
      </c>
      <c r="K5" s="3" t="str">
        <f ca="1">HYPERLINK("#"&amp;중기사용료!N2&amp;"!A"&amp;ROW(중기사용료!A12),"X00004 →")</f>
        <v>X00004 →</v>
      </c>
    </row>
    <row r="6" spans="1:11" ht="22.35" customHeight="1" x14ac:dyDescent="0.3">
      <c r="A6" s="9" t="s">
        <v>309</v>
      </c>
      <c r="B6" s="10" t="s">
        <v>310</v>
      </c>
      <c r="C6" s="10" t="s">
        <v>311</v>
      </c>
      <c r="D6" s="9" t="s">
        <v>302</v>
      </c>
      <c r="E6" s="54">
        <f>중기사용료!F26</f>
        <v>130776</v>
      </c>
      <c r="F6" s="52">
        <f>중기사용료!H26</f>
        <v>57077</v>
      </c>
      <c r="G6" s="64">
        <f>중기사용료!J26</f>
        <v>39411</v>
      </c>
      <c r="H6" s="54">
        <f>중기사용료!L26</f>
        <v>34288</v>
      </c>
      <c r="I6" s="15" t="s">
        <v>312</v>
      </c>
      <c r="J6" s="17" t="str">
        <f>"_x0007_`COD|X00008_x0005_`QTY1|1_x0005_`BQC|_x0005_`EQC|03010100190_x0005_`JDC|00000101001900000_x0005_`WQC|_x0005_`EDT|2025_x0005_`ADJ|F_x0005_`RXX|0_x0005_`NAG|0_x0005_`UC|F_x0005_`DET|"&amp;ROW(중기사용료!A20)&amp;"_x0005_`"</f>
        <v>_x0007_`COD|X00008_x0005_`QTY1|1_x0005_`BQC|_x0005_`EQC|03010100190_x0005_`JDC|00000101001900000_x0005_`WQC|_x0005_`EDT|2025_x0005_`ADJ|F_x0005_`RXX|0_x0005_`NAG|0_x0005_`UC|F_x0005_`DET|20_x0005_`</v>
      </c>
      <c r="K6" s="3" t="str">
        <f ca="1">HYPERLINK("#"&amp;중기사용료!N2&amp;"!A"&amp;ROW(중기사용료!A20),"X00008 →")</f>
        <v>X00008 →</v>
      </c>
    </row>
    <row r="7" spans="1:11" ht="22.35" customHeight="1" x14ac:dyDescent="0.3">
      <c r="A7" s="9" t="s">
        <v>314</v>
      </c>
      <c r="B7" s="10" t="s">
        <v>315</v>
      </c>
      <c r="C7" s="10" t="s">
        <v>316</v>
      </c>
      <c r="D7" s="9" t="s">
        <v>302</v>
      </c>
      <c r="E7" s="54">
        <f>중기사용료!F33</f>
        <v>90718</v>
      </c>
      <c r="F7" s="52">
        <f>중기사용료!H33</f>
        <v>57077</v>
      </c>
      <c r="G7" s="64">
        <f>중기사용료!J33</f>
        <v>16414</v>
      </c>
      <c r="H7" s="54">
        <f>중기사용료!L33</f>
        <v>17227</v>
      </c>
      <c r="I7" s="15" t="s">
        <v>317</v>
      </c>
      <c r="J7" s="17" t="str">
        <f>"_x0007_`COD|X00021_x0005_`QTY1|1_x0005_`BQC|_x0005_`EQC|03020100400_x0005_`JDC|00000201004000000_x0005_`WQC|_x0005_`EDT|2025_x0005_`ADJ|F_x0005_`RXX|0_x0005_`NAG|0_x0005_`UC|F_x0005_`DET|"&amp;ROW(중기사용료!A27)&amp;"_x0005_`"</f>
        <v>_x0007_`COD|X00021_x0005_`QTY1|1_x0005_`BQC|_x0005_`EQC|03020100400_x0005_`JDC|00000201004000000_x0005_`WQC|_x0005_`EDT|2025_x0005_`ADJ|F_x0005_`RXX|0_x0005_`NAG|0_x0005_`UC|F_x0005_`DET|27_x0005_`</v>
      </c>
      <c r="K7" s="3" t="str">
        <f ca="1">HYPERLINK("#"&amp;중기사용료!N2&amp;"!A"&amp;ROW(중기사용료!A27),"X00021 →")</f>
        <v>X00021 →</v>
      </c>
    </row>
    <row r="8" spans="1:11" ht="22.35" customHeight="1" x14ac:dyDescent="0.3">
      <c r="A8" s="9" t="s">
        <v>319</v>
      </c>
      <c r="B8" s="10" t="s">
        <v>315</v>
      </c>
      <c r="C8" s="10" t="s">
        <v>320</v>
      </c>
      <c r="D8" s="9" t="s">
        <v>302</v>
      </c>
      <c r="E8" s="54">
        <f>중기사용료!F40</f>
        <v>100310</v>
      </c>
      <c r="F8" s="52">
        <f>중기사용료!H40</f>
        <v>57077</v>
      </c>
      <c r="G8" s="64">
        <f>중기사용료!J40</f>
        <v>19232</v>
      </c>
      <c r="H8" s="54">
        <f>중기사용료!L40</f>
        <v>24001</v>
      </c>
      <c r="I8" s="15" t="s">
        <v>321</v>
      </c>
      <c r="J8" s="17" t="str">
        <f>"_x0007_`COD|X00022_x0005_`QTY1|1_x0005_`BQC|_x0005_`EQC|03020100700_x0005_`JDC|00000201007000000_x0005_`WQC|_x0005_`EDT|2025_x0005_`ADJ|F_x0005_`RXX|0_x0005_`NAG|0_x0005_`UC|F_x0005_`DET|"&amp;ROW(중기사용료!A34)&amp;"_x0005_`"</f>
        <v>_x0007_`COD|X00022_x0005_`QTY1|1_x0005_`BQC|_x0005_`EQC|03020100700_x0005_`JDC|00000201007000000_x0005_`WQC|_x0005_`EDT|2025_x0005_`ADJ|F_x0005_`RXX|0_x0005_`NAG|0_x0005_`UC|F_x0005_`DET|34_x0005_`</v>
      </c>
      <c r="K8" s="3" t="str">
        <f ca="1">HYPERLINK("#"&amp;중기사용료!N2&amp;"!A"&amp;ROW(중기사용료!A34),"X00022 →")</f>
        <v>X00022 →</v>
      </c>
    </row>
    <row r="9" spans="1:11" ht="22.35" customHeight="1" x14ac:dyDescent="0.3">
      <c r="A9" s="9" t="s">
        <v>323</v>
      </c>
      <c r="B9" s="10" t="s">
        <v>324</v>
      </c>
      <c r="C9" s="10" t="s">
        <v>320</v>
      </c>
      <c r="D9" s="9" t="s">
        <v>302</v>
      </c>
      <c r="E9" s="54">
        <f>중기사용료!F44</f>
        <v>11100</v>
      </c>
      <c r="F9" s="52">
        <f>중기사용료!H44</f>
        <v>0</v>
      </c>
      <c r="G9" s="64">
        <f>중기사용료!J44</f>
        <v>0</v>
      </c>
      <c r="H9" s="54">
        <f>중기사용료!L44</f>
        <v>11100</v>
      </c>
      <c r="I9" s="15" t="s">
        <v>325</v>
      </c>
      <c r="J9" s="17" t="str">
        <f>"_x0007_`COD|X00029_x0005_`QTY1|1_x0005_`BQC|_x0005_`EQC|03023000070_x0005_`JDC|00000230000700000_x0005_`WQC|_x0005_`EDT|2025_x0005_`ADJ|F_x0005_`RXX|0_x0005_`NAG|0_x0005_`UC|F_x0005_`DET|"&amp;ROW(중기사용료!A41)&amp;"_x0005_`"</f>
        <v>_x0007_`COD|X00029_x0005_`QTY1|1_x0005_`BQC|_x0005_`EQC|03023000070_x0005_`JDC|00000230000700000_x0005_`WQC|_x0005_`EDT|2025_x0005_`ADJ|F_x0005_`RXX|0_x0005_`NAG|0_x0005_`UC|F_x0005_`DET|41_x0005_`</v>
      </c>
      <c r="K9" s="3" t="str">
        <f ca="1">HYPERLINK("#"&amp;중기사용료!N2&amp;"!A"&amp;ROW(중기사용료!A41),"X00029 →")</f>
        <v>X00029 →</v>
      </c>
    </row>
    <row r="10" spans="1:11" ht="22.35" customHeight="1" x14ac:dyDescent="0.3">
      <c r="A10" s="9" t="s">
        <v>327</v>
      </c>
      <c r="B10" s="10" t="s">
        <v>328</v>
      </c>
      <c r="C10" s="10" t="s">
        <v>320</v>
      </c>
      <c r="D10" s="9" t="s">
        <v>302</v>
      </c>
      <c r="E10" s="54">
        <f>중기사용료!F48</f>
        <v>3635</v>
      </c>
      <c r="F10" s="52">
        <f>중기사용료!H48</f>
        <v>0</v>
      </c>
      <c r="G10" s="64">
        <f>중기사용료!J48</f>
        <v>0</v>
      </c>
      <c r="H10" s="54">
        <f>중기사용료!L48</f>
        <v>3635</v>
      </c>
      <c r="I10" s="15" t="s">
        <v>329</v>
      </c>
      <c r="J10" s="17" t="str">
        <f>"_x0007_`COD|X00032_x0005_`QTY1|1_x0005_`BQC|_x0005_`EQC|03024000070_x0005_`JDC|00000240000700000_x0005_`WQC|_x0005_`EDT|2025_x0005_`ADJ|F_x0005_`RXX|0_x0005_`NAG|0_x0005_`UC|F_x0005_`DET|"&amp;ROW(중기사용료!A45)&amp;"_x0005_`"</f>
        <v>_x0007_`COD|X00032_x0005_`QTY1|1_x0005_`BQC|_x0005_`EQC|03024000070_x0005_`JDC|00000240000700000_x0005_`WQC|_x0005_`EDT|2025_x0005_`ADJ|F_x0005_`RXX|0_x0005_`NAG|0_x0005_`UC|F_x0005_`DET|45_x0005_`</v>
      </c>
      <c r="K10" s="3" t="str">
        <f ca="1">HYPERLINK("#"&amp;중기사용료!N2&amp;"!A"&amp;ROW(중기사용료!A45),"X00032 →")</f>
        <v>X00032 →</v>
      </c>
    </row>
    <row r="11" spans="1:11" ht="22.35" customHeight="1" x14ac:dyDescent="0.3">
      <c r="A11" s="9" t="s">
        <v>331</v>
      </c>
      <c r="B11" s="10" t="s">
        <v>332</v>
      </c>
      <c r="C11" s="10" t="s">
        <v>333</v>
      </c>
      <c r="D11" s="9" t="s">
        <v>302</v>
      </c>
      <c r="E11" s="54">
        <f>중기사용료!F55</f>
        <v>61317</v>
      </c>
      <c r="F11" s="52">
        <f>중기사용료!H55</f>
        <v>49479</v>
      </c>
      <c r="G11" s="64">
        <f>중기사용료!J55</f>
        <v>5438</v>
      </c>
      <c r="H11" s="54">
        <f>중기사용료!L55</f>
        <v>6400</v>
      </c>
      <c r="I11" s="15" t="s">
        <v>334</v>
      </c>
      <c r="J11" s="17" t="str">
        <f>"_x0007_`COD|X00060_x0005_`QTY1|1_x0005_`BQC|_x0005_`EQC|03060200250_x0005_`JDC|00000602002500000_x0005_`WQC|_x0005_`EDT|2025_x0005_`ADJ|F_x0005_`RXX|0_x0005_`NAG|0_x0005_`UC|F_x0005_`DET|"&amp;ROW(중기사용료!A49)&amp;"_x0005_`"</f>
        <v>_x0007_`COD|X00060_x0005_`QTY1|1_x0005_`BQC|_x0005_`EQC|03060200250_x0005_`JDC|00000602002500000_x0005_`WQC|_x0005_`EDT|2025_x0005_`ADJ|F_x0005_`RXX|0_x0005_`NAG|0_x0005_`UC|F_x0005_`DET|49_x0005_`</v>
      </c>
      <c r="K11" s="3" t="str">
        <f ca="1">HYPERLINK("#"&amp;중기사용료!N2&amp;"!A"&amp;ROW(중기사용료!A49),"X00060 →")</f>
        <v>X00060 →</v>
      </c>
    </row>
    <row r="12" spans="1:11" ht="22.35" customHeight="1" x14ac:dyDescent="0.3">
      <c r="A12" s="9" t="s">
        <v>336</v>
      </c>
      <c r="B12" s="10" t="s">
        <v>332</v>
      </c>
      <c r="C12" s="10" t="s">
        <v>337</v>
      </c>
      <c r="D12" s="9" t="s">
        <v>302</v>
      </c>
      <c r="E12" s="54">
        <f>중기사용료!F62</f>
        <v>66328</v>
      </c>
      <c r="F12" s="52">
        <f>중기사용료!H62</f>
        <v>49479</v>
      </c>
      <c r="G12" s="64">
        <f>중기사용료!J62</f>
        <v>9377</v>
      </c>
      <c r="H12" s="54">
        <f>중기사용료!L62</f>
        <v>7472</v>
      </c>
      <c r="I12" s="15" t="s">
        <v>338</v>
      </c>
      <c r="J12" s="17" t="str">
        <f>"_x0007_`COD|X00061_x0005_`QTY1|1_x0005_`BQC|_x0005_`EQC|03060200450_x0005_`JDC|00000602004500000_x0005_`WQC|_x0005_`EDT|2025_x0005_`ADJ|F_x0005_`RXX|0_x0005_`NAG|0_x0005_`UC|F_x0005_`DET|"&amp;ROW(중기사용료!A56)&amp;"_x0005_`"</f>
        <v>_x0007_`COD|X00061_x0005_`QTY1|1_x0005_`BQC|_x0005_`EQC|03060200450_x0005_`JDC|00000602004500000_x0005_`WQC|_x0005_`EDT|2025_x0005_`ADJ|F_x0005_`RXX|0_x0005_`NAG|0_x0005_`UC|F_x0005_`DET|56_x0005_`</v>
      </c>
      <c r="K12" s="3" t="str">
        <f ca="1">HYPERLINK("#"&amp;중기사용료!N2&amp;"!A"&amp;ROW(중기사용료!A56),"X00061 →")</f>
        <v>X00061 →</v>
      </c>
    </row>
    <row r="13" spans="1:11" ht="22.35" customHeight="1" x14ac:dyDescent="0.3">
      <c r="A13" s="9" t="s">
        <v>340</v>
      </c>
      <c r="B13" s="10" t="s">
        <v>332</v>
      </c>
      <c r="C13" s="10" t="s">
        <v>341</v>
      </c>
      <c r="D13" s="9" t="s">
        <v>302</v>
      </c>
      <c r="E13" s="54">
        <f>중기사용료!F69</f>
        <v>87737</v>
      </c>
      <c r="F13" s="52">
        <f>중기사용료!H69</f>
        <v>49479</v>
      </c>
      <c r="G13" s="64">
        <f>중기사용료!J69</f>
        <v>26443</v>
      </c>
      <c r="H13" s="54">
        <f>중기사용료!L69</f>
        <v>11815</v>
      </c>
      <c r="I13" s="15" t="s">
        <v>342</v>
      </c>
      <c r="J13" s="17" t="str">
        <f>"_x0007_`COD|X00063_x0005_`QTY1|1_x0005_`BQC|_x0005_`EQC|03060201050_x0005_`JDC|00000602010500000_x0005_`WQC|_x0005_`EDT|2025_x0005_`ADJ|F_x0005_`RXX|0_x0005_`NAG|0_x0005_`UC|F_x0005_`DET|"&amp;ROW(중기사용료!A63)&amp;"_x0005_`"</f>
        <v>_x0007_`COD|X00063_x0005_`QTY1|1_x0005_`BQC|_x0005_`EQC|03060201050_x0005_`JDC|00000602010500000_x0005_`WQC|_x0005_`EDT|2025_x0005_`ADJ|F_x0005_`RXX|0_x0005_`NAG|0_x0005_`UC|F_x0005_`DET|63_x0005_`</v>
      </c>
      <c r="K13" s="3" t="str">
        <f ca="1">HYPERLINK("#"&amp;중기사용료!N2&amp;"!A"&amp;ROW(중기사용료!A63),"X00063 →")</f>
        <v>X00063 →</v>
      </c>
    </row>
    <row r="14" spans="1:11" ht="22.35" customHeight="1" x14ac:dyDescent="0.3">
      <c r="A14" s="9" t="s">
        <v>344</v>
      </c>
      <c r="B14" s="10" t="s">
        <v>332</v>
      </c>
      <c r="C14" s="10" t="s">
        <v>345</v>
      </c>
      <c r="D14" s="9" t="s">
        <v>302</v>
      </c>
      <c r="E14" s="54">
        <f>중기사용료!F76</f>
        <v>107172</v>
      </c>
      <c r="F14" s="52">
        <f>중기사용료!H76</f>
        <v>57077</v>
      </c>
      <c r="G14" s="64">
        <f>중기사용료!J76</f>
        <v>29819</v>
      </c>
      <c r="H14" s="54">
        <f>중기사용료!L76</f>
        <v>20276</v>
      </c>
      <c r="I14" s="15" t="s">
        <v>346</v>
      </c>
      <c r="J14" s="17" t="str">
        <f>"_x0007_`COD|X00064_x0005_`QTY1|1_x0005_`BQC|_x0005_`EQC|03060201500_x0005_`JDC|00000602015000000_x0005_`WQC|_x0005_`EDT|2025_x0005_`ADJ|F_x0005_`RXX|0_x0005_`NAG|0_x0005_`UC|F_x0005_`DET|"&amp;ROW(중기사용료!A70)&amp;"_x0005_`"</f>
        <v>_x0007_`COD|X00064_x0005_`QTY1|1_x0005_`BQC|_x0005_`EQC|03060201500_x0005_`JDC|00000602015000000_x0005_`WQC|_x0005_`EDT|2025_x0005_`ADJ|F_x0005_`RXX|0_x0005_`NAG|0_x0005_`UC|F_x0005_`DET|70_x0005_`</v>
      </c>
      <c r="K14" s="3" t="str">
        <f ca="1">HYPERLINK("#"&amp;중기사용료!N2&amp;"!A"&amp;ROW(중기사용료!A70),"X00064 →")</f>
        <v>X00064 →</v>
      </c>
    </row>
    <row r="15" spans="1:11" ht="22.35" customHeight="1" x14ac:dyDescent="0.3">
      <c r="A15" s="9" t="s">
        <v>348</v>
      </c>
      <c r="B15" s="10" t="s">
        <v>349</v>
      </c>
      <c r="C15" s="10" t="s">
        <v>350</v>
      </c>
      <c r="D15" s="9" t="s">
        <v>302</v>
      </c>
      <c r="E15" s="54">
        <f>중기사용료!F83</f>
        <v>106682</v>
      </c>
      <c r="F15" s="52">
        <f>중기사용료!H83</f>
        <v>57077</v>
      </c>
      <c r="G15" s="64">
        <f>중기사용료!J83</f>
        <v>31168</v>
      </c>
      <c r="H15" s="54">
        <f>중기사용료!L83</f>
        <v>18437</v>
      </c>
      <c r="I15" s="15" t="s">
        <v>351</v>
      </c>
      <c r="J15" s="17" t="str">
        <f>"_x0007_`COD|X00127_x0005_`QTY1|1_x0005_`BQC|_x0005_`EQC|03270200200_x0005_`JDC|_x0005_`WQC|_x0005_`EDT|_x0005_`ADJ|F_x0005_`RXX|0_x0005_`NAG|0_x0005_`UC|F_x0005_`DET|"&amp;ROW(중기사용료!A77)&amp;"_x0005_`"</f>
        <v>_x0007_`COD|X00127_x0005_`QTY1|1_x0005_`BQC|_x0005_`EQC|03270200200_x0005_`JDC|_x0005_`WQC|_x0005_`EDT|_x0005_`ADJ|F_x0005_`RXX|0_x0005_`NAG|0_x0005_`UC|F_x0005_`DET|77_x0005_`</v>
      </c>
      <c r="K15" s="3" t="str">
        <f ca="1">HYPERLINK("#"&amp;중기사용료!N2&amp;"!A"&amp;ROW(중기사용료!A77),"X00127 →")</f>
        <v>X00127 →</v>
      </c>
    </row>
    <row r="16" spans="1:11" ht="22.35" customHeight="1" x14ac:dyDescent="0.3">
      <c r="A16" s="9" t="s">
        <v>353</v>
      </c>
      <c r="B16" s="10" t="s">
        <v>315</v>
      </c>
      <c r="C16" s="10" t="s">
        <v>354</v>
      </c>
      <c r="D16" s="9" t="s">
        <v>302</v>
      </c>
      <c r="E16" s="54">
        <f>중기사용료!F90</f>
        <v>80754</v>
      </c>
      <c r="F16" s="52">
        <f>중기사용료!H90</f>
        <v>57077</v>
      </c>
      <c r="G16" s="64">
        <f>중기사용료!J90</f>
        <v>8221</v>
      </c>
      <c r="H16" s="54">
        <f>중기사용료!L90</f>
        <v>15456</v>
      </c>
      <c r="I16" s="15" t="s">
        <v>355</v>
      </c>
      <c r="J16" s="17" t="str">
        <f>"_x0007_`COD|X00268_x0005_`QTY1|1_x0005_`BQC|_x0005_`EQC|_x0005_`JDC|_x0005_`WQC|_x0005_`EDT|_x0005_`ADJ|F_x0005_`RXX|0_x0005_`NAG|0_x0005_`UC|F_x0005_`DET|"&amp;ROW(중기사용료!A84)&amp;"_x0005_`"</f>
        <v>_x0007_`COD|X00268_x0005_`QTY1|1_x0005_`BQC|_x0005_`EQC|_x0005_`JDC|_x0005_`WQC|_x0005_`EDT|_x0005_`ADJ|F_x0005_`RXX|0_x0005_`NAG|0_x0005_`UC|F_x0005_`DET|84_x0005_`</v>
      </c>
      <c r="K16" s="3" t="str">
        <f ca="1">HYPERLINK("#"&amp;중기사용료!N2&amp;"!A"&amp;ROW(중기사용료!A84),"X00268 →")</f>
        <v>X00268 →</v>
      </c>
    </row>
    <row r="17" spans="1:11" ht="22.35" customHeight="1" x14ac:dyDescent="0.3">
      <c r="A17" s="9" t="s">
        <v>357</v>
      </c>
      <c r="B17" s="10" t="s">
        <v>315</v>
      </c>
      <c r="C17" s="10" t="s">
        <v>358</v>
      </c>
      <c r="D17" s="9" t="s">
        <v>302</v>
      </c>
      <c r="E17" s="54">
        <f>중기사용료!F97</f>
        <v>103994</v>
      </c>
      <c r="F17" s="52">
        <f>중기사용료!H97</f>
        <v>57077</v>
      </c>
      <c r="G17" s="64">
        <f>중기사용료!J97</f>
        <v>19232</v>
      </c>
      <c r="H17" s="54">
        <f>중기사용료!L97</f>
        <v>27685</v>
      </c>
      <c r="I17" s="15" t="s">
        <v>359</v>
      </c>
      <c r="J17" s="17" t="str">
        <f>"_x0007_`COD|X00270_x0005_`QTY1|1_x0005_`BQC|_x0005_`EQC|_x0005_`JDC|_x0005_`WQC|_x0005_`EDT|_x0005_`ADJ|F_x0005_`RXX|0_x0005_`NAG|0_x0005_`UC|F_x0005_`DET|"&amp;ROW(중기사용료!A91)&amp;"_x0005_`"</f>
        <v>_x0007_`COD|X00270_x0005_`QTY1|1_x0005_`BQC|_x0005_`EQC|_x0005_`JDC|_x0005_`WQC|_x0005_`EDT|_x0005_`ADJ|F_x0005_`RXX|0_x0005_`NAG|0_x0005_`UC|F_x0005_`DET|91_x0005_`</v>
      </c>
      <c r="K17" s="3" t="str">
        <f ca="1">HYPERLINK("#"&amp;중기사용료!N2&amp;"!A"&amp;ROW(중기사용료!A91),"X00270 →")</f>
        <v>X00270 →</v>
      </c>
    </row>
    <row r="18" spans="1:11" ht="22.35" customHeight="1" x14ac:dyDescent="0.3">
      <c r="A18" s="9" t="s">
        <v>361</v>
      </c>
      <c r="B18" s="10" t="s">
        <v>332</v>
      </c>
      <c r="C18" s="10" t="s">
        <v>362</v>
      </c>
      <c r="D18" s="9" t="s">
        <v>302</v>
      </c>
      <c r="E18" s="54">
        <f>중기사용료!F104</f>
        <v>62538</v>
      </c>
      <c r="F18" s="52">
        <f>중기사용료!H104</f>
        <v>49479</v>
      </c>
      <c r="G18" s="64">
        <f>중기사용료!J104</f>
        <v>5438</v>
      </c>
      <c r="H18" s="54">
        <f>중기사용료!L104</f>
        <v>7621</v>
      </c>
      <c r="I18" s="15" t="s">
        <v>363</v>
      </c>
      <c r="J18" s="17" t="str">
        <f>"_x0007_`COD|X00272_x0005_`QTY1|1_x0005_`BQC|_x0005_`EQC|_x0005_`JDC|_x0005_`WQC|_x0005_`EDT|_x0005_`ADJ|F_x0005_`RXX|0_x0005_`NAG|0_x0005_`UC|F_x0005_`DET|"&amp;ROW(중기사용료!A98)&amp;"_x0005_`"</f>
        <v>_x0007_`COD|X00272_x0005_`QTY1|1_x0005_`BQC|_x0005_`EQC|_x0005_`JDC|_x0005_`WQC|_x0005_`EDT|_x0005_`ADJ|F_x0005_`RXX|0_x0005_`NAG|0_x0005_`UC|F_x0005_`DET|98_x0005_`</v>
      </c>
      <c r="K18" s="3" t="str">
        <f ca="1">HYPERLINK("#"&amp;중기사용료!N2&amp;"!A"&amp;ROW(중기사용료!A98),"X00272 →")</f>
        <v>X00272 →</v>
      </c>
    </row>
    <row r="19" spans="1:11" ht="22.35" customHeight="1" x14ac:dyDescent="0.3">
      <c r="A19" s="9" t="s">
        <v>365</v>
      </c>
      <c r="B19" s="10" t="s">
        <v>332</v>
      </c>
      <c r="C19" s="10" t="s">
        <v>366</v>
      </c>
      <c r="D19" s="9" t="s">
        <v>302</v>
      </c>
      <c r="E19" s="54">
        <f>중기사용료!F111</f>
        <v>110731</v>
      </c>
      <c r="F19" s="52">
        <f>중기사용료!H111</f>
        <v>57077</v>
      </c>
      <c r="G19" s="64">
        <f>중기사용료!J111</f>
        <v>29819</v>
      </c>
      <c r="H19" s="54">
        <f>중기사용료!L111</f>
        <v>23835</v>
      </c>
      <c r="I19" s="15" t="s">
        <v>367</v>
      </c>
      <c r="J19" s="17" t="str">
        <f>"_x0007_`COD|X00275_x0005_`QTY1|1_x0005_`BQC|_x0005_`EQC|_x0005_`JDC|_x0005_`WQC|_x0005_`EDT|_x0005_`ADJ|F_x0005_`RXX|0_x0005_`NAG|0_x0005_`UC|F_x0005_`DET|"&amp;ROW(중기사용료!A105)&amp;"_x0005_`"</f>
        <v>_x0007_`COD|X00275_x0005_`QTY1|1_x0005_`BQC|_x0005_`EQC|_x0005_`JDC|_x0005_`WQC|_x0005_`EDT|_x0005_`ADJ|F_x0005_`RXX|0_x0005_`NAG|0_x0005_`UC|F_x0005_`DET|105_x0005_`</v>
      </c>
      <c r="K19" s="3" t="str">
        <f ca="1">HYPERLINK("#"&amp;중기사용료!N2&amp;"!A"&amp;ROW(중기사용료!A105),"X00275 →")</f>
        <v>X00275 →</v>
      </c>
    </row>
    <row r="20" spans="1:11" ht="22.35" customHeight="1" x14ac:dyDescent="0.3">
      <c r="A20" s="9" t="s">
        <v>369</v>
      </c>
      <c r="B20" s="10" t="s">
        <v>370</v>
      </c>
      <c r="C20" s="10" t="s">
        <v>371</v>
      </c>
      <c r="D20" s="9" t="s">
        <v>302</v>
      </c>
      <c r="E20" s="54">
        <f>중기사용료!F118</f>
        <v>103087</v>
      </c>
      <c r="F20" s="52">
        <f>중기사용료!H118</f>
        <v>57077</v>
      </c>
      <c r="G20" s="64">
        <f>중기사용료!J118</f>
        <v>19547</v>
      </c>
      <c r="H20" s="54">
        <f>중기사용료!L118</f>
        <v>26463</v>
      </c>
      <c r="I20" s="15" t="s">
        <v>372</v>
      </c>
      <c r="J20" s="17" t="str">
        <f>"_x0007_`COD|X00283_x0005_`QTY1|1_x0005_`BQC|08' 신규_x0005_`EQC|03021100600_x0005_`JDC|00000211006000000_x0005_`WQC|_x0005_`EDT|2025_x0005_`ADJ|F_x0005_`RXX|0_x0005_`NAG|0_x0005_`UC|F_x0005_`DET|"&amp;ROW(중기사용료!A112)&amp;"_x0005_`"</f>
        <v>_x0007_`COD|X00283_x0005_`QTY1|1_x0005_`BQC|08' 신규_x0005_`EQC|03021100600_x0005_`JDC|00000211006000000_x0005_`WQC|_x0005_`EDT|2025_x0005_`ADJ|F_x0005_`RXX|0_x0005_`NAG|0_x0005_`UC|F_x0005_`DET|112_x0005_`</v>
      </c>
      <c r="K20" s="3" t="str">
        <f ca="1">HYPERLINK("#"&amp;중기사용료!N2&amp;"!A"&amp;ROW(중기사용료!A112),"X00283 →")</f>
        <v>X00283 →</v>
      </c>
    </row>
    <row r="21" spans="1:11" ht="22.35" customHeight="1" x14ac:dyDescent="0.3">
      <c r="A21" s="9" t="s">
        <v>374</v>
      </c>
      <c r="B21" s="10" t="s">
        <v>332</v>
      </c>
      <c r="C21" s="10" t="s">
        <v>375</v>
      </c>
      <c r="D21" s="9" t="s">
        <v>302</v>
      </c>
      <c r="E21" s="54">
        <f>중기사용료!F125</f>
        <v>132534</v>
      </c>
      <c r="F21" s="52">
        <f>중기사용료!H125</f>
        <v>57077</v>
      </c>
      <c r="G21" s="64">
        <f>중기사용료!J125</f>
        <v>43134</v>
      </c>
      <c r="H21" s="54">
        <f>중기사용료!L125</f>
        <v>32323</v>
      </c>
      <c r="I21" s="15" t="s">
        <v>376</v>
      </c>
      <c r="J21" s="17" t="str">
        <f>"_x0007_`COD|X00292_x0005_`QTY1|1_x0005_`BQC|_x0005_`EQC|03060202400_x0005_`JDC|00000602024000000_x0005_`WQC|_x0005_`EDT|2025_x0005_`ADJ|F_x0005_`RXX|0_x0005_`NAG|0_x0005_`UC|F_x0005_`DET|"&amp;ROW(중기사용료!A119)&amp;"_x0005_`"</f>
        <v>_x0007_`COD|X00292_x0005_`QTY1|1_x0005_`BQC|_x0005_`EQC|03060202400_x0005_`JDC|00000602024000000_x0005_`WQC|_x0005_`EDT|2025_x0005_`ADJ|F_x0005_`RXX|0_x0005_`NAG|0_x0005_`UC|F_x0005_`DET|119_x0005_`</v>
      </c>
      <c r="K21" s="3" t="str">
        <f ca="1">HYPERLINK("#"&amp;중기사용료!N2&amp;"!A"&amp;ROW(중기사용료!A119),"X00292 →")</f>
        <v>X00292 →</v>
      </c>
    </row>
    <row r="22" spans="1:11" ht="22.35" customHeight="1" x14ac:dyDescent="0.3">
      <c r="A22" s="9" t="s">
        <v>378</v>
      </c>
      <c r="B22" s="10" t="s">
        <v>379</v>
      </c>
      <c r="C22" s="10" t="s">
        <v>380</v>
      </c>
      <c r="D22" s="9" t="s">
        <v>302</v>
      </c>
      <c r="E22" s="54">
        <f>중기사용료!F132</f>
        <v>43359</v>
      </c>
      <c r="F22" s="52">
        <f>중기사용료!H132</f>
        <v>35608</v>
      </c>
      <c r="G22" s="64">
        <f>중기사용료!J132</f>
        <v>6038</v>
      </c>
      <c r="H22" s="54">
        <f>중기사용료!L132</f>
        <v>1713</v>
      </c>
      <c r="I22" s="15" t="s">
        <v>381</v>
      </c>
      <c r="J22" s="17" t="str">
        <f>"_x0007_`COD|X00350_x0005_`QTY1|1_x0005_`BQC|_x0005_`EQC|03420500450_x0005_`JDC|00004205004500000_x0005_`WQC|_x0005_`EDT|2025_x0005_`ADJ|F_x0005_`RXX|0_x0005_`NAG|0_x0005_`UC|F_x0005_`DET|"&amp;ROW(중기사용료!A126)&amp;"_x0005_`"</f>
        <v>_x0007_`COD|X00350_x0005_`QTY1|1_x0005_`BQC|_x0005_`EQC|03420500450_x0005_`JDC|00004205004500000_x0005_`WQC|_x0005_`EDT|2025_x0005_`ADJ|F_x0005_`RXX|0_x0005_`NAG|0_x0005_`UC|F_x0005_`DET|126_x0005_`</v>
      </c>
      <c r="K22" s="3" t="str">
        <f ca="1">HYPERLINK("#"&amp;중기사용료!N2&amp;"!A"&amp;ROW(중기사용료!A126),"X00350 →")</f>
        <v>X00350 →</v>
      </c>
    </row>
    <row r="23" spans="1:11" ht="22.35" customHeight="1" x14ac:dyDescent="0.3">
      <c r="A23" s="9" t="s">
        <v>383</v>
      </c>
      <c r="B23" s="10" t="s">
        <v>384</v>
      </c>
      <c r="C23" s="10" t="s">
        <v>385</v>
      </c>
      <c r="D23" s="9" t="s">
        <v>302</v>
      </c>
      <c r="E23" s="54">
        <f>중기사용료!F139</f>
        <v>47789</v>
      </c>
      <c r="F23" s="52">
        <f>중기사용료!H139</f>
        <v>35608</v>
      </c>
      <c r="G23" s="64">
        <f>중기사용료!J139</f>
        <v>10200</v>
      </c>
      <c r="H23" s="54">
        <f>중기사용료!L139</f>
        <v>1981</v>
      </c>
      <c r="I23" s="15" t="s">
        <v>386</v>
      </c>
      <c r="J23" s="17" t="str">
        <f>"_x0007_`COD|X00352_x0005_`QTY1|1_x0005_`BQC|_x0005_`EQC|03443004000_x0005_`JDC|00004430040000000_x0005_`WQC|_x0005_`EDT|2025_x0005_`ADJ|F_x0005_`RXX|0_x0005_`NAG|0_x0005_`UC|F_x0005_`DET|"&amp;ROW(중기사용료!A133)&amp;"_x0005_`"</f>
        <v>_x0007_`COD|X00352_x0005_`QTY1|1_x0005_`BQC|_x0005_`EQC|03443004000_x0005_`JDC|00004430040000000_x0005_`WQC|_x0005_`EDT|2025_x0005_`ADJ|F_x0005_`RXX|0_x0005_`NAG|0_x0005_`UC|F_x0005_`DET|133_x0005_`</v>
      </c>
      <c r="K23" s="3" t="str">
        <f ca="1">HYPERLINK("#"&amp;중기사용료!N2&amp;"!A"&amp;ROW(중기사용료!A133),"X00352 →")</f>
        <v>X00352 →</v>
      </c>
    </row>
    <row r="24" spans="1:11" ht="22.35" customHeight="1" x14ac:dyDescent="0.3">
      <c r="A24" s="9" t="s">
        <v>388</v>
      </c>
      <c r="B24" s="10" t="s">
        <v>300</v>
      </c>
      <c r="C24" s="10" t="s">
        <v>389</v>
      </c>
      <c r="D24" s="9" t="s">
        <v>302</v>
      </c>
      <c r="E24" s="54">
        <f>중기사용료!F146</f>
        <v>88815</v>
      </c>
      <c r="F24" s="52">
        <f>중기사용료!H146</f>
        <v>49479</v>
      </c>
      <c r="G24" s="64">
        <f>중기사용료!J146</f>
        <v>16797</v>
      </c>
      <c r="H24" s="54">
        <f>중기사용료!L146</f>
        <v>22539</v>
      </c>
      <c r="I24" s="15" t="s">
        <v>390</v>
      </c>
      <c r="J24" s="17" t="str">
        <f>"_x0007_`COD|X00568_x0005_`QTY1|1_x0005_`BQC|08' 신규_x0005_`EQC|03210500100_x0005_`JDC|00002105001000000_x0005_`WQC|_x0005_`EDT|2025_x0005_`ADJ|F_x0005_`RXX|0_x0005_`NAG|0_x0005_`UC|F_x0005_`DET|"&amp;ROW(중기사용료!A140)&amp;"_x0005_`"</f>
        <v>_x0007_`COD|X00568_x0005_`QTY1|1_x0005_`BQC|08' 신규_x0005_`EQC|03210500100_x0005_`JDC|00002105001000000_x0005_`WQC|_x0005_`EDT|2025_x0005_`ADJ|F_x0005_`RXX|0_x0005_`NAG|0_x0005_`UC|F_x0005_`DET|140_x0005_`</v>
      </c>
      <c r="K24" s="3" t="str">
        <f ca="1">HYPERLINK("#"&amp;중기사용료!N2&amp;"!A"&amp;ROW(중기사용료!A140),"X00568 →")</f>
        <v>X00568 →</v>
      </c>
    </row>
    <row r="25" spans="1:11" ht="22.35" customHeight="1" x14ac:dyDescent="0.3">
      <c r="A25" s="9" t="s">
        <v>392</v>
      </c>
      <c r="B25" s="10" t="s">
        <v>332</v>
      </c>
      <c r="C25" s="10" t="s">
        <v>393</v>
      </c>
      <c r="D25" s="9" t="s">
        <v>302</v>
      </c>
      <c r="E25" s="54">
        <f>중기사용료!F153</f>
        <v>138146</v>
      </c>
      <c r="F25" s="52">
        <f>중기사용료!H153</f>
        <v>57077</v>
      </c>
      <c r="G25" s="64">
        <f>중기사용료!J153</f>
        <v>43134</v>
      </c>
      <c r="H25" s="54">
        <f>중기사용료!L153</f>
        <v>37935</v>
      </c>
      <c r="I25" s="15" t="s">
        <v>394</v>
      </c>
      <c r="J25" s="17" t="str">
        <f>"_x0007_`COD|X00740_x0005_`QTY1|1_x0005_`BQC|_x0005_`EQC|03060202400_x0005_`JDC|_x0005_`WQC|_x0005_`EDT|_x0005_`ADJ|F_x0005_`RXX|0_x0005_`NAG|0_x0005_`UC|F_x0005_`DET|"&amp;ROW(중기사용료!A147)&amp;"_x0005_`"</f>
        <v>_x0007_`COD|X00740_x0005_`QTY1|1_x0005_`BQC|_x0005_`EQC|03060202400_x0005_`JDC|_x0005_`WQC|_x0005_`EDT|_x0005_`ADJ|F_x0005_`RXX|0_x0005_`NAG|0_x0005_`UC|F_x0005_`DET|147_x0005_`</v>
      </c>
      <c r="K25" s="3" t="str">
        <f ca="1">HYPERLINK("#"&amp;중기사용료!N2&amp;"!A"&amp;ROW(중기사용료!A147),"X00740 →")</f>
        <v>X00740 →</v>
      </c>
    </row>
    <row r="26" spans="1:11" ht="22.35" customHeight="1" x14ac:dyDescent="0.3">
      <c r="A26" s="9" t="s">
        <v>396</v>
      </c>
      <c r="B26" s="10" t="s">
        <v>397</v>
      </c>
      <c r="C26" s="10"/>
      <c r="D26" s="9" t="s">
        <v>302</v>
      </c>
      <c r="E26" s="54">
        <f>중기사용료!F161</f>
        <v>108745</v>
      </c>
      <c r="F26" s="52">
        <f>중기사용료!H161</f>
        <v>57077</v>
      </c>
      <c r="G26" s="64">
        <f>중기사용료!J161</f>
        <v>19547</v>
      </c>
      <c r="H26" s="54">
        <f>중기사용료!L161</f>
        <v>32121</v>
      </c>
      <c r="I26" s="15" t="s">
        <v>398</v>
      </c>
      <c r="J26" s="17" t="str">
        <f>"_x0007_`COD|X00750_x0005_`QTY1|1_x0005_`BQC|_x0005_`EQC|_x0005_`JDC|_x0005_`WQC|_x0005_`EDT|_x0005_`ADJ|F_x0005_`RXX|0_x0005_`NAG|0_x0005_`UC|F_x0005_`DET|"&amp;ROW(중기사용료!A154)&amp;"_x0005_`"</f>
        <v>_x0007_`COD|X00750_x0005_`QTY1|1_x0005_`BQC|_x0005_`EQC|_x0005_`JDC|_x0005_`WQC|_x0005_`EDT|_x0005_`ADJ|F_x0005_`RXX|0_x0005_`NAG|0_x0005_`UC|F_x0005_`DET|154_x0005_`</v>
      </c>
      <c r="K26" s="3" t="str">
        <f ca="1">HYPERLINK("#"&amp;중기사용료!N2&amp;"!A"&amp;ROW(중기사용료!A154),"X00750 →")</f>
        <v>X00750 →</v>
      </c>
    </row>
    <row r="27" spans="1:11" ht="22.35" customHeight="1" x14ac:dyDescent="0.3">
      <c r="A27" s="9" t="s">
        <v>400</v>
      </c>
      <c r="B27" s="10" t="s">
        <v>401</v>
      </c>
      <c r="C27" s="10" t="s">
        <v>402</v>
      </c>
      <c r="D27" s="9" t="s">
        <v>302</v>
      </c>
      <c r="E27" s="54">
        <f>중기사용료!F167</f>
        <v>2620</v>
      </c>
      <c r="F27" s="52">
        <f>중기사용료!H167</f>
        <v>0</v>
      </c>
      <c r="G27" s="64">
        <f>중기사용료!J167</f>
        <v>2368</v>
      </c>
      <c r="H27" s="54">
        <f>중기사용료!L167</f>
        <v>252</v>
      </c>
      <c r="I27" s="15" t="s">
        <v>403</v>
      </c>
      <c r="J27" s="17" t="str">
        <f>"_x0007_`COD|X00751_x0005_`QTY1|1_x0005_`BQC|14상' 신규_x0005_`EQC|03721004850_x0005_`JDC|00007210048500000_x0005_`WQC|_x0005_`EDT|2025_x0005_`ADJ|F_x0005_`RXX|0_x0005_`NAG|0_x0005_`UC|F_x0005_`DET|"&amp;ROW(중기사용료!A162)&amp;"_x0005_`"</f>
        <v>_x0007_`COD|X00751_x0005_`QTY1|1_x0005_`BQC|14상' 신규_x0005_`EQC|03721004850_x0005_`JDC|00007210048500000_x0005_`WQC|_x0005_`EDT|2025_x0005_`ADJ|F_x0005_`RXX|0_x0005_`NAG|0_x0005_`UC|F_x0005_`DET|162_x0005_`</v>
      </c>
      <c r="K27" s="3" t="str">
        <f ca="1">HYPERLINK("#"&amp;중기사용료!N2&amp;"!A"&amp;ROW(중기사용료!A162),"X00751 →")</f>
        <v>X00751 →</v>
      </c>
    </row>
  </sheetData>
  <mergeCells count="1">
    <mergeCell ref="A1:I1"/>
  </mergeCells>
  <phoneticPr fontId="23" type="noConversion"/>
  <hyperlinks>
    <hyperlink ref="K1" r:id="rId1" tooltip="설계예산시스템(STmate w25.07)으로 작성 하였으며,_x000a_엑셀 인쇄품질 600 dpi에 최적화 되어 있습니다._x000a_경영정보(주) http://www.stma.co.kr_x000a_Tel) 070-4350-0040_x000a_Fax) 0505-300-3948"/>
    <hyperlink ref="J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67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2" width="24.25" style="6" customWidth="1"/>
    <col min="3" max="3" width="10" style="6" customWidth="1"/>
    <col min="4" max="4" width="5.5" style="6" customWidth="1"/>
    <col min="5" max="5" width="10" style="6" customWidth="1"/>
    <col min="6" max="6" width="11.5" style="6" customWidth="1"/>
    <col min="7" max="7" width="10" style="6" customWidth="1"/>
    <col min="8" max="8" width="11.5" style="6" customWidth="1"/>
    <col min="9" max="9" width="10" style="6" customWidth="1"/>
    <col min="10" max="10" width="11.5" style="6" customWidth="1"/>
    <col min="11" max="11" width="10" style="6" customWidth="1"/>
    <col min="12" max="13" width="11.5" style="6" customWidth="1"/>
    <col min="14" max="14" width="9.125" style="96" hidden="1" customWidth="1"/>
    <col min="15" max="25" width="2.125" style="6" customWidth="1"/>
    <col min="26" max="26" width="9.125" style="18" customWidth="1"/>
    <col min="27" max="16384" width="9.125" style="6"/>
  </cols>
  <sheetData>
    <row r="1" spans="1:26" ht="24.95" customHeight="1" x14ac:dyDescent="0.3">
      <c r="A1" s="133" t="s">
        <v>2297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5" t="s">
        <v>133</v>
      </c>
      <c r="Z1" s="19" t="s">
        <v>133</v>
      </c>
    </row>
    <row r="2" spans="1:26" ht="28.7" customHeight="1" x14ac:dyDescent="0.3">
      <c r="A2" s="1" t="s">
        <v>1</v>
      </c>
      <c r="N2" s="20" t="str">
        <f ca="1">MID(CELL("filename",$A$1),FIND("]",CELL("filename",$A$1))+1,LEN(CELL("filename",$A$1)))</f>
        <v>중기사용료</v>
      </c>
    </row>
    <row r="3" spans="1:26" ht="28.7" customHeight="1" x14ac:dyDescent="0.3">
      <c r="A3" s="149" t="s">
        <v>3</v>
      </c>
      <c r="B3" s="149" t="s">
        <v>4</v>
      </c>
      <c r="C3" s="149" t="s">
        <v>735</v>
      </c>
      <c r="D3" s="149" t="s">
        <v>5</v>
      </c>
      <c r="E3" s="136" t="s">
        <v>6</v>
      </c>
      <c r="F3" s="142"/>
      <c r="G3" s="136" t="s">
        <v>7</v>
      </c>
      <c r="H3" s="142"/>
      <c r="I3" s="136" t="s">
        <v>8</v>
      </c>
      <c r="J3" s="142"/>
      <c r="K3" s="136" t="s">
        <v>9</v>
      </c>
      <c r="L3" s="142"/>
      <c r="M3" s="136" t="s">
        <v>10</v>
      </c>
    </row>
    <row r="4" spans="1:26" ht="28.7" customHeight="1" x14ac:dyDescent="0.3">
      <c r="A4" s="142"/>
      <c r="B4" s="142"/>
      <c r="C4" s="142"/>
      <c r="D4" s="142"/>
      <c r="E4" s="9" t="s">
        <v>406</v>
      </c>
      <c r="F4" s="9" t="s">
        <v>736</v>
      </c>
      <c r="G4" s="9" t="s">
        <v>406</v>
      </c>
      <c r="H4" s="9" t="s">
        <v>736</v>
      </c>
      <c r="I4" s="9" t="s">
        <v>406</v>
      </c>
      <c r="J4" s="9" t="s">
        <v>736</v>
      </c>
      <c r="K4" s="9" t="s">
        <v>406</v>
      </c>
      <c r="L4" s="9" t="s">
        <v>736</v>
      </c>
      <c r="M4" s="137"/>
      <c r="Z4" s="3" t="str">
        <f>HYPERLINK("#'〓 목 차 〓'!B2","목차 →")</f>
        <v>목차 →</v>
      </c>
    </row>
    <row r="5" spans="1:26" ht="28.7" customHeight="1" x14ac:dyDescent="0.3">
      <c r="A5" s="82" t="s">
        <v>2298</v>
      </c>
      <c r="B5" s="82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97" t="str">
        <f>HYPERLINK("#N"&amp;ROW(N10),"_x0005_`BDCOD|X00002_x0007_`POSS|"&amp;ROW(N7)&amp;"_x0007_`POSE|"&amp;ROW(N10)&amp;"_x0007_`")</f>
        <v>_x0005_`BDCOD|X00002_x0007_`POSS|7_x0007_`POSE|10_x0007_`</v>
      </c>
    </row>
    <row r="6" spans="1:26" ht="28.7" customHeight="1" x14ac:dyDescent="0.3">
      <c r="A6" s="43" t="s">
        <v>300</v>
      </c>
      <c r="B6" s="43" t="s">
        <v>301</v>
      </c>
      <c r="C6" s="84"/>
      <c r="D6" s="87" t="s">
        <v>302</v>
      </c>
      <c r="E6" s="84"/>
      <c r="F6" s="84"/>
      <c r="G6" s="84"/>
      <c r="H6" s="84"/>
      <c r="I6" s="84"/>
      <c r="J6" s="84"/>
      <c r="K6" s="84"/>
      <c r="L6" s="84"/>
      <c r="M6" s="87" t="s">
        <v>303</v>
      </c>
      <c r="O6" s="7" t="s">
        <v>303</v>
      </c>
    </row>
    <row r="7" spans="1:26" ht="28.7" customHeight="1" x14ac:dyDescent="0.3">
      <c r="A7" s="10" t="s">
        <v>300</v>
      </c>
      <c r="B7" s="10" t="s">
        <v>301</v>
      </c>
      <c r="C7" s="85">
        <v>0.25979999999999998</v>
      </c>
      <c r="D7" s="32" t="s">
        <v>608</v>
      </c>
      <c r="E7" s="62">
        <f t="shared" ref="E7:F10" si="0">I7+G7+K7</f>
        <v>39750</v>
      </c>
      <c r="F7" s="89">
        <f t="shared" si="0"/>
        <v>10327</v>
      </c>
      <c r="G7" s="58">
        <v>0</v>
      </c>
      <c r="H7" s="89">
        <f>IF(C7=0,0,ROUNDDOWN(G7*C7,1))</f>
        <v>0</v>
      </c>
      <c r="I7" s="58">
        <v>0</v>
      </c>
      <c r="J7" s="90">
        <f>IF(C7=0,0,ROUNDDOWN(I7*C7,1))</f>
        <v>0</v>
      </c>
      <c r="K7" s="91">
        <f>경비목록표!E11</f>
        <v>39750</v>
      </c>
      <c r="L7" s="92">
        <f>IF(C7=0,0,ROUNDDOWN(K7*C7,1))</f>
        <v>10327</v>
      </c>
      <c r="M7" s="23" t="s">
        <v>2301</v>
      </c>
      <c r="N7" s="17" t="s">
        <v>2299</v>
      </c>
      <c r="O7" s="7" t="s">
        <v>2300</v>
      </c>
      <c r="P7" s="7" t="s">
        <v>1011</v>
      </c>
      <c r="Z7" s="3" t="str">
        <f ca="1">HYPERLINK("#"&amp;경비목록표!G2&amp;"!A"&amp;ROW(경비목록표!A11),"S00114 →")</f>
        <v>S00114 →</v>
      </c>
    </row>
    <row r="8" spans="1:26" ht="28.7" customHeight="1" x14ac:dyDescent="0.3">
      <c r="A8" s="10" t="s">
        <v>598</v>
      </c>
      <c r="B8" s="10"/>
      <c r="C8" s="85">
        <v>1</v>
      </c>
      <c r="D8" s="32" t="s">
        <v>565</v>
      </c>
      <c r="E8" s="62">
        <f t="shared" si="0"/>
        <v>49479.1</v>
      </c>
      <c r="F8" s="90">
        <f t="shared" si="0"/>
        <v>49479.1</v>
      </c>
      <c r="G8" s="91">
        <f>환율및기초자료!G7</f>
        <v>49479.1</v>
      </c>
      <c r="H8" s="93">
        <f>IF(C8=0,0,ROUNDDOWN(G8*C8,1))</f>
        <v>49479.1</v>
      </c>
      <c r="I8" s="58">
        <v>0</v>
      </c>
      <c r="J8" s="89">
        <f>IF(C8=0,0,ROUNDDOWN(I8*C8,1))</f>
        <v>0</v>
      </c>
      <c r="K8" s="58">
        <v>0</v>
      </c>
      <c r="L8" s="90">
        <f>IF(C8=0,0,ROUNDDOWN(K8*C8,1))</f>
        <v>0</v>
      </c>
      <c r="M8" s="23" t="s">
        <v>2304</v>
      </c>
      <c r="N8" s="17" t="s">
        <v>2302</v>
      </c>
      <c r="O8" s="7" t="s">
        <v>2303</v>
      </c>
      <c r="P8" s="7" t="s">
        <v>1011</v>
      </c>
      <c r="Z8" s="3" t="str">
        <f ca="1">HYPERLINK("#"&amp;환율및기초자료!I2&amp;"!A"&amp;ROW(환율및기초자료!A7),"L00039 →")</f>
        <v>L00039 →</v>
      </c>
    </row>
    <row r="9" spans="1:26" ht="28.7" customHeight="1" x14ac:dyDescent="0.3">
      <c r="A9" s="10" t="s">
        <v>479</v>
      </c>
      <c r="B9" s="10" t="s">
        <v>480</v>
      </c>
      <c r="C9" s="85">
        <v>5.0999999999999996</v>
      </c>
      <c r="D9" s="32" t="s">
        <v>476</v>
      </c>
      <c r="E9" s="62">
        <f t="shared" si="0"/>
        <v>1359</v>
      </c>
      <c r="F9" s="89">
        <f t="shared" si="0"/>
        <v>6930.9</v>
      </c>
      <c r="G9" s="58">
        <v>0</v>
      </c>
      <c r="H9" s="90">
        <f>IF(C9=0,0,ROUNDDOWN(G9*C9,1))</f>
        <v>0</v>
      </c>
      <c r="I9" s="91">
        <f>재료비목록표!E21</f>
        <v>1359</v>
      </c>
      <c r="J9" s="93">
        <f>IF(C9=0,0,ROUNDDOWN(I9*C9,1))</f>
        <v>6930.9</v>
      </c>
      <c r="K9" s="58">
        <v>0</v>
      </c>
      <c r="L9" s="90">
        <f>IF(C9=0,0,ROUNDDOWN(K9*C9,1))</f>
        <v>0</v>
      </c>
      <c r="M9" s="23" t="s">
        <v>2307</v>
      </c>
      <c r="N9" s="17" t="s">
        <v>2305</v>
      </c>
      <c r="O9" s="7" t="s">
        <v>2306</v>
      </c>
      <c r="P9" s="7" t="s">
        <v>1011</v>
      </c>
      <c r="Q9" s="7" t="s">
        <v>996</v>
      </c>
      <c r="Z9" s="3" t="str">
        <f ca="1">HYPERLINK("#"&amp;재료비목록표!G2&amp;"!A"&amp;ROW(재료비목록표!A21),"M00303 →")</f>
        <v>M00303 →</v>
      </c>
    </row>
    <row r="10" spans="1:26" ht="28.7" customHeight="1" x14ac:dyDescent="0.3">
      <c r="A10" s="10" t="s">
        <v>439</v>
      </c>
      <c r="B10" s="10" t="s">
        <v>2308</v>
      </c>
      <c r="C10" s="85">
        <v>20</v>
      </c>
      <c r="D10" s="32" t="s">
        <v>441</v>
      </c>
      <c r="E10" s="62">
        <f t="shared" si="0"/>
        <v>6930.9</v>
      </c>
      <c r="F10" s="89">
        <f t="shared" si="0"/>
        <v>1386.1</v>
      </c>
      <c r="G10" s="13">
        <v>0</v>
      </c>
      <c r="H10" s="89">
        <f>IF(C10=0,0,ROUNDDOWN(G10*C10/100,1))</f>
        <v>0</v>
      </c>
      <c r="I10" s="94">
        <f>J9</f>
        <v>6930.9</v>
      </c>
      <c r="J10" s="90">
        <f>IF(C10=0,0,ROUNDDOWN(I10*C10/100,1))</f>
        <v>1386.1</v>
      </c>
      <c r="K10" s="22">
        <v>0</v>
      </c>
      <c r="L10" s="90">
        <f>IF(C10=0,0,ROUNDDOWN(K10*C10/100,1))</f>
        <v>0</v>
      </c>
      <c r="M10" s="23"/>
      <c r="N10" s="17" t="s">
        <v>1004</v>
      </c>
      <c r="O10" s="7" t="s">
        <v>1005</v>
      </c>
      <c r="P10" s="7" t="s">
        <v>1011</v>
      </c>
    </row>
    <row r="11" spans="1:26" ht="28.7" customHeight="1" x14ac:dyDescent="0.3">
      <c r="A11" s="23" t="s">
        <v>6</v>
      </c>
      <c r="B11" s="56"/>
      <c r="C11" s="56"/>
      <c r="D11" s="56"/>
      <c r="E11" s="56"/>
      <c r="F11" s="54">
        <f>J11+H11+L11</f>
        <v>68123</v>
      </c>
      <c r="G11" s="56"/>
      <c r="H11" s="54">
        <f>ROUNDDOWN(SUMIF(P7:P10,O11,H7:H10),0)</f>
        <v>49479</v>
      </c>
      <c r="I11" s="56"/>
      <c r="J11" s="54">
        <f>ROUNDDOWN(SUMIF(P7:P10,O11,J7:J10),0)</f>
        <v>8317</v>
      </c>
      <c r="K11" s="56"/>
      <c r="L11" s="54">
        <f>ROUNDDOWN(SUMIF(P7:P10,O11,L7:L10),0)</f>
        <v>10327</v>
      </c>
      <c r="M11" s="56"/>
      <c r="O11" s="7" t="s">
        <v>1011</v>
      </c>
    </row>
    <row r="12" spans="1:26" ht="28.7" customHeight="1" x14ac:dyDescent="0.3">
      <c r="A12" s="82" t="s">
        <v>304</v>
      </c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97" t="str">
        <f>HYPERLINK("#N"&amp;ROW(N18),"_x0005_`BDCOD|X00004_x0007_`POSS|"&amp;ROW(N14)&amp;"_x0007_`POSE|"&amp;ROW(N18)&amp;"_x0007_`")</f>
        <v>_x0005_`BDCOD|X00004_x0007_`POSS|14_x0007_`POSE|18_x0007_`</v>
      </c>
    </row>
    <row r="13" spans="1:26" ht="28.7" customHeight="1" x14ac:dyDescent="0.3">
      <c r="A13" s="43" t="s">
        <v>306</v>
      </c>
      <c r="B13" s="43"/>
      <c r="C13" s="84"/>
      <c r="D13" s="87" t="s">
        <v>302</v>
      </c>
      <c r="E13" s="84"/>
      <c r="F13" s="84"/>
      <c r="G13" s="84"/>
      <c r="H13" s="84"/>
      <c r="I13" s="84"/>
      <c r="J13" s="84"/>
      <c r="K13" s="84"/>
      <c r="L13" s="84"/>
      <c r="M13" s="87" t="s">
        <v>307</v>
      </c>
      <c r="O13" s="7" t="s">
        <v>307</v>
      </c>
    </row>
    <row r="14" spans="1:26" ht="28.7" customHeight="1" x14ac:dyDescent="0.3">
      <c r="A14" s="10" t="s">
        <v>315</v>
      </c>
      <c r="B14" s="10" t="s">
        <v>320</v>
      </c>
      <c r="C14" s="85">
        <v>0.20849999999999999</v>
      </c>
      <c r="D14" s="32" t="s">
        <v>608</v>
      </c>
      <c r="E14" s="62">
        <f t="shared" ref="E14:F18" si="1">I14+G14+K14</f>
        <v>115116</v>
      </c>
      <c r="F14" s="89">
        <f t="shared" si="1"/>
        <v>24001.599999999999</v>
      </c>
      <c r="G14" s="58">
        <v>0</v>
      </c>
      <c r="H14" s="89">
        <f>IF(C14=0,0,ROUNDDOWN(G14*C14,1))</f>
        <v>0</v>
      </c>
      <c r="I14" s="58">
        <v>0</v>
      </c>
      <c r="J14" s="90">
        <f>IF(C14=0,0,ROUNDDOWN(I14*C14,1))</f>
        <v>0</v>
      </c>
      <c r="K14" s="91">
        <f>경비목록표!E14</f>
        <v>115116</v>
      </c>
      <c r="L14" s="92">
        <f>IF(C14=0,0,ROUNDDOWN(K14*C14,1))</f>
        <v>24001.599999999999</v>
      </c>
      <c r="M14" s="23" t="s">
        <v>2311</v>
      </c>
      <c r="N14" s="17" t="s">
        <v>2309</v>
      </c>
      <c r="O14" s="7" t="s">
        <v>2310</v>
      </c>
      <c r="P14" s="7" t="s">
        <v>1011</v>
      </c>
      <c r="Z14" s="3" t="str">
        <f ca="1">HYPERLINK("#"&amp;경비목록표!G2&amp;"!A"&amp;ROW(경비목록표!A14),"S00164 →")</f>
        <v>S00164 →</v>
      </c>
    </row>
    <row r="15" spans="1:26" ht="28.7" customHeight="1" x14ac:dyDescent="0.3">
      <c r="A15" s="10" t="s">
        <v>324</v>
      </c>
      <c r="B15" s="10" t="s">
        <v>320</v>
      </c>
      <c r="C15" s="85">
        <v>0.66010000000000002</v>
      </c>
      <c r="D15" s="32" t="s">
        <v>608</v>
      </c>
      <c r="E15" s="62">
        <f t="shared" si="1"/>
        <v>16817</v>
      </c>
      <c r="F15" s="89">
        <f t="shared" si="1"/>
        <v>11100.9</v>
      </c>
      <c r="G15" s="58">
        <v>0</v>
      </c>
      <c r="H15" s="89">
        <f>IF(C15=0,0,ROUNDDOWN(G15*C15,1))</f>
        <v>0</v>
      </c>
      <c r="I15" s="58">
        <v>0</v>
      </c>
      <c r="J15" s="90">
        <f>IF(C15=0,0,ROUNDDOWN(I15*C15,1))</f>
        <v>0</v>
      </c>
      <c r="K15" s="91">
        <f>경비목록표!E7</f>
        <v>16817</v>
      </c>
      <c r="L15" s="92">
        <f>IF(C15=0,0,ROUNDDOWN(K15*C15,1))</f>
        <v>11100.9</v>
      </c>
      <c r="M15" s="23" t="s">
        <v>2314</v>
      </c>
      <c r="N15" s="17" t="s">
        <v>2312</v>
      </c>
      <c r="O15" s="7" t="s">
        <v>2313</v>
      </c>
      <c r="P15" s="7" t="s">
        <v>1011</v>
      </c>
      <c r="Z15" s="3" t="str">
        <f ca="1">HYPERLINK("#"&amp;경비목록표!G2&amp;"!A"&amp;ROW(경비목록표!A7),"S00008 →")</f>
        <v>S00008 →</v>
      </c>
    </row>
    <row r="16" spans="1:26" ht="28.7" customHeight="1" x14ac:dyDescent="0.3">
      <c r="A16" s="10" t="s">
        <v>595</v>
      </c>
      <c r="B16" s="10"/>
      <c r="C16" s="85">
        <v>1</v>
      </c>
      <c r="D16" s="32" t="s">
        <v>565</v>
      </c>
      <c r="E16" s="62">
        <f t="shared" si="1"/>
        <v>57077.2</v>
      </c>
      <c r="F16" s="90">
        <f t="shared" si="1"/>
        <v>57077.2</v>
      </c>
      <c r="G16" s="91">
        <f>환율및기초자료!G6</f>
        <v>57077.2</v>
      </c>
      <c r="H16" s="93">
        <f>IF(C16=0,0,ROUNDDOWN(G16*C16,1))</f>
        <v>57077.2</v>
      </c>
      <c r="I16" s="58">
        <v>0</v>
      </c>
      <c r="J16" s="89">
        <f>IF(C16=0,0,ROUNDDOWN(I16*C16,1))</f>
        <v>0</v>
      </c>
      <c r="K16" s="58">
        <v>0</v>
      </c>
      <c r="L16" s="90">
        <f>IF(C16=0,0,ROUNDDOWN(K16*C16,1))</f>
        <v>0</v>
      </c>
      <c r="M16" s="23" t="s">
        <v>2317</v>
      </c>
      <c r="N16" s="17" t="s">
        <v>2315</v>
      </c>
      <c r="O16" s="7" t="s">
        <v>2316</v>
      </c>
      <c r="P16" s="7" t="s">
        <v>1011</v>
      </c>
      <c r="Z16" s="3" t="str">
        <f ca="1">HYPERLINK("#"&amp;환율및기초자료!I2&amp;"!A"&amp;ROW(환율및기초자료!A6),"L00038 →")</f>
        <v>L00038 →</v>
      </c>
    </row>
    <row r="17" spans="1:26" ht="28.7" customHeight="1" x14ac:dyDescent="0.3">
      <c r="A17" s="10" t="s">
        <v>479</v>
      </c>
      <c r="B17" s="10" t="s">
        <v>480</v>
      </c>
      <c r="C17" s="85">
        <v>11.6</v>
      </c>
      <c r="D17" s="32" t="s">
        <v>476</v>
      </c>
      <c r="E17" s="62">
        <f t="shared" si="1"/>
        <v>1359</v>
      </c>
      <c r="F17" s="89">
        <f t="shared" si="1"/>
        <v>15764.4</v>
      </c>
      <c r="G17" s="58">
        <v>0</v>
      </c>
      <c r="H17" s="90">
        <f>IF(C17=0,0,ROUNDDOWN(G17*C17,1))</f>
        <v>0</v>
      </c>
      <c r="I17" s="91">
        <f>재료비목록표!E21</f>
        <v>1359</v>
      </c>
      <c r="J17" s="93">
        <f>IF(C17=0,0,ROUNDDOWN(I17*C17,1))</f>
        <v>15764.4</v>
      </c>
      <c r="K17" s="58">
        <v>0</v>
      </c>
      <c r="L17" s="90">
        <f>IF(C17=0,0,ROUNDDOWN(K17*C17,1))</f>
        <v>0</v>
      </c>
      <c r="M17" s="23" t="s">
        <v>2307</v>
      </c>
      <c r="N17" s="17" t="s">
        <v>2318</v>
      </c>
      <c r="O17" s="7" t="s">
        <v>2306</v>
      </c>
      <c r="P17" s="7" t="s">
        <v>1011</v>
      </c>
      <c r="Z17" s="3" t="str">
        <f ca="1">HYPERLINK("#"&amp;재료비목록표!G2&amp;"!A"&amp;ROW(재료비목록표!A21),"M00303 →")</f>
        <v>M00303 →</v>
      </c>
    </row>
    <row r="18" spans="1:26" ht="28.7" customHeight="1" x14ac:dyDescent="0.3">
      <c r="A18" s="10" t="s">
        <v>439</v>
      </c>
      <c r="B18" s="10" t="s">
        <v>440</v>
      </c>
      <c r="C18" s="85">
        <v>16</v>
      </c>
      <c r="D18" s="32" t="s">
        <v>441</v>
      </c>
      <c r="E18" s="62">
        <f t="shared" si="1"/>
        <v>15764.4</v>
      </c>
      <c r="F18" s="89">
        <f t="shared" si="1"/>
        <v>2522.3000000000002</v>
      </c>
      <c r="G18" s="58">
        <v>0</v>
      </c>
      <c r="H18" s="90">
        <f>IF(C18=0,0,ROUNDDOWN(G18*C18/100,1))</f>
        <v>0</v>
      </c>
      <c r="I18" s="91">
        <f>J17</f>
        <v>15764.4</v>
      </c>
      <c r="J18" s="93">
        <f>IF(C18=0,0,ROUNDDOWN(I18*C18/100,1))</f>
        <v>2522.3000000000002</v>
      </c>
      <c r="K18" s="58">
        <v>0</v>
      </c>
      <c r="L18" s="90">
        <f>IF(C18=0,0,ROUNDDOWN(K18*C18/100,1))</f>
        <v>0</v>
      </c>
      <c r="M18" s="23" t="s">
        <v>2321</v>
      </c>
      <c r="N18" s="17" t="s">
        <v>2319</v>
      </c>
      <c r="O18" s="7" t="s">
        <v>2320</v>
      </c>
      <c r="P18" s="7" t="s">
        <v>1011</v>
      </c>
      <c r="Z18" s="3" t="str">
        <f ca="1">HYPERLINK("#"&amp;재료비목록표!G2&amp;"!A"&amp;ROW(재료비목록표!A11),"M00109 →")</f>
        <v>M00109 →</v>
      </c>
    </row>
    <row r="19" spans="1:26" ht="28.7" customHeight="1" x14ac:dyDescent="0.3">
      <c r="A19" s="23" t="s">
        <v>6</v>
      </c>
      <c r="B19" s="56"/>
      <c r="C19" s="56"/>
      <c r="D19" s="56"/>
      <c r="E19" s="56"/>
      <c r="F19" s="54">
        <f>J19+H19+L19</f>
        <v>110465</v>
      </c>
      <c r="G19" s="56"/>
      <c r="H19" s="54">
        <f>ROUNDDOWN(SUMIF(P14:P18,O19,H14:H18),0)</f>
        <v>57077</v>
      </c>
      <c r="I19" s="56"/>
      <c r="J19" s="54">
        <f>ROUNDDOWN(SUMIF(P14:P18,O19,J14:J18),0)</f>
        <v>18286</v>
      </c>
      <c r="K19" s="56"/>
      <c r="L19" s="54">
        <f>ROUNDDOWN(SUMIF(P14:P18,O19,L14:L18),0)</f>
        <v>35102</v>
      </c>
      <c r="M19" s="56"/>
      <c r="O19" s="7" t="s">
        <v>1011</v>
      </c>
    </row>
    <row r="20" spans="1:26" ht="28.7" customHeight="1" x14ac:dyDescent="0.3">
      <c r="A20" s="82" t="s">
        <v>308</v>
      </c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97" t="str">
        <f>HYPERLINK("#N"&amp;ROW(N25),"_x0005_`BDCOD|X00008_x0007_`POSS|"&amp;ROW(N22)&amp;"_x0007_`POSE|"&amp;ROW(N25)&amp;"_x0007_`")</f>
        <v>_x0005_`BDCOD|X00008_x0007_`POSS|22_x0007_`POSE|25_x0007_`</v>
      </c>
    </row>
    <row r="21" spans="1:26" ht="28.7" customHeight="1" x14ac:dyDescent="0.3">
      <c r="A21" s="43" t="s">
        <v>310</v>
      </c>
      <c r="B21" s="43" t="s">
        <v>311</v>
      </c>
      <c r="C21" s="84"/>
      <c r="D21" s="87" t="s">
        <v>302</v>
      </c>
      <c r="E21" s="84"/>
      <c r="F21" s="84"/>
      <c r="G21" s="84"/>
      <c r="H21" s="84"/>
      <c r="I21" s="84"/>
      <c r="J21" s="84"/>
      <c r="K21" s="84"/>
      <c r="L21" s="84"/>
      <c r="M21" s="87" t="s">
        <v>312</v>
      </c>
      <c r="O21" s="7" t="s">
        <v>312</v>
      </c>
    </row>
    <row r="22" spans="1:26" ht="28.7" customHeight="1" x14ac:dyDescent="0.3">
      <c r="A22" s="10" t="s">
        <v>310</v>
      </c>
      <c r="B22" s="10" t="s">
        <v>311</v>
      </c>
      <c r="C22" s="85">
        <v>0.18110000000000001</v>
      </c>
      <c r="D22" s="32" t="s">
        <v>608</v>
      </c>
      <c r="E22" s="62">
        <f t="shared" ref="E22:F25" si="2">I22+G22+K22</f>
        <v>189332</v>
      </c>
      <c r="F22" s="89">
        <f t="shared" si="2"/>
        <v>34288</v>
      </c>
      <c r="G22" s="58">
        <v>0</v>
      </c>
      <c r="H22" s="89">
        <f>IF(C22=0,0,ROUNDDOWN(G22*C22,1))</f>
        <v>0</v>
      </c>
      <c r="I22" s="58">
        <v>0</v>
      </c>
      <c r="J22" s="90">
        <f>IF(C22=0,0,ROUNDDOWN(I22*C22,1))</f>
        <v>0</v>
      </c>
      <c r="K22" s="91">
        <f>경비목록표!E4</f>
        <v>189332</v>
      </c>
      <c r="L22" s="92">
        <f>IF(C22=0,0,ROUNDDOWN(K22*C22,1))</f>
        <v>34288</v>
      </c>
      <c r="M22" s="23" t="s">
        <v>2324</v>
      </c>
      <c r="N22" s="17" t="s">
        <v>2322</v>
      </c>
      <c r="O22" s="7" t="s">
        <v>2323</v>
      </c>
      <c r="P22" s="7" t="s">
        <v>1011</v>
      </c>
      <c r="Z22" s="3" t="str">
        <f ca="1">HYPERLINK("#"&amp;경비목록표!G2&amp;"!A"&amp;ROW(경비목록표!A4),"S00001 →")</f>
        <v>S00001 →</v>
      </c>
    </row>
    <row r="23" spans="1:26" ht="28.7" customHeight="1" x14ac:dyDescent="0.3">
      <c r="A23" s="10" t="s">
        <v>595</v>
      </c>
      <c r="B23" s="10"/>
      <c r="C23" s="85">
        <v>1</v>
      </c>
      <c r="D23" s="32" t="s">
        <v>565</v>
      </c>
      <c r="E23" s="62">
        <f t="shared" si="2"/>
        <v>57077.2</v>
      </c>
      <c r="F23" s="90">
        <f t="shared" si="2"/>
        <v>57077.2</v>
      </c>
      <c r="G23" s="91">
        <f>환율및기초자료!G6</f>
        <v>57077.2</v>
      </c>
      <c r="H23" s="93">
        <f>IF(C23=0,0,ROUNDDOWN(G23*C23,1))</f>
        <v>57077.2</v>
      </c>
      <c r="I23" s="58">
        <v>0</v>
      </c>
      <c r="J23" s="89">
        <f>IF(C23=0,0,ROUNDDOWN(I23*C23,1))</f>
        <v>0</v>
      </c>
      <c r="K23" s="58">
        <v>0</v>
      </c>
      <c r="L23" s="90">
        <f>IF(C23=0,0,ROUNDDOWN(K23*C23,1))</f>
        <v>0</v>
      </c>
      <c r="M23" s="23" t="s">
        <v>2317</v>
      </c>
      <c r="N23" s="17" t="s">
        <v>2315</v>
      </c>
      <c r="O23" s="7" t="s">
        <v>2316</v>
      </c>
      <c r="P23" s="7" t="s">
        <v>1011</v>
      </c>
      <c r="Z23" s="3" t="str">
        <f ca="1">HYPERLINK("#"&amp;환율및기초자료!I2&amp;"!A"&amp;ROW(환율및기초자료!A6),"L00038 →")</f>
        <v>L00038 →</v>
      </c>
    </row>
    <row r="24" spans="1:26" ht="28.7" customHeight="1" x14ac:dyDescent="0.3">
      <c r="A24" s="10" t="s">
        <v>479</v>
      </c>
      <c r="B24" s="10" t="s">
        <v>480</v>
      </c>
      <c r="C24" s="85">
        <v>25</v>
      </c>
      <c r="D24" s="32" t="s">
        <v>476</v>
      </c>
      <c r="E24" s="62">
        <f t="shared" si="2"/>
        <v>1359</v>
      </c>
      <c r="F24" s="89">
        <f t="shared" si="2"/>
        <v>33975</v>
      </c>
      <c r="G24" s="58">
        <v>0</v>
      </c>
      <c r="H24" s="90">
        <f>IF(C24=0,0,ROUNDDOWN(G24*C24,1))</f>
        <v>0</v>
      </c>
      <c r="I24" s="91">
        <f>재료비목록표!E21</f>
        <v>1359</v>
      </c>
      <c r="J24" s="93">
        <f>IF(C24=0,0,ROUNDDOWN(I24*C24,1))</f>
        <v>33975</v>
      </c>
      <c r="K24" s="58">
        <v>0</v>
      </c>
      <c r="L24" s="90">
        <f>IF(C24=0,0,ROUNDDOWN(K24*C24,1))</f>
        <v>0</v>
      </c>
      <c r="M24" s="23" t="s">
        <v>2307</v>
      </c>
      <c r="N24" s="17" t="s">
        <v>2305</v>
      </c>
      <c r="O24" s="7" t="s">
        <v>2306</v>
      </c>
      <c r="P24" s="7" t="s">
        <v>1011</v>
      </c>
      <c r="Q24" s="7" t="s">
        <v>996</v>
      </c>
      <c r="Z24" s="3" t="str">
        <f ca="1">HYPERLINK("#"&amp;재료비목록표!G2&amp;"!A"&amp;ROW(재료비목록표!A21),"M00303 →")</f>
        <v>M00303 →</v>
      </c>
    </row>
    <row r="25" spans="1:26" ht="28.7" customHeight="1" x14ac:dyDescent="0.3">
      <c r="A25" s="10" t="s">
        <v>439</v>
      </c>
      <c r="B25" s="10" t="s">
        <v>2308</v>
      </c>
      <c r="C25" s="85">
        <v>16</v>
      </c>
      <c r="D25" s="32" t="s">
        <v>441</v>
      </c>
      <c r="E25" s="62">
        <f t="shared" si="2"/>
        <v>33975</v>
      </c>
      <c r="F25" s="89">
        <f t="shared" si="2"/>
        <v>5436</v>
      </c>
      <c r="G25" s="13">
        <v>0</v>
      </c>
      <c r="H25" s="89">
        <f>IF(C25=0,0,ROUNDDOWN(G25*C25/100,1))</f>
        <v>0</v>
      </c>
      <c r="I25" s="94">
        <f>J24</f>
        <v>33975</v>
      </c>
      <c r="J25" s="90">
        <f>IF(C25=0,0,ROUNDDOWN(I25*C25/100,1))</f>
        <v>5436</v>
      </c>
      <c r="K25" s="22">
        <v>0</v>
      </c>
      <c r="L25" s="90">
        <f>IF(C25=0,0,ROUNDDOWN(K25*C25/100,1))</f>
        <v>0</v>
      </c>
      <c r="M25" s="23"/>
      <c r="N25" s="17" t="s">
        <v>1004</v>
      </c>
      <c r="O25" s="7" t="s">
        <v>1005</v>
      </c>
      <c r="P25" s="7" t="s">
        <v>1011</v>
      </c>
    </row>
    <row r="26" spans="1:26" ht="28.7" customHeight="1" x14ac:dyDescent="0.3">
      <c r="A26" s="23" t="s">
        <v>6</v>
      </c>
      <c r="B26" s="56"/>
      <c r="C26" s="56"/>
      <c r="D26" s="56"/>
      <c r="E26" s="56"/>
      <c r="F26" s="54">
        <f>J26+H26+L26</f>
        <v>130776</v>
      </c>
      <c r="G26" s="56"/>
      <c r="H26" s="54">
        <f>ROUNDDOWN(SUMIF(P22:P25,O26,H22:H25),0)</f>
        <v>57077</v>
      </c>
      <c r="I26" s="56"/>
      <c r="J26" s="54">
        <f>ROUNDDOWN(SUMIF(P22:P25,O26,J22:J25),0)</f>
        <v>39411</v>
      </c>
      <c r="K26" s="56"/>
      <c r="L26" s="54">
        <f>ROUNDDOWN(SUMIF(P22:P25,O26,L22:L25),0)</f>
        <v>34288</v>
      </c>
      <c r="M26" s="56"/>
      <c r="O26" s="7" t="s">
        <v>1011</v>
      </c>
    </row>
    <row r="27" spans="1:26" ht="28.7" customHeight="1" x14ac:dyDescent="0.3">
      <c r="A27" s="82" t="s">
        <v>313</v>
      </c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97" t="str">
        <f>HYPERLINK("#N"&amp;ROW(N32),"_x0005_`BDCOD|X00021_x0007_`POSS|"&amp;ROW(N29)&amp;"_x0007_`POSE|"&amp;ROW(N32)&amp;"_x0007_`")</f>
        <v>_x0005_`BDCOD|X00021_x0007_`POSS|29_x0007_`POSE|32_x0007_`</v>
      </c>
    </row>
    <row r="28" spans="1:26" ht="28.7" customHeight="1" x14ac:dyDescent="0.3">
      <c r="A28" s="43" t="s">
        <v>315</v>
      </c>
      <c r="B28" s="43" t="s">
        <v>316</v>
      </c>
      <c r="C28" s="84"/>
      <c r="D28" s="87" t="s">
        <v>302</v>
      </c>
      <c r="E28" s="84"/>
      <c r="F28" s="84"/>
      <c r="G28" s="84"/>
      <c r="H28" s="84"/>
      <c r="I28" s="84"/>
      <c r="J28" s="84"/>
      <c r="K28" s="84"/>
      <c r="L28" s="84"/>
      <c r="M28" s="87" t="s">
        <v>317</v>
      </c>
      <c r="O28" s="7" t="s">
        <v>317</v>
      </c>
    </row>
    <row r="29" spans="1:26" ht="28.7" customHeight="1" x14ac:dyDescent="0.3">
      <c r="A29" s="10" t="s">
        <v>315</v>
      </c>
      <c r="B29" s="10" t="s">
        <v>316</v>
      </c>
      <c r="C29" s="85">
        <v>0.20849999999999999</v>
      </c>
      <c r="D29" s="32" t="s">
        <v>608</v>
      </c>
      <c r="E29" s="62">
        <f t="shared" ref="E29:F32" si="3">I29+G29+K29</f>
        <v>82625</v>
      </c>
      <c r="F29" s="89">
        <f t="shared" si="3"/>
        <v>17227.3</v>
      </c>
      <c r="G29" s="58">
        <v>0</v>
      </c>
      <c r="H29" s="89">
        <f>IF(C29=0,0,ROUNDDOWN(G29*C29,1))</f>
        <v>0</v>
      </c>
      <c r="I29" s="58">
        <v>0</v>
      </c>
      <c r="J29" s="90">
        <f>IF(C29=0,0,ROUNDDOWN(I29*C29,1))</f>
        <v>0</v>
      </c>
      <c r="K29" s="91">
        <f>경비목록표!E13</f>
        <v>82625</v>
      </c>
      <c r="L29" s="92">
        <f>IF(C29=0,0,ROUNDDOWN(K29*C29,1))</f>
        <v>17227.3</v>
      </c>
      <c r="M29" s="23" t="s">
        <v>2327</v>
      </c>
      <c r="N29" s="17" t="s">
        <v>2325</v>
      </c>
      <c r="O29" s="7" t="s">
        <v>2326</v>
      </c>
      <c r="P29" s="7" t="s">
        <v>1011</v>
      </c>
      <c r="Z29" s="3" t="str">
        <f ca="1">HYPERLINK("#"&amp;경비목록표!G2&amp;"!A"&amp;ROW(경비목록표!A13),"S00163 →")</f>
        <v>S00163 →</v>
      </c>
    </row>
    <row r="30" spans="1:26" ht="28.7" customHeight="1" x14ac:dyDescent="0.3">
      <c r="A30" s="10" t="s">
        <v>595</v>
      </c>
      <c r="B30" s="10"/>
      <c r="C30" s="85">
        <v>1</v>
      </c>
      <c r="D30" s="32" t="s">
        <v>565</v>
      </c>
      <c r="E30" s="62">
        <f t="shared" si="3"/>
        <v>57077.2</v>
      </c>
      <c r="F30" s="90">
        <f t="shared" si="3"/>
        <v>57077.2</v>
      </c>
      <c r="G30" s="91">
        <f>환율및기초자료!G6</f>
        <v>57077.2</v>
      </c>
      <c r="H30" s="93">
        <f>IF(C30=0,0,ROUNDDOWN(G30*C30,1))</f>
        <v>57077.2</v>
      </c>
      <c r="I30" s="58">
        <v>0</v>
      </c>
      <c r="J30" s="89">
        <f>IF(C30=0,0,ROUNDDOWN(I30*C30,1))</f>
        <v>0</v>
      </c>
      <c r="K30" s="58">
        <v>0</v>
      </c>
      <c r="L30" s="90">
        <f>IF(C30=0,0,ROUNDDOWN(K30*C30,1))</f>
        <v>0</v>
      </c>
      <c r="M30" s="23" t="s">
        <v>2317</v>
      </c>
      <c r="N30" s="17" t="s">
        <v>2315</v>
      </c>
      <c r="O30" s="7" t="s">
        <v>2316</v>
      </c>
      <c r="P30" s="7" t="s">
        <v>1011</v>
      </c>
      <c r="Z30" s="3" t="str">
        <f ca="1">HYPERLINK("#"&amp;환율및기초자료!I2&amp;"!A"&amp;ROW(환율및기초자료!A6),"L00038 →")</f>
        <v>L00038 →</v>
      </c>
    </row>
    <row r="31" spans="1:26" ht="28.7" customHeight="1" x14ac:dyDescent="0.3">
      <c r="A31" s="10" t="s">
        <v>479</v>
      </c>
      <c r="B31" s="10" t="s">
        <v>480</v>
      </c>
      <c r="C31" s="85">
        <v>9.9</v>
      </c>
      <c r="D31" s="32" t="s">
        <v>476</v>
      </c>
      <c r="E31" s="62">
        <f t="shared" si="3"/>
        <v>1359</v>
      </c>
      <c r="F31" s="89">
        <f t="shared" si="3"/>
        <v>13454.1</v>
      </c>
      <c r="G31" s="58">
        <v>0</v>
      </c>
      <c r="H31" s="90">
        <f>IF(C31=0,0,ROUNDDOWN(G31*C31,1))</f>
        <v>0</v>
      </c>
      <c r="I31" s="91">
        <f>재료비목록표!E21</f>
        <v>1359</v>
      </c>
      <c r="J31" s="93">
        <f>IF(C31=0,0,ROUNDDOWN(I31*C31,1))</f>
        <v>13454.1</v>
      </c>
      <c r="K31" s="58">
        <v>0</v>
      </c>
      <c r="L31" s="90">
        <f>IF(C31=0,0,ROUNDDOWN(K31*C31,1))</f>
        <v>0</v>
      </c>
      <c r="M31" s="23" t="s">
        <v>2307</v>
      </c>
      <c r="N31" s="17" t="s">
        <v>2305</v>
      </c>
      <c r="O31" s="7" t="s">
        <v>2306</v>
      </c>
      <c r="P31" s="7" t="s">
        <v>1011</v>
      </c>
      <c r="Q31" s="7" t="s">
        <v>996</v>
      </c>
      <c r="Z31" s="3" t="str">
        <f ca="1">HYPERLINK("#"&amp;재료비목록표!G2&amp;"!A"&amp;ROW(재료비목록표!A21),"M00303 →")</f>
        <v>M00303 →</v>
      </c>
    </row>
    <row r="32" spans="1:26" ht="28.7" customHeight="1" x14ac:dyDescent="0.3">
      <c r="A32" s="10" t="s">
        <v>439</v>
      </c>
      <c r="B32" s="10" t="s">
        <v>2308</v>
      </c>
      <c r="C32" s="85">
        <v>22</v>
      </c>
      <c r="D32" s="32" t="s">
        <v>441</v>
      </c>
      <c r="E32" s="62">
        <f t="shared" si="3"/>
        <v>13454.1</v>
      </c>
      <c r="F32" s="89">
        <f t="shared" si="3"/>
        <v>2959.9</v>
      </c>
      <c r="G32" s="13">
        <v>0</v>
      </c>
      <c r="H32" s="89">
        <f>IF(C32=0,0,ROUNDDOWN(G32*C32/100,1))</f>
        <v>0</v>
      </c>
      <c r="I32" s="94">
        <f>J31</f>
        <v>13454.1</v>
      </c>
      <c r="J32" s="90">
        <f>IF(C32=0,0,ROUNDDOWN(I32*C32/100,1))</f>
        <v>2959.9</v>
      </c>
      <c r="K32" s="22">
        <v>0</v>
      </c>
      <c r="L32" s="90">
        <f>IF(C32=0,0,ROUNDDOWN(K32*C32/100,1))</f>
        <v>0</v>
      </c>
      <c r="M32" s="23"/>
      <c r="N32" s="17" t="s">
        <v>1004</v>
      </c>
      <c r="O32" s="7" t="s">
        <v>1005</v>
      </c>
      <c r="P32" s="7" t="s">
        <v>1011</v>
      </c>
    </row>
    <row r="33" spans="1:26" ht="28.7" customHeight="1" x14ac:dyDescent="0.3">
      <c r="A33" s="23" t="s">
        <v>6</v>
      </c>
      <c r="B33" s="56"/>
      <c r="C33" s="56"/>
      <c r="D33" s="56"/>
      <c r="E33" s="56"/>
      <c r="F33" s="54">
        <f>J33+H33+L33</f>
        <v>90718</v>
      </c>
      <c r="G33" s="56"/>
      <c r="H33" s="54">
        <f>ROUNDDOWN(SUMIF(P29:P32,O33,H29:H32),0)</f>
        <v>57077</v>
      </c>
      <c r="I33" s="56"/>
      <c r="J33" s="54">
        <f>ROUNDDOWN(SUMIF(P29:P32,O33,J29:J32),0)</f>
        <v>16414</v>
      </c>
      <c r="K33" s="56"/>
      <c r="L33" s="54">
        <f>ROUNDDOWN(SUMIF(P29:P32,O33,L29:L32),0)</f>
        <v>17227</v>
      </c>
      <c r="M33" s="56"/>
      <c r="O33" s="7" t="s">
        <v>1011</v>
      </c>
    </row>
    <row r="34" spans="1:26" ht="28.7" customHeight="1" x14ac:dyDescent="0.3">
      <c r="A34" s="82" t="s">
        <v>318</v>
      </c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97" t="str">
        <f>HYPERLINK("#N"&amp;ROW(N39),"_x0005_`BDCOD|X00022_x0007_`POSS|"&amp;ROW(N36)&amp;"_x0007_`POSE|"&amp;ROW(N39)&amp;"_x0007_`")</f>
        <v>_x0005_`BDCOD|X00022_x0007_`POSS|36_x0007_`POSE|39_x0007_`</v>
      </c>
    </row>
    <row r="35" spans="1:26" ht="28.7" customHeight="1" x14ac:dyDescent="0.3">
      <c r="A35" s="43" t="s">
        <v>315</v>
      </c>
      <c r="B35" s="43" t="s">
        <v>320</v>
      </c>
      <c r="C35" s="84"/>
      <c r="D35" s="87" t="s">
        <v>302</v>
      </c>
      <c r="E35" s="84"/>
      <c r="F35" s="84"/>
      <c r="G35" s="84"/>
      <c r="H35" s="84"/>
      <c r="I35" s="84"/>
      <c r="J35" s="84"/>
      <c r="K35" s="84"/>
      <c r="L35" s="84"/>
      <c r="M35" s="87" t="s">
        <v>321</v>
      </c>
      <c r="O35" s="7" t="s">
        <v>321</v>
      </c>
    </row>
    <row r="36" spans="1:26" ht="28.7" customHeight="1" x14ac:dyDescent="0.3">
      <c r="A36" s="10" t="s">
        <v>315</v>
      </c>
      <c r="B36" s="10" t="s">
        <v>320</v>
      </c>
      <c r="C36" s="85">
        <v>0.20849999999999999</v>
      </c>
      <c r="D36" s="32" t="s">
        <v>608</v>
      </c>
      <c r="E36" s="62">
        <f t="shared" ref="E36:F39" si="4">I36+G36+K36</f>
        <v>115116</v>
      </c>
      <c r="F36" s="89">
        <f t="shared" si="4"/>
        <v>24001.599999999999</v>
      </c>
      <c r="G36" s="58">
        <v>0</v>
      </c>
      <c r="H36" s="89">
        <f>IF(C36=0,0,ROUNDDOWN(G36*C36,1))</f>
        <v>0</v>
      </c>
      <c r="I36" s="58">
        <v>0</v>
      </c>
      <c r="J36" s="90">
        <f>IF(C36=0,0,ROUNDDOWN(I36*C36,1))</f>
        <v>0</v>
      </c>
      <c r="K36" s="91">
        <f>경비목록표!E14</f>
        <v>115116</v>
      </c>
      <c r="L36" s="92">
        <f>IF(C36=0,0,ROUNDDOWN(K36*C36,1))</f>
        <v>24001.599999999999</v>
      </c>
      <c r="M36" s="23" t="s">
        <v>2311</v>
      </c>
      <c r="N36" s="17" t="s">
        <v>2309</v>
      </c>
      <c r="O36" s="7" t="s">
        <v>2310</v>
      </c>
      <c r="P36" s="7" t="s">
        <v>1011</v>
      </c>
      <c r="Z36" s="3" t="str">
        <f ca="1">HYPERLINK("#"&amp;경비목록표!G2&amp;"!A"&amp;ROW(경비목록표!A14),"S00164 →")</f>
        <v>S00164 →</v>
      </c>
    </row>
    <row r="37" spans="1:26" ht="28.7" customHeight="1" x14ac:dyDescent="0.3">
      <c r="A37" s="10" t="s">
        <v>595</v>
      </c>
      <c r="B37" s="10"/>
      <c r="C37" s="85">
        <v>1</v>
      </c>
      <c r="D37" s="32" t="s">
        <v>565</v>
      </c>
      <c r="E37" s="62">
        <f t="shared" si="4"/>
        <v>57077.2</v>
      </c>
      <c r="F37" s="90">
        <f t="shared" si="4"/>
        <v>57077.2</v>
      </c>
      <c r="G37" s="91">
        <f>환율및기초자료!G6</f>
        <v>57077.2</v>
      </c>
      <c r="H37" s="93">
        <f>IF(C37=0,0,ROUNDDOWN(G37*C37,1))</f>
        <v>57077.2</v>
      </c>
      <c r="I37" s="58">
        <v>0</v>
      </c>
      <c r="J37" s="89">
        <f>IF(C37=0,0,ROUNDDOWN(I37*C37,1))</f>
        <v>0</v>
      </c>
      <c r="K37" s="58">
        <v>0</v>
      </c>
      <c r="L37" s="90">
        <f>IF(C37=0,0,ROUNDDOWN(K37*C37,1))</f>
        <v>0</v>
      </c>
      <c r="M37" s="23" t="s">
        <v>2317</v>
      </c>
      <c r="N37" s="17" t="s">
        <v>2315</v>
      </c>
      <c r="O37" s="7" t="s">
        <v>2316</v>
      </c>
      <c r="P37" s="7" t="s">
        <v>1011</v>
      </c>
      <c r="Z37" s="3" t="str">
        <f ca="1">HYPERLINK("#"&amp;환율및기초자료!I2&amp;"!A"&amp;ROW(환율및기초자료!A6),"L00038 →")</f>
        <v>L00038 →</v>
      </c>
    </row>
    <row r="38" spans="1:26" ht="28.7" customHeight="1" x14ac:dyDescent="0.3">
      <c r="A38" s="10" t="s">
        <v>479</v>
      </c>
      <c r="B38" s="10" t="s">
        <v>480</v>
      </c>
      <c r="C38" s="85">
        <v>11.6</v>
      </c>
      <c r="D38" s="32" t="s">
        <v>476</v>
      </c>
      <c r="E38" s="62">
        <f t="shared" si="4"/>
        <v>1359</v>
      </c>
      <c r="F38" s="89">
        <f t="shared" si="4"/>
        <v>15764.4</v>
      </c>
      <c r="G38" s="58">
        <v>0</v>
      </c>
      <c r="H38" s="90">
        <f>IF(C38=0,0,ROUNDDOWN(G38*C38,1))</f>
        <v>0</v>
      </c>
      <c r="I38" s="91">
        <f>재료비목록표!E21</f>
        <v>1359</v>
      </c>
      <c r="J38" s="93">
        <f>IF(C38=0,0,ROUNDDOWN(I38*C38,1))</f>
        <v>15764.4</v>
      </c>
      <c r="K38" s="58">
        <v>0</v>
      </c>
      <c r="L38" s="90">
        <f>IF(C38=0,0,ROUNDDOWN(K38*C38,1))</f>
        <v>0</v>
      </c>
      <c r="M38" s="23" t="s">
        <v>2307</v>
      </c>
      <c r="N38" s="17" t="s">
        <v>2305</v>
      </c>
      <c r="O38" s="7" t="s">
        <v>2306</v>
      </c>
      <c r="P38" s="7" t="s">
        <v>1011</v>
      </c>
      <c r="Q38" s="7" t="s">
        <v>996</v>
      </c>
      <c r="Z38" s="3" t="str">
        <f ca="1">HYPERLINK("#"&amp;재료비목록표!G2&amp;"!A"&amp;ROW(재료비목록표!A21),"M00303 →")</f>
        <v>M00303 →</v>
      </c>
    </row>
    <row r="39" spans="1:26" ht="28.7" customHeight="1" x14ac:dyDescent="0.3">
      <c r="A39" s="10" t="s">
        <v>439</v>
      </c>
      <c r="B39" s="10" t="s">
        <v>2308</v>
      </c>
      <c r="C39" s="85">
        <v>22</v>
      </c>
      <c r="D39" s="32" t="s">
        <v>441</v>
      </c>
      <c r="E39" s="62">
        <f t="shared" si="4"/>
        <v>15764.4</v>
      </c>
      <c r="F39" s="89">
        <f t="shared" si="4"/>
        <v>3468.1</v>
      </c>
      <c r="G39" s="13">
        <v>0</v>
      </c>
      <c r="H39" s="89">
        <f>IF(C39=0,0,ROUNDDOWN(G39*C39/100,1))</f>
        <v>0</v>
      </c>
      <c r="I39" s="94">
        <f>J38</f>
        <v>15764.4</v>
      </c>
      <c r="J39" s="90">
        <f>IF(C39=0,0,ROUNDDOWN(I39*C39/100,1))</f>
        <v>3468.1</v>
      </c>
      <c r="K39" s="22">
        <v>0</v>
      </c>
      <c r="L39" s="90">
        <f>IF(C39=0,0,ROUNDDOWN(K39*C39/100,1))</f>
        <v>0</v>
      </c>
      <c r="M39" s="23"/>
      <c r="N39" s="17" t="s">
        <v>1004</v>
      </c>
      <c r="O39" s="7" t="s">
        <v>1005</v>
      </c>
      <c r="P39" s="7" t="s">
        <v>1011</v>
      </c>
    </row>
    <row r="40" spans="1:26" ht="28.7" customHeight="1" x14ac:dyDescent="0.3">
      <c r="A40" s="23" t="s">
        <v>6</v>
      </c>
      <c r="B40" s="56"/>
      <c r="C40" s="56"/>
      <c r="D40" s="56"/>
      <c r="E40" s="56"/>
      <c r="F40" s="54">
        <f>J40+H40+L40</f>
        <v>100310</v>
      </c>
      <c r="G40" s="56"/>
      <c r="H40" s="54">
        <f>ROUNDDOWN(SUMIF(P36:P39,O40,H36:H39),0)</f>
        <v>57077</v>
      </c>
      <c r="I40" s="56"/>
      <c r="J40" s="54">
        <f>ROUNDDOWN(SUMIF(P36:P39,O40,J36:J39),0)</f>
        <v>19232</v>
      </c>
      <c r="K40" s="56"/>
      <c r="L40" s="54">
        <f>ROUNDDOWN(SUMIF(P36:P39,O40,L36:L39),0)</f>
        <v>24001</v>
      </c>
      <c r="M40" s="56"/>
      <c r="O40" s="7" t="s">
        <v>1011</v>
      </c>
    </row>
    <row r="41" spans="1:26" ht="28.7" customHeight="1" x14ac:dyDescent="0.3">
      <c r="A41" s="82" t="s">
        <v>322</v>
      </c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7" t="str">
        <f>HYPERLINK("#N"&amp;ROW(N43),"_x0005_`BDCOD|X00029_x0007_`POSS|"&amp;ROW(N43)&amp;"_x0007_`POSE|"&amp;ROW(N43)&amp;"_x0007_`")</f>
        <v>_x0005_`BDCOD|X00029_x0007_`POSS|43_x0007_`POSE|43_x0007_`</v>
      </c>
    </row>
    <row r="42" spans="1:26" ht="28.7" customHeight="1" x14ac:dyDescent="0.3">
      <c r="A42" s="43" t="s">
        <v>324</v>
      </c>
      <c r="B42" s="43" t="s">
        <v>320</v>
      </c>
      <c r="C42" s="84"/>
      <c r="D42" s="87" t="s">
        <v>302</v>
      </c>
      <c r="E42" s="84"/>
      <c r="F42" s="84"/>
      <c r="G42" s="84"/>
      <c r="H42" s="84"/>
      <c r="I42" s="84"/>
      <c r="J42" s="84"/>
      <c r="K42" s="84"/>
      <c r="L42" s="84"/>
      <c r="M42" s="87" t="s">
        <v>325</v>
      </c>
      <c r="O42" s="7" t="s">
        <v>325</v>
      </c>
    </row>
    <row r="43" spans="1:26" ht="28.7" customHeight="1" x14ac:dyDescent="0.3">
      <c r="A43" s="10" t="s">
        <v>324</v>
      </c>
      <c r="B43" s="10" t="s">
        <v>320</v>
      </c>
      <c r="C43" s="85">
        <v>0.66010000000000002</v>
      </c>
      <c r="D43" s="32" t="s">
        <v>608</v>
      </c>
      <c r="E43" s="62">
        <f>I43+G43+K43</f>
        <v>16817</v>
      </c>
      <c r="F43" s="89">
        <f>J43+H43+L43</f>
        <v>11100.9</v>
      </c>
      <c r="G43" s="58">
        <v>0</v>
      </c>
      <c r="H43" s="89">
        <f>IF(C43=0,0,ROUNDDOWN(G43*C43,1))</f>
        <v>0</v>
      </c>
      <c r="I43" s="58">
        <v>0</v>
      </c>
      <c r="J43" s="90">
        <f>IF(C43=0,0,ROUNDDOWN(I43*C43,1))</f>
        <v>0</v>
      </c>
      <c r="K43" s="91">
        <f>경비목록표!E7</f>
        <v>16817</v>
      </c>
      <c r="L43" s="92">
        <f>IF(C43=0,0,ROUNDDOWN(K43*C43,1))</f>
        <v>11100.9</v>
      </c>
      <c r="M43" s="23" t="s">
        <v>2314</v>
      </c>
      <c r="N43" s="17" t="s">
        <v>2312</v>
      </c>
      <c r="O43" s="7" t="s">
        <v>2313</v>
      </c>
      <c r="P43" s="7" t="s">
        <v>1011</v>
      </c>
      <c r="Z43" s="3" t="str">
        <f ca="1">HYPERLINK("#"&amp;경비목록표!G2&amp;"!A"&amp;ROW(경비목록표!A7),"S00008 →")</f>
        <v>S00008 →</v>
      </c>
    </row>
    <row r="44" spans="1:26" ht="28.7" customHeight="1" x14ac:dyDescent="0.3">
      <c r="A44" s="23" t="s">
        <v>6</v>
      </c>
      <c r="B44" s="56"/>
      <c r="C44" s="56"/>
      <c r="D44" s="56"/>
      <c r="E44" s="56"/>
      <c r="F44" s="54">
        <f>J44+H44+L44</f>
        <v>11100</v>
      </c>
      <c r="G44" s="56"/>
      <c r="H44" s="54">
        <f>ROUNDDOWN(SUMIF(P43:P43,O44,H43:H43),0)</f>
        <v>0</v>
      </c>
      <c r="I44" s="56"/>
      <c r="J44" s="54">
        <f>ROUNDDOWN(SUMIF(P43:P43,O44,J43:J43),0)</f>
        <v>0</v>
      </c>
      <c r="K44" s="56"/>
      <c r="L44" s="54">
        <f>ROUNDDOWN(SUMIF(P43:P43,O44,L43:L43),0)</f>
        <v>11100</v>
      </c>
      <c r="M44" s="56"/>
      <c r="O44" s="7" t="s">
        <v>1011</v>
      </c>
    </row>
    <row r="45" spans="1:26" ht="28.7" customHeight="1" x14ac:dyDescent="0.3">
      <c r="A45" s="82" t="s">
        <v>326</v>
      </c>
      <c r="B45" s="82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97" t="str">
        <f>HYPERLINK("#N"&amp;ROW(N47),"_x0005_`BDCOD|X00032_x0007_`POSS|"&amp;ROW(N47)&amp;"_x0007_`POSE|"&amp;ROW(N47)&amp;"_x0007_`")</f>
        <v>_x0005_`BDCOD|X00032_x0007_`POSS|47_x0007_`POSE|47_x0007_`</v>
      </c>
    </row>
    <row r="46" spans="1:26" ht="28.7" customHeight="1" x14ac:dyDescent="0.3">
      <c r="A46" s="43" t="s">
        <v>328</v>
      </c>
      <c r="B46" s="43" t="s">
        <v>320</v>
      </c>
      <c r="C46" s="84"/>
      <c r="D46" s="87" t="s">
        <v>302</v>
      </c>
      <c r="E46" s="84"/>
      <c r="F46" s="84"/>
      <c r="G46" s="84"/>
      <c r="H46" s="84"/>
      <c r="I46" s="84"/>
      <c r="J46" s="84"/>
      <c r="K46" s="84"/>
      <c r="L46" s="84"/>
      <c r="M46" s="87" t="s">
        <v>329</v>
      </c>
      <c r="O46" s="7" t="s">
        <v>329</v>
      </c>
    </row>
    <row r="47" spans="1:26" ht="28.7" customHeight="1" x14ac:dyDescent="0.3">
      <c r="A47" s="10" t="s">
        <v>328</v>
      </c>
      <c r="B47" s="10" t="s">
        <v>320</v>
      </c>
      <c r="C47" s="85">
        <v>0.31929999999999997</v>
      </c>
      <c r="D47" s="32" t="s">
        <v>608</v>
      </c>
      <c r="E47" s="62">
        <f>I47+G47+K47</f>
        <v>11386</v>
      </c>
      <c r="F47" s="89">
        <f>J47+H47+L47</f>
        <v>3635.5</v>
      </c>
      <c r="G47" s="58">
        <v>0</v>
      </c>
      <c r="H47" s="89">
        <f>IF(C47=0,0,ROUNDDOWN(G47*C47,1))</f>
        <v>0</v>
      </c>
      <c r="I47" s="58">
        <v>0</v>
      </c>
      <c r="J47" s="90">
        <f>IF(C47=0,0,ROUNDDOWN(I47*C47,1))</f>
        <v>0</v>
      </c>
      <c r="K47" s="91">
        <f>경비목록표!E16</f>
        <v>11386</v>
      </c>
      <c r="L47" s="92">
        <f>IF(C47=0,0,ROUNDDOWN(K47*C47,1))</f>
        <v>3635.5</v>
      </c>
      <c r="M47" s="23" t="s">
        <v>2330</v>
      </c>
      <c r="N47" s="17" t="s">
        <v>2328</v>
      </c>
      <c r="O47" s="7" t="s">
        <v>2329</v>
      </c>
      <c r="P47" s="7" t="s">
        <v>1011</v>
      </c>
      <c r="Z47" s="3" t="str">
        <f ca="1">HYPERLINK("#"&amp;경비목록표!G2&amp;"!A"&amp;ROW(경비목록표!A16),"S00175 →")</f>
        <v>S00175 →</v>
      </c>
    </row>
    <row r="48" spans="1:26" ht="28.7" customHeight="1" x14ac:dyDescent="0.3">
      <c r="A48" s="23" t="s">
        <v>6</v>
      </c>
      <c r="B48" s="56"/>
      <c r="C48" s="56"/>
      <c r="D48" s="56"/>
      <c r="E48" s="56"/>
      <c r="F48" s="54">
        <f>J48+H48+L48</f>
        <v>3635</v>
      </c>
      <c r="G48" s="56"/>
      <c r="H48" s="54">
        <f>ROUNDDOWN(SUMIF(P47:P47,O48,H47:H47),0)</f>
        <v>0</v>
      </c>
      <c r="I48" s="56"/>
      <c r="J48" s="54">
        <f>ROUNDDOWN(SUMIF(P47:P47,O48,J47:J47),0)</f>
        <v>0</v>
      </c>
      <c r="K48" s="56"/>
      <c r="L48" s="54">
        <f>ROUNDDOWN(SUMIF(P47:P47,O48,L47:L47),0)</f>
        <v>3635</v>
      </c>
      <c r="M48" s="56"/>
      <c r="O48" s="7" t="s">
        <v>1011</v>
      </c>
    </row>
    <row r="49" spans="1:26" ht="28.7" customHeight="1" x14ac:dyDescent="0.3">
      <c r="A49" s="82" t="s">
        <v>330</v>
      </c>
      <c r="B49" s="82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97" t="str">
        <f>HYPERLINK("#N"&amp;ROW(N54),"_x0005_`BDCOD|X00060_x0007_`POSS|"&amp;ROW(N51)&amp;"_x0007_`POSE|"&amp;ROW(N54)&amp;"_x0007_`")</f>
        <v>_x0005_`BDCOD|X00060_x0007_`POSS|51_x0007_`POSE|54_x0007_`</v>
      </c>
    </row>
    <row r="50" spans="1:26" ht="28.7" customHeight="1" x14ac:dyDescent="0.3">
      <c r="A50" s="43" t="s">
        <v>332</v>
      </c>
      <c r="B50" s="43" t="s">
        <v>333</v>
      </c>
      <c r="C50" s="84"/>
      <c r="D50" s="87" t="s">
        <v>302</v>
      </c>
      <c r="E50" s="84"/>
      <c r="F50" s="84"/>
      <c r="G50" s="84"/>
      <c r="H50" s="84"/>
      <c r="I50" s="84"/>
      <c r="J50" s="84"/>
      <c r="K50" s="84"/>
      <c r="L50" s="84"/>
      <c r="M50" s="87" t="s">
        <v>334</v>
      </c>
      <c r="O50" s="7" t="s">
        <v>334</v>
      </c>
    </row>
    <row r="51" spans="1:26" ht="28.7" customHeight="1" x14ac:dyDescent="0.3">
      <c r="A51" s="10" t="s">
        <v>332</v>
      </c>
      <c r="B51" s="10" t="s">
        <v>333</v>
      </c>
      <c r="C51" s="85">
        <v>0.29670000000000002</v>
      </c>
      <c r="D51" s="32" t="s">
        <v>608</v>
      </c>
      <c r="E51" s="62">
        <f t="shared" ref="E51:F54" si="5">I51+G51+K51</f>
        <v>21572</v>
      </c>
      <c r="F51" s="89">
        <f t="shared" si="5"/>
        <v>6400.4</v>
      </c>
      <c r="G51" s="58">
        <v>0</v>
      </c>
      <c r="H51" s="89">
        <f>IF(C51=0,0,ROUNDDOWN(G51*C51,1))</f>
        <v>0</v>
      </c>
      <c r="I51" s="58">
        <v>0</v>
      </c>
      <c r="J51" s="90">
        <f>IF(C51=0,0,ROUNDDOWN(I51*C51,1))</f>
        <v>0</v>
      </c>
      <c r="K51" s="91">
        <f>경비목록표!E17</f>
        <v>21572</v>
      </c>
      <c r="L51" s="92">
        <f>IF(C51=0,0,ROUNDDOWN(K51*C51,1))</f>
        <v>6400.4</v>
      </c>
      <c r="M51" s="23" t="s">
        <v>2333</v>
      </c>
      <c r="N51" s="17" t="s">
        <v>2331</v>
      </c>
      <c r="O51" s="7" t="s">
        <v>2332</v>
      </c>
      <c r="P51" s="7" t="s">
        <v>1011</v>
      </c>
      <c r="Z51" s="3" t="str">
        <f ca="1">HYPERLINK("#"&amp;경비목록표!G2&amp;"!A"&amp;ROW(경비목록표!A17),"S00203 →")</f>
        <v>S00203 →</v>
      </c>
    </row>
    <row r="52" spans="1:26" ht="28.7" customHeight="1" x14ac:dyDescent="0.3">
      <c r="A52" s="10" t="s">
        <v>598</v>
      </c>
      <c r="B52" s="10"/>
      <c r="C52" s="85">
        <v>1</v>
      </c>
      <c r="D52" s="32" t="s">
        <v>565</v>
      </c>
      <c r="E52" s="62">
        <f t="shared" si="5"/>
        <v>49479.1</v>
      </c>
      <c r="F52" s="90">
        <f t="shared" si="5"/>
        <v>49479.1</v>
      </c>
      <c r="G52" s="91">
        <f>환율및기초자료!G7</f>
        <v>49479.1</v>
      </c>
      <c r="H52" s="93">
        <f>IF(C52=0,0,ROUNDDOWN(G52*C52,1))</f>
        <v>49479.1</v>
      </c>
      <c r="I52" s="58">
        <v>0</v>
      </c>
      <c r="J52" s="89">
        <f>IF(C52=0,0,ROUNDDOWN(I52*C52,1))</f>
        <v>0</v>
      </c>
      <c r="K52" s="58">
        <v>0</v>
      </c>
      <c r="L52" s="90">
        <f>IF(C52=0,0,ROUNDDOWN(K52*C52,1))</f>
        <v>0</v>
      </c>
      <c r="M52" s="23" t="s">
        <v>2304</v>
      </c>
      <c r="N52" s="17" t="s">
        <v>2302</v>
      </c>
      <c r="O52" s="7" t="s">
        <v>2303</v>
      </c>
      <c r="P52" s="7" t="s">
        <v>1011</v>
      </c>
      <c r="Z52" s="3" t="str">
        <f ca="1">HYPERLINK("#"&amp;환율및기초자료!I2&amp;"!A"&amp;ROW(환율및기초자료!A7),"L00039 →")</f>
        <v>L00039 →</v>
      </c>
    </row>
    <row r="53" spans="1:26" ht="28.7" customHeight="1" x14ac:dyDescent="0.3">
      <c r="A53" s="10" t="s">
        <v>479</v>
      </c>
      <c r="B53" s="10" t="s">
        <v>480</v>
      </c>
      <c r="C53" s="85">
        <v>2.9</v>
      </c>
      <c r="D53" s="32" t="s">
        <v>476</v>
      </c>
      <c r="E53" s="62">
        <f t="shared" si="5"/>
        <v>1359</v>
      </c>
      <c r="F53" s="89">
        <f t="shared" si="5"/>
        <v>3941.1</v>
      </c>
      <c r="G53" s="58">
        <v>0</v>
      </c>
      <c r="H53" s="90">
        <f>IF(C53=0,0,ROUNDDOWN(G53*C53,1))</f>
        <v>0</v>
      </c>
      <c r="I53" s="91">
        <f>재료비목록표!E21</f>
        <v>1359</v>
      </c>
      <c r="J53" s="93">
        <f>IF(C53=0,0,ROUNDDOWN(I53*C53,1))</f>
        <v>3941.1</v>
      </c>
      <c r="K53" s="58">
        <v>0</v>
      </c>
      <c r="L53" s="90">
        <f>IF(C53=0,0,ROUNDDOWN(K53*C53,1))</f>
        <v>0</v>
      </c>
      <c r="M53" s="23" t="s">
        <v>2307</v>
      </c>
      <c r="N53" s="17" t="s">
        <v>2305</v>
      </c>
      <c r="O53" s="7" t="s">
        <v>2306</v>
      </c>
      <c r="P53" s="7" t="s">
        <v>1011</v>
      </c>
      <c r="Q53" s="7" t="s">
        <v>996</v>
      </c>
      <c r="Z53" s="3" t="str">
        <f ca="1">HYPERLINK("#"&amp;재료비목록표!G2&amp;"!A"&amp;ROW(재료비목록표!A21),"M00303 →")</f>
        <v>M00303 →</v>
      </c>
    </row>
    <row r="54" spans="1:26" ht="28.7" customHeight="1" x14ac:dyDescent="0.3">
      <c r="A54" s="10" t="s">
        <v>439</v>
      </c>
      <c r="B54" s="10" t="s">
        <v>2308</v>
      </c>
      <c r="C54" s="85">
        <v>38</v>
      </c>
      <c r="D54" s="32" t="s">
        <v>441</v>
      </c>
      <c r="E54" s="62">
        <f t="shared" si="5"/>
        <v>3941.1</v>
      </c>
      <c r="F54" s="89">
        <f t="shared" si="5"/>
        <v>1497.6</v>
      </c>
      <c r="G54" s="13">
        <v>0</v>
      </c>
      <c r="H54" s="89">
        <f>IF(C54=0,0,ROUNDDOWN(G54*C54/100,1))</f>
        <v>0</v>
      </c>
      <c r="I54" s="94">
        <f>J53</f>
        <v>3941.1</v>
      </c>
      <c r="J54" s="90">
        <f>IF(C54=0,0,ROUNDDOWN(I54*C54/100,1))</f>
        <v>1497.6</v>
      </c>
      <c r="K54" s="22">
        <v>0</v>
      </c>
      <c r="L54" s="90">
        <f>IF(C54=0,0,ROUNDDOWN(K54*C54/100,1))</f>
        <v>0</v>
      </c>
      <c r="M54" s="23"/>
      <c r="N54" s="17" t="s">
        <v>1004</v>
      </c>
      <c r="O54" s="7" t="s">
        <v>1005</v>
      </c>
      <c r="P54" s="7" t="s">
        <v>1011</v>
      </c>
    </row>
    <row r="55" spans="1:26" ht="28.7" customHeight="1" x14ac:dyDescent="0.3">
      <c r="A55" s="23" t="s">
        <v>6</v>
      </c>
      <c r="B55" s="56"/>
      <c r="C55" s="56"/>
      <c r="D55" s="56"/>
      <c r="E55" s="56"/>
      <c r="F55" s="54">
        <f>J55+H55+L55</f>
        <v>61317</v>
      </c>
      <c r="G55" s="56"/>
      <c r="H55" s="54">
        <f>ROUNDDOWN(SUMIF(P51:P54,O55,H51:H54),0)</f>
        <v>49479</v>
      </c>
      <c r="I55" s="56"/>
      <c r="J55" s="54">
        <f>ROUNDDOWN(SUMIF(P51:P54,O55,J51:J54),0)</f>
        <v>5438</v>
      </c>
      <c r="K55" s="56"/>
      <c r="L55" s="54">
        <f>ROUNDDOWN(SUMIF(P51:P54,O55,L51:L54),0)</f>
        <v>6400</v>
      </c>
      <c r="M55" s="56"/>
      <c r="O55" s="7" t="s">
        <v>1011</v>
      </c>
    </row>
    <row r="56" spans="1:26" ht="28.7" customHeight="1" x14ac:dyDescent="0.3">
      <c r="A56" s="82" t="s">
        <v>335</v>
      </c>
      <c r="B56" s="82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97" t="str">
        <f>HYPERLINK("#N"&amp;ROW(N61),"_x0005_`BDCOD|X00061_x0007_`POSS|"&amp;ROW(N58)&amp;"_x0007_`POSE|"&amp;ROW(N61)&amp;"_x0007_`")</f>
        <v>_x0005_`BDCOD|X00061_x0007_`POSS|58_x0007_`POSE|61_x0007_`</v>
      </c>
    </row>
    <row r="57" spans="1:26" ht="28.7" customHeight="1" x14ac:dyDescent="0.3">
      <c r="A57" s="43" t="s">
        <v>332</v>
      </c>
      <c r="B57" s="43" t="s">
        <v>337</v>
      </c>
      <c r="C57" s="84"/>
      <c r="D57" s="87" t="s">
        <v>302</v>
      </c>
      <c r="E57" s="84"/>
      <c r="F57" s="84"/>
      <c r="G57" s="84"/>
      <c r="H57" s="84"/>
      <c r="I57" s="84"/>
      <c r="J57" s="84"/>
      <c r="K57" s="84"/>
      <c r="L57" s="84"/>
      <c r="M57" s="87" t="s">
        <v>338</v>
      </c>
      <c r="O57" s="7" t="s">
        <v>338</v>
      </c>
    </row>
    <row r="58" spans="1:26" ht="28.7" customHeight="1" x14ac:dyDescent="0.3">
      <c r="A58" s="10" t="s">
        <v>332</v>
      </c>
      <c r="B58" s="10" t="s">
        <v>337</v>
      </c>
      <c r="C58" s="85">
        <v>0.29670000000000002</v>
      </c>
      <c r="D58" s="32" t="s">
        <v>608</v>
      </c>
      <c r="E58" s="62">
        <f t="shared" ref="E58:F61" si="6">I58+G58+K58</f>
        <v>25185</v>
      </c>
      <c r="F58" s="89">
        <f t="shared" si="6"/>
        <v>7472.3</v>
      </c>
      <c r="G58" s="58">
        <v>0</v>
      </c>
      <c r="H58" s="89">
        <f>IF(C58=0,0,ROUNDDOWN(G58*C58,1))</f>
        <v>0</v>
      </c>
      <c r="I58" s="58">
        <v>0</v>
      </c>
      <c r="J58" s="90">
        <f>IF(C58=0,0,ROUNDDOWN(I58*C58,1))</f>
        <v>0</v>
      </c>
      <c r="K58" s="91">
        <f>경비목록표!E10</f>
        <v>25185</v>
      </c>
      <c r="L58" s="92">
        <f>IF(C58=0,0,ROUNDDOWN(K58*C58,1))</f>
        <v>7472.3</v>
      </c>
      <c r="M58" s="23" t="s">
        <v>2336</v>
      </c>
      <c r="N58" s="17" t="s">
        <v>2334</v>
      </c>
      <c r="O58" s="7" t="s">
        <v>2335</v>
      </c>
      <c r="P58" s="7" t="s">
        <v>1011</v>
      </c>
      <c r="Z58" s="3" t="str">
        <f ca="1">HYPERLINK("#"&amp;경비목록표!G2&amp;"!A"&amp;ROW(경비목록표!A10),"S00102 →")</f>
        <v>S00102 →</v>
      </c>
    </row>
    <row r="59" spans="1:26" ht="28.7" customHeight="1" x14ac:dyDescent="0.3">
      <c r="A59" s="10" t="s">
        <v>598</v>
      </c>
      <c r="B59" s="10"/>
      <c r="C59" s="85">
        <v>1</v>
      </c>
      <c r="D59" s="32" t="s">
        <v>565</v>
      </c>
      <c r="E59" s="62">
        <f t="shared" si="6"/>
        <v>49479.1</v>
      </c>
      <c r="F59" s="90">
        <f t="shared" si="6"/>
        <v>49479.1</v>
      </c>
      <c r="G59" s="91">
        <f>환율및기초자료!G7</f>
        <v>49479.1</v>
      </c>
      <c r="H59" s="93">
        <f>IF(C59=0,0,ROUNDDOWN(G59*C59,1))</f>
        <v>49479.1</v>
      </c>
      <c r="I59" s="58">
        <v>0</v>
      </c>
      <c r="J59" s="89">
        <f>IF(C59=0,0,ROUNDDOWN(I59*C59,1))</f>
        <v>0</v>
      </c>
      <c r="K59" s="58">
        <v>0</v>
      </c>
      <c r="L59" s="90">
        <f>IF(C59=0,0,ROUNDDOWN(K59*C59,1))</f>
        <v>0</v>
      </c>
      <c r="M59" s="23" t="s">
        <v>2304</v>
      </c>
      <c r="N59" s="17" t="s">
        <v>2302</v>
      </c>
      <c r="O59" s="7" t="s">
        <v>2303</v>
      </c>
      <c r="P59" s="7" t="s">
        <v>1011</v>
      </c>
      <c r="Z59" s="3" t="str">
        <f ca="1">HYPERLINK("#"&amp;환율및기초자료!I2&amp;"!A"&amp;ROW(환율및기초자료!A7),"L00039 →")</f>
        <v>L00039 →</v>
      </c>
    </row>
    <row r="60" spans="1:26" ht="28.7" customHeight="1" x14ac:dyDescent="0.3">
      <c r="A60" s="10" t="s">
        <v>479</v>
      </c>
      <c r="B60" s="10" t="s">
        <v>480</v>
      </c>
      <c r="C60" s="85">
        <v>5</v>
      </c>
      <c r="D60" s="32" t="s">
        <v>476</v>
      </c>
      <c r="E60" s="62">
        <f t="shared" si="6"/>
        <v>1359</v>
      </c>
      <c r="F60" s="89">
        <f t="shared" si="6"/>
        <v>6795</v>
      </c>
      <c r="G60" s="58">
        <v>0</v>
      </c>
      <c r="H60" s="90">
        <f>IF(C60=0,0,ROUNDDOWN(G60*C60,1))</f>
        <v>0</v>
      </c>
      <c r="I60" s="91">
        <f>재료비목록표!E21</f>
        <v>1359</v>
      </c>
      <c r="J60" s="93">
        <f>IF(C60=0,0,ROUNDDOWN(I60*C60,1))</f>
        <v>6795</v>
      </c>
      <c r="K60" s="58">
        <v>0</v>
      </c>
      <c r="L60" s="90">
        <f>IF(C60=0,0,ROUNDDOWN(K60*C60,1))</f>
        <v>0</v>
      </c>
      <c r="M60" s="23" t="s">
        <v>2307</v>
      </c>
      <c r="N60" s="17" t="s">
        <v>2305</v>
      </c>
      <c r="O60" s="7" t="s">
        <v>2306</v>
      </c>
      <c r="P60" s="7" t="s">
        <v>1011</v>
      </c>
      <c r="Q60" s="7" t="s">
        <v>996</v>
      </c>
      <c r="Z60" s="3" t="str">
        <f ca="1">HYPERLINK("#"&amp;재료비목록표!G2&amp;"!A"&amp;ROW(재료비목록표!A21),"M00303 →")</f>
        <v>M00303 →</v>
      </c>
    </row>
    <row r="61" spans="1:26" ht="28.7" customHeight="1" x14ac:dyDescent="0.3">
      <c r="A61" s="10" t="s">
        <v>439</v>
      </c>
      <c r="B61" s="10" t="s">
        <v>2308</v>
      </c>
      <c r="C61" s="85">
        <v>38</v>
      </c>
      <c r="D61" s="32" t="s">
        <v>441</v>
      </c>
      <c r="E61" s="62">
        <f t="shared" si="6"/>
        <v>6795</v>
      </c>
      <c r="F61" s="89">
        <f t="shared" si="6"/>
        <v>2582.1</v>
      </c>
      <c r="G61" s="13">
        <v>0</v>
      </c>
      <c r="H61" s="89">
        <f>IF(C61=0,0,ROUNDDOWN(G61*C61/100,1))</f>
        <v>0</v>
      </c>
      <c r="I61" s="94">
        <f>J60</f>
        <v>6795</v>
      </c>
      <c r="J61" s="90">
        <f>IF(C61=0,0,ROUNDDOWN(I61*C61/100,1))</f>
        <v>2582.1</v>
      </c>
      <c r="K61" s="22">
        <v>0</v>
      </c>
      <c r="L61" s="90">
        <f>IF(C61=0,0,ROUNDDOWN(K61*C61/100,1))</f>
        <v>0</v>
      </c>
      <c r="M61" s="23"/>
      <c r="N61" s="17" t="s">
        <v>1004</v>
      </c>
      <c r="O61" s="7" t="s">
        <v>1005</v>
      </c>
      <c r="P61" s="7" t="s">
        <v>1011</v>
      </c>
    </row>
    <row r="62" spans="1:26" ht="28.7" customHeight="1" x14ac:dyDescent="0.3">
      <c r="A62" s="23" t="s">
        <v>6</v>
      </c>
      <c r="B62" s="56"/>
      <c r="C62" s="56"/>
      <c r="D62" s="56"/>
      <c r="E62" s="56"/>
      <c r="F62" s="54">
        <f>J62+H62+L62</f>
        <v>66328</v>
      </c>
      <c r="G62" s="56"/>
      <c r="H62" s="54">
        <f>ROUNDDOWN(SUMIF(P58:P61,O62,H58:H61),0)</f>
        <v>49479</v>
      </c>
      <c r="I62" s="56"/>
      <c r="J62" s="54">
        <f>ROUNDDOWN(SUMIF(P58:P61,O62,J58:J61),0)</f>
        <v>9377</v>
      </c>
      <c r="K62" s="56"/>
      <c r="L62" s="54">
        <f>ROUNDDOWN(SUMIF(P58:P61,O62,L58:L61),0)</f>
        <v>7472</v>
      </c>
      <c r="M62" s="56"/>
      <c r="O62" s="7" t="s">
        <v>1011</v>
      </c>
    </row>
    <row r="63" spans="1:26" ht="28.7" customHeight="1" x14ac:dyDescent="0.3">
      <c r="A63" s="82" t="s">
        <v>339</v>
      </c>
      <c r="B63" s="82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97" t="str">
        <f>HYPERLINK("#N"&amp;ROW(N68),"_x0005_`BDCOD|X00063_x0007_`POSS|"&amp;ROW(N65)&amp;"_x0007_`POSE|"&amp;ROW(N68)&amp;"_x0007_`")</f>
        <v>_x0005_`BDCOD|X00063_x0007_`POSS|65_x0007_`POSE|68_x0007_`</v>
      </c>
    </row>
    <row r="64" spans="1:26" ht="28.7" customHeight="1" x14ac:dyDescent="0.3">
      <c r="A64" s="43" t="s">
        <v>332</v>
      </c>
      <c r="B64" s="43" t="s">
        <v>341</v>
      </c>
      <c r="C64" s="84"/>
      <c r="D64" s="87" t="s">
        <v>302</v>
      </c>
      <c r="E64" s="84"/>
      <c r="F64" s="84"/>
      <c r="G64" s="84"/>
      <c r="H64" s="84"/>
      <c r="I64" s="84"/>
      <c r="J64" s="84"/>
      <c r="K64" s="84"/>
      <c r="L64" s="84"/>
      <c r="M64" s="87" t="s">
        <v>342</v>
      </c>
      <c r="O64" s="7" t="s">
        <v>342</v>
      </c>
    </row>
    <row r="65" spans="1:26" ht="28.7" customHeight="1" x14ac:dyDescent="0.3">
      <c r="A65" s="10" t="s">
        <v>332</v>
      </c>
      <c r="B65" s="10" t="s">
        <v>341</v>
      </c>
      <c r="C65" s="85">
        <v>0.22789999999999999</v>
      </c>
      <c r="D65" s="32" t="s">
        <v>608</v>
      </c>
      <c r="E65" s="62">
        <f t="shared" ref="E65:F68" si="7">I65+G65+K65</f>
        <v>51844</v>
      </c>
      <c r="F65" s="89">
        <f t="shared" si="7"/>
        <v>11815.2</v>
      </c>
      <c r="G65" s="58">
        <v>0</v>
      </c>
      <c r="H65" s="89">
        <f>IF(C65=0,0,ROUNDDOWN(G65*C65,1))</f>
        <v>0</v>
      </c>
      <c r="I65" s="58">
        <v>0</v>
      </c>
      <c r="J65" s="90">
        <f>IF(C65=0,0,ROUNDDOWN(I65*C65,1))</f>
        <v>0</v>
      </c>
      <c r="K65" s="91">
        <f>경비목록표!E5</f>
        <v>51844</v>
      </c>
      <c r="L65" s="92">
        <f>IF(C65=0,0,ROUNDDOWN(K65*C65,1))</f>
        <v>11815.2</v>
      </c>
      <c r="M65" s="23" t="s">
        <v>2339</v>
      </c>
      <c r="N65" s="17" t="s">
        <v>2337</v>
      </c>
      <c r="O65" s="7" t="s">
        <v>2338</v>
      </c>
      <c r="P65" s="7" t="s">
        <v>1011</v>
      </c>
      <c r="Z65" s="3" t="str">
        <f ca="1">HYPERLINK("#"&amp;경비목록표!G2&amp;"!A"&amp;ROW(경비목록표!A5),"S00006 →")</f>
        <v>S00006 →</v>
      </c>
    </row>
    <row r="66" spans="1:26" ht="28.7" customHeight="1" x14ac:dyDescent="0.3">
      <c r="A66" s="10" t="s">
        <v>598</v>
      </c>
      <c r="B66" s="10"/>
      <c r="C66" s="85">
        <v>1</v>
      </c>
      <c r="D66" s="32" t="s">
        <v>565</v>
      </c>
      <c r="E66" s="62">
        <f t="shared" si="7"/>
        <v>49479.1</v>
      </c>
      <c r="F66" s="90">
        <f t="shared" si="7"/>
        <v>49479.1</v>
      </c>
      <c r="G66" s="91">
        <f>환율및기초자료!G7</f>
        <v>49479.1</v>
      </c>
      <c r="H66" s="93">
        <f>IF(C66=0,0,ROUNDDOWN(G66*C66,1))</f>
        <v>49479.1</v>
      </c>
      <c r="I66" s="58">
        <v>0</v>
      </c>
      <c r="J66" s="89">
        <f>IF(C66=0,0,ROUNDDOWN(I66*C66,1))</f>
        <v>0</v>
      </c>
      <c r="K66" s="58">
        <v>0</v>
      </c>
      <c r="L66" s="90">
        <f>IF(C66=0,0,ROUNDDOWN(K66*C66,1))</f>
        <v>0</v>
      </c>
      <c r="M66" s="23" t="s">
        <v>2304</v>
      </c>
      <c r="N66" s="17" t="s">
        <v>2302</v>
      </c>
      <c r="O66" s="7" t="s">
        <v>2303</v>
      </c>
      <c r="P66" s="7" t="s">
        <v>1011</v>
      </c>
      <c r="Z66" s="3" t="str">
        <f ca="1">HYPERLINK("#"&amp;환율및기초자료!I2&amp;"!A"&amp;ROW(환율및기초자료!A7),"L00039 →")</f>
        <v>L00039 →</v>
      </c>
    </row>
    <row r="67" spans="1:26" ht="28.7" customHeight="1" x14ac:dyDescent="0.3">
      <c r="A67" s="10" t="s">
        <v>479</v>
      </c>
      <c r="B67" s="10" t="s">
        <v>480</v>
      </c>
      <c r="C67" s="85">
        <v>14.1</v>
      </c>
      <c r="D67" s="32" t="s">
        <v>476</v>
      </c>
      <c r="E67" s="62">
        <f t="shared" si="7"/>
        <v>1359</v>
      </c>
      <c r="F67" s="89">
        <f t="shared" si="7"/>
        <v>19161.900000000001</v>
      </c>
      <c r="G67" s="58">
        <v>0</v>
      </c>
      <c r="H67" s="90">
        <f>IF(C67=0,0,ROUNDDOWN(G67*C67,1))</f>
        <v>0</v>
      </c>
      <c r="I67" s="91">
        <f>재료비목록표!E21</f>
        <v>1359</v>
      </c>
      <c r="J67" s="93">
        <f>IF(C67=0,0,ROUNDDOWN(I67*C67,1))</f>
        <v>19161.900000000001</v>
      </c>
      <c r="K67" s="58">
        <v>0</v>
      </c>
      <c r="L67" s="90">
        <f>IF(C67=0,0,ROUNDDOWN(K67*C67,1))</f>
        <v>0</v>
      </c>
      <c r="M67" s="23" t="s">
        <v>2307</v>
      </c>
      <c r="N67" s="17" t="s">
        <v>2305</v>
      </c>
      <c r="O67" s="7" t="s">
        <v>2306</v>
      </c>
      <c r="P67" s="7" t="s">
        <v>1011</v>
      </c>
      <c r="Q67" s="7" t="s">
        <v>996</v>
      </c>
      <c r="Z67" s="3" t="str">
        <f ca="1">HYPERLINK("#"&amp;재료비목록표!G2&amp;"!A"&amp;ROW(재료비목록표!A21),"M00303 →")</f>
        <v>M00303 →</v>
      </c>
    </row>
    <row r="68" spans="1:26" ht="28.7" customHeight="1" x14ac:dyDescent="0.3">
      <c r="A68" s="10" t="s">
        <v>439</v>
      </c>
      <c r="B68" s="10" t="s">
        <v>2308</v>
      </c>
      <c r="C68" s="85">
        <v>38</v>
      </c>
      <c r="D68" s="32" t="s">
        <v>441</v>
      </c>
      <c r="E68" s="62">
        <f t="shared" si="7"/>
        <v>19161.900000000001</v>
      </c>
      <c r="F68" s="89">
        <f t="shared" si="7"/>
        <v>7281.5</v>
      </c>
      <c r="G68" s="13">
        <v>0</v>
      </c>
      <c r="H68" s="89">
        <f>IF(C68=0,0,ROUNDDOWN(G68*C68/100,1))</f>
        <v>0</v>
      </c>
      <c r="I68" s="94">
        <f>J67</f>
        <v>19161.900000000001</v>
      </c>
      <c r="J68" s="90">
        <f>IF(C68=0,0,ROUNDDOWN(I68*C68/100,1))</f>
        <v>7281.5</v>
      </c>
      <c r="K68" s="22">
        <v>0</v>
      </c>
      <c r="L68" s="90">
        <f>IF(C68=0,0,ROUNDDOWN(K68*C68/100,1))</f>
        <v>0</v>
      </c>
      <c r="M68" s="23"/>
      <c r="N68" s="17" t="s">
        <v>1004</v>
      </c>
      <c r="O68" s="7" t="s">
        <v>1005</v>
      </c>
      <c r="P68" s="7" t="s">
        <v>1011</v>
      </c>
    </row>
    <row r="69" spans="1:26" ht="28.7" customHeight="1" x14ac:dyDescent="0.3">
      <c r="A69" s="23" t="s">
        <v>6</v>
      </c>
      <c r="B69" s="56"/>
      <c r="C69" s="56"/>
      <c r="D69" s="56"/>
      <c r="E69" s="56"/>
      <c r="F69" s="54">
        <f>J69+H69+L69</f>
        <v>87737</v>
      </c>
      <c r="G69" s="56"/>
      <c r="H69" s="54">
        <f>ROUNDDOWN(SUMIF(P65:P68,O69,H65:H68),0)</f>
        <v>49479</v>
      </c>
      <c r="I69" s="56"/>
      <c r="J69" s="54">
        <f>ROUNDDOWN(SUMIF(P65:P68,O69,J65:J68),0)</f>
        <v>26443</v>
      </c>
      <c r="K69" s="56"/>
      <c r="L69" s="54">
        <f>ROUNDDOWN(SUMIF(P65:P68,O69,L65:L68),0)</f>
        <v>11815</v>
      </c>
      <c r="M69" s="56"/>
      <c r="O69" s="7" t="s">
        <v>1011</v>
      </c>
    </row>
    <row r="70" spans="1:26" ht="28.7" customHeight="1" x14ac:dyDescent="0.3">
      <c r="A70" s="82" t="s">
        <v>343</v>
      </c>
      <c r="B70" s="82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97" t="str">
        <f>HYPERLINK("#N"&amp;ROW(N75),"_x0005_`BDCOD|X00064_x0007_`POSS|"&amp;ROW(N72)&amp;"_x0007_`POSE|"&amp;ROW(N75)&amp;"_x0007_`")</f>
        <v>_x0005_`BDCOD|X00064_x0007_`POSS|72_x0007_`POSE|75_x0007_`</v>
      </c>
    </row>
    <row r="71" spans="1:26" ht="28.7" customHeight="1" x14ac:dyDescent="0.3">
      <c r="A71" s="43" t="s">
        <v>332</v>
      </c>
      <c r="B71" s="43" t="s">
        <v>345</v>
      </c>
      <c r="C71" s="84"/>
      <c r="D71" s="87" t="s">
        <v>302</v>
      </c>
      <c r="E71" s="84"/>
      <c r="F71" s="84"/>
      <c r="G71" s="84"/>
      <c r="H71" s="84"/>
      <c r="I71" s="84"/>
      <c r="J71" s="84"/>
      <c r="K71" s="84"/>
      <c r="L71" s="84"/>
      <c r="M71" s="87" t="s">
        <v>346</v>
      </c>
      <c r="O71" s="7" t="s">
        <v>346</v>
      </c>
    </row>
    <row r="72" spans="1:26" ht="28.7" customHeight="1" x14ac:dyDescent="0.3">
      <c r="A72" s="10" t="s">
        <v>332</v>
      </c>
      <c r="B72" s="10" t="s">
        <v>345</v>
      </c>
      <c r="C72" s="85">
        <v>0.22789999999999999</v>
      </c>
      <c r="D72" s="32" t="s">
        <v>608</v>
      </c>
      <c r="E72" s="62">
        <f t="shared" ref="E72:F75" si="8">I72+G72+K72</f>
        <v>88973</v>
      </c>
      <c r="F72" s="89">
        <f t="shared" si="8"/>
        <v>20276.900000000001</v>
      </c>
      <c r="G72" s="58">
        <v>0</v>
      </c>
      <c r="H72" s="89">
        <f>IF(C72=0,0,ROUNDDOWN(G72*C72,1))</f>
        <v>0</v>
      </c>
      <c r="I72" s="58">
        <v>0</v>
      </c>
      <c r="J72" s="90">
        <f>IF(C72=0,0,ROUNDDOWN(I72*C72,1))</f>
        <v>0</v>
      </c>
      <c r="K72" s="91">
        <f>경비목록표!E6</f>
        <v>88973</v>
      </c>
      <c r="L72" s="92">
        <f>IF(C72=0,0,ROUNDDOWN(K72*C72,1))</f>
        <v>20276.900000000001</v>
      </c>
      <c r="M72" s="23" t="s">
        <v>2342</v>
      </c>
      <c r="N72" s="17" t="s">
        <v>2340</v>
      </c>
      <c r="O72" s="7" t="s">
        <v>2341</v>
      </c>
      <c r="P72" s="7" t="s">
        <v>1011</v>
      </c>
      <c r="Z72" s="3" t="str">
        <f ca="1">HYPERLINK("#"&amp;경비목록표!G2&amp;"!A"&amp;ROW(경비목록표!A6),"S00007 →")</f>
        <v>S00007 →</v>
      </c>
    </row>
    <row r="73" spans="1:26" ht="28.7" customHeight="1" x14ac:dyDescent="0.3">
      <c r="A73" s="10" t="s">
        <v>595</v>
      </c>
      <c r="B73" s="10"/>
      <c r="C73" s="85">
        <v>1</v>
      </c>
      <c r="D73" s="32" t="s">
        <v>565</v>
      </c>
      <c r="E73" s="62">
        <f t="shared" si="8"/>
        <v>57077.2</v>
      </c>
      <c r="F73" s="90">
        <f t="shared" si="8"/>
        <v>57077.2</v>
      </c>
      <c r="G73" s="91">
        <f>환율및기초자료!G6</f>
        <v>57077.2</v>
      </c>
      <c r="H73" s="93">
        <f>IF(C73=0,0,ROUNDDOWN(G73*C73,1))</f>
        <v>57077.2</v>
      </c>
      <c r="I73" s="58">
        <v>0</v>
      </c>
      <c r="J73" s="89">
        <f>IF(C73=0,0,ROUNDDOWN(I73*C73,1))</f>
        <v>0</v>
      </c>
      <c r="K73" s="58">
        <v>0</v>
      </c>
      <c r="L73" s="90">
        <f>IF(C73=0,0,ROUNDDOWN(K73*C73,1))</f>
        <v>0</v>
      </c>
      <c r="M73" s="23" t="s">
        <v>2317</v>
      </c>
      <c r="N73" s="17" t="s">
        <v>2315</v>
      </c>
      <c r="O73" s="7" t="s">
        <v>2316</v>
      </c>
      <c r="P73" s="7" t="s">
        <v>1011</v>
      </c>
      <c r="Z73" s="3" t="str">
        <f ca="1">HYPERLINK("#"&amp;환율및기초자료!I2&amp;"!A"&amp;ROW(환율및기초자료!A6),"L00038 →")</f>
        <v>L00038 →</v>
      </c>
    </row>
    <row r="74" spans="1:26" ht="28.7" customHeight="1" x14ac:dyDescent="0.3">
      <c r="A74" s="10" t="s">
        <v>479</v>
      </c>
      <c r="B74" s="10" t="s">
        <v>480</v>
      </c>
      <c r="C74" s="85">
        <v>15.9</v>
      </c>
      <c r="D74" s="32" t="s">
        <v>476</v>
      </c>
      <c r="E74" s="62">
        <f t="shared" si="8"/>
        <v>1359</v>
      </c>
      <c r="F74" s="89">
        <f t="shared" si="8"/>
        <v>21608.1</v>
      </c>
      <c r="G74" s="58">
        <v>0</v>
      </c>
      <c r="H74" s="90">
        <f>IF(C74=0,0,ROUNDDOWN(G74*C74,1))</f>
        <v>0</v>
      </c>
      <c r="I74" s="91">
        <f>재료비목록표!E21</f>
        <v>1359</v>
      </c>
      <c r="J74" s="93">
        <f>IF(C74=0,0,ROUNDDOWN(I74*C74,1))</f>
        <v>21608.1</v>
      </c>
      <c r="K74" s="58">
        <v>0</v>
      </c>
      <c r="L74" s="90">
        <f>IF(C74=0,0,ROUNDDOWN(K74*C74,1))</f>
        <v>0</v>
      </c>
      <c r="M74" s="23" t="s">
        <v>2307</v>
      </c>
      <c r="N74" s="17" t="s">
        <v>2305</v>
      </c>
      <c r="O74" s="7" t="s">
        <v>2306</v>
      </c>
      <c r="P74" s="7" t="s">
        <v>1011</v>
      </c>
      <c r="Q74" s="7" t="s">
        <v>996</v>
      </c>
      <c r="Z74" s="3" t="str">
        <f ca="1">HYPERLINK("#"&amp;재료비목록표!G2&amp;"!A"&amp;ROW(재료비목록표!A21),"M00303 →")</f>
        <v>M00303 →</v>
      </c>
    </row>
    <row r="75" spans="1:26" ht="28.7" customHeight="1" x14ac:dyDescent="0.3">
      <c r="A75" s="10" t="s">
        <v>439</v>
      </c>
      <c r="B75" s="10" t="s">
        <v>2308</v>
      </c>
      <c r="C75" s="85">
        <v>38</v>
      </c>
      <c r="D75" s="32" t="s">
        <v>441</v>
      </c>
      <c r="E75" s="62">
        <f t="shared" si="8"/>
        <v>21608.1</v>
      </c>
      <c r="F75" s="89">
        <f t="shared" si="8"/>
        <v>8211</v>
      </c>
      <c r="G75" s="13">
        <v>0</v>
      </c>
      <c r="H75" s="89">
        <f>IF(C75=0,0,ROUNDDOWN(G75*C75/100,1))</f>
        <v>0</v>
      </c>
      <c r="I75" s="94">
        <f>J74</f>
        <v>21608.1</v>
      </c>
      <c r="J75" s="90">
        <f>IF(C75=0,0,ROUNDDOWN(I75*C75/100,1))</f>
        <v>8211</v>
      </c>
      <c r="K75" s="22">
        <v>0</v>
      </c>
      <c r="L75" s="90">
        <f>IF(C75=0,0,ROUNDDOWN(K75*C75/100,1))</f>
        <v>0</v>
      </c>
      <c r="M75" s="23"/>
      <c r="N75" s="17" t="s">
        <v>1004</v>
      </c>
      <c r="O75" s="7" t="s">
        <v>1005</v>
      </c>
      <c r="P75" s="7" t="s">
        <v>1011</v>
      </c>
    </row>
    <row r="76" spans="1:26" ht="28.7" customHeight="1" x14ac:dyDescent="0.3">
      <c r="A76" s="23" t="s">
        <v>6</v>
      </c>
      <c r="B76" s="56"/>
      <c r="C76" s="56"/>
      <c r="D76" s="56"/>
      <c r="E76" s="56"/>
      <c r="F76" s="54">
        <f>J76+H76+L76</f>
        <v>107172</v>
      </c>
      <c r="G76" s="56"/>
      <c r="H76" s="54">
        <f>ROUNDDOWN(SUMIF(P72:P75,O76,H72:H75),0)</f>
        <v>57077</v>
      </c>
      <c r="I76" s="56"/>
      <c r="J76" s="54">
        <f>ROUNDDOWN(SUMIF(P72:P75,O76,J72:J75),0)</f>
        <v>29819</v>
      </c>
      <c r="K76" s="56"/>
      <c r="L76" s="54">
        <f>ROUNDDOWN(SUMIF(P72:P75,O76,L72:L75),0)</f>
        <v>20276</v>
      </c>
      <c r="M76" s="56"/>
      <c r="O76" s="7" t="s">
        <v>1011</v>
      </c>
    </row>
    <row r="77" spans="1:26" ht="28.7" customHeight="1" x14ac:dyDescent="0.3">
      <c r="A77" s="82" t="s">
        <v>347</v>
      </c>
      <c r="B77" s="82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97" t="str">
        <f>HYPERLINK("#N"&amp;ROW(N82),"_x0005_`BDCOD|X00127_x0007_`POSS|"&amp;ROW(N79)&amp;"_x0007_`POSE|"&amp;ROW(N82)&amp;"_x0007_`")</f>
        <v>_x0005_`BDCOD|X00127_x0007_`POSS|79_x0007_`POSE|82_x0007_`</v>
      </c>
    </row>
    <row r="78" spans="1:26" ht="28.7" customHeight="1" x14ac:dyDescent="0.3">
      <c r="A78" s="43" t="s">
        <v>349</v>
      </c>
      <c r="B78" s="43" t="s">
        <v>350</v>
      </c>
      <c r="C78" s="84"/>
      <c r="D78" s="87" t="s">
        <v>302</v>
      </c>
      <c r="E78" s="84"/>
      <c r="F78" s="84"/>
      <c r="G78" s="84"/>
      <c r="H78" s="84"/>
      <c r="I78" s="84"/>
      <c r="J78" s="84"/>
      <c r="K78" s="84"/>
      <c r="L78" s="84"/>
      <c r="M78" s="87" t="s">
        <v>351</v>
      </c>
      <c r="O78" s="7" t="s">
        <v>351</v>
      </c>
    </row>
    <row r="79" spans="1:26" ht="28.7" customHeight="1" x14ac:dyDescent="0.3">
      <c r="A79" s="10" t="s">
        <v>642</v>
      </c>
      <c r="B79" s="10" t="s">
        <v>350</v>
      </c>
      <c r="C79" s="85">
        <v>0.25290000000000001</v>
      </c>
      <c r="D79" s="32" t="s">
        <v>608</v>
      </c>
      <c r="E79" s="62">
        <f t="shared" ref="E79:F82" si="9">I79+G79+K79</f>
        <v>72903</v>
      </c>
      <c r="F79" s="89">
        <f t="shared" si="9"/>
        <v>18437.099999999999</v>
      </c>
      <c r="G79" s="58">
        <v>0</v>
      </c>
      <c r="H79" s="89">
        <f>IF(C79=0,0,ROUNDDOWN(G79*C79,1))</f>
        <v>0</v>
      </c>
      <c r="I79" s="58">
        <v>0</v>
      </c>
      <c r="J79" s="90">
        <f>IF(C79=0,0,ROUNDDOWN(I79*C79,1))</f>
        <v>0</v>
      </c>
      <c r="K79" s="91">
        <f>ROUNDDOWN(경비목록표!E19*IF(경비목록표!E19&lt;100000,환율및기초자료!C3,환율및기초자료!D3)/1000,0)</f>
        <v>72903</v>
      </c>
      <c r="L79" s="92">
        <f>IF(C79=0,0,ROUNDDOWN(K79*C79,1))</f>
        <v>18437.099999999999</v>
      </c>
      <c r="M79" s="23" t="s">
        <v>2345</v>
      </c>
      <c r="N79" s="17" t="s">
        <v>2343</v>
      </c>
      <c r="O79" s="7" t="s">
        <v>2344</v>
      </c>
      <c r="P79" s="7" t="s">
        <v>1011</v>
      </c>
      <c r="Z79" s="3" t="str">
        <f ca="1">HYPERLINK("#"&amp;경비목록표!G2&amp;"!A"&amp;ROW(경비목록표!A19),"S00346 →")</f>
        <v>S00346 →</v>
      </c>
    </row>
    <row r="80" spans="1:26" ht="28.7" customHeight="1" x14ac:dyDescent="0.3">
      <c r="A80" s="10" t="s">
        <v>595</v>
      </c>
      <c r="B80" s="10"/>
      <c r="C80" s="85">
        <v>1</v>
      </c>
      <c r="D80" s="32" t="s">
        <v>565</v>
      </c>
      <c r="E80" s="62">
        <f t="shared" si="9"/>
        <v>57077.2</v>
      </c>
      <c r="F80" s="90">
        <f t="shared" si="9"/>
        <v>57077.2</v>
      </c>
      <c r="G80" s="91">
        <f>환율및기초자료!G6</f>
        <v>57077.2</v>
      </c>
      <c r="H80" s="93">
        <f>IF(C80=0,0,ROUNDDOWN(G80*C80,1))</f>
        <v>57077.2</v>
      </c>
      <c r="I80" s="58">
        <v>0</v>
      </c>
      <c r="J80" s="89">
        <f>IF(C80=0,0,ROUNDDOWN(I80*C80,1))</f>
        <v>0</v>
      </c>
      <c r="K80" s="58">
        <v>0</v>
      </c>
      <c r="L80" s="90">
        <f>IF(C80=0,0,ROUNDDOWN(K80*C80,1))</f>
        <v>0</v>
      </c>
      <c r="M80" s="23" t="s">
        <v>2317</v>
      </c>
      <c r="N80" s="17" t="s">
        <v>2315</v>
      </c>
      <c r="O80" s="7" t="s">
        <v>2316</v>
      </c>
      <c r="P80" s="7" t="s">
        <v>1011</v>
      </c>
      <c r="Z80" s="3" t="str">
        <f ca="1">HYPERLINK("#"&amp;환율및기초자료!I2&amp;"!A"&amp;ROW(환율및기초자료!A6),"L00038 →")</f>
        <v>L00038 →</v>
      </c>
    </row>
    <row r="81" spans="1:26" ht="28.7" customHeight="1" x14ac:dyDescent="0.3">
      <c r="A81" s="10" t="s">
        <v>479</v>
      </c>
      <c r="B81" s="10" t="s">
        <v>480</v>
      </c>
      <c r="C81" s="85">
        <v>16.5</v>
      </c>
      <c r="D81" s="32" t="s">
        <v>476</v>
      </c>
      <c r="E81" s="62">
        <f t="shared" si="9"/>
        <v>1359</v>
      </c>
      <c r="F81" s="89">
        <f t="shared" si="9"/>
        <v>22423.5</v>
      </c>
      <c r="G81" s="58">
        <v>0</v>
      </c>
      <c r="H81" s="90">
        <f>IF(C81=0,0,ROUNDDOWN(G81*C81,1))</f>
        <v>0</v>
      </c>
      <c r="I81" s="91">
        <f>재료비목록표!E21</f>
        <v>1359</v>
      </c>
      <c r="J81" s="93">
        <f>IF(C81=0,0,ROUNDDOWN(I81*C81,1))</f>
        <v>22423.5</v>
      </c>
      <c r="K81" s="58">
        <v>0</v>
      </c>
      <c r="L81" s="90">
        <f>IF(C81=0,0,ROUNDDOWN(K81*C81,1))</f>
        <v>0</v>
      </c>
      <c r="M81" s="23" t="s">
        <v>2307</v>
      </c>
      <c r="N81" s="17" t="s">
        <v>2318</v>
      </c>
      <c r="O81" s="7" t="s">
        <v>2306</v>
      </c>
      <c r="P81" s="7" t="s">
        <v>1011</v>
      </c>
      <c r="Z81" s="3" t="str">
        <f ca="1">HYPERLINK("#"&amp;재료비목록표!G2&amp;"!A"&amp;ROW(재료비목록표!A21),"M00303 →")</f>
        <v>M00303 →</v>
      </c>
    </row>
    <row r="82" spans="1:26" ht="28.7" customHeight="1" x14ac:dyDescent="0.3">
      <c r="A82" s="10" t="s">
        <v>439</v>
      </c>
      <c r="B82" s="10" t="s">
        <v>440</v>
      </c>
      <c r="C82" s="85">
        <v>39</v>
      </c>
      <c r="D82" s="32" t="s">
        <v>441</v>
      </c>
      <c r="E82" s="62">
        <f t="shared" si="9"/>
        <v>22423.5</v>
      </c>
      <c r="F82" s="89">
        <f t="shared" si="9"/>
        <v>8745.1</v>
      </c>
      <c r="G82" s="58">
        <v>0</v>
      </c>
      <c r="H82" s="90">
        <f>IF(C82=0,0,ROUNDDOWN(G82*C82/100,1))</f>
        <v>0</v>
      </c>
      <c r="I82" s="91">
        <f>J81</f>
        <v>22423.5</v>
      </c>
      <c r="J82" s="93">
        <f>IF(C82=0,0,ROUNDDOWN(I82*C82/100,1))</f>
        <v>8745.1</v>
      </c>
      <c r="K82" s="58">
        <v>0</v>
      </c>
      <c r="L82" s="90">
        <f>IF(C82=0,0,ROUNDDOWN(K82*C82/100,1))</f>
        <v>0</v>
      </c>
      <c r="M82" s="23" t="s">
        <v>2321</v>
      </c>
      <c r="N82" s="17" t="s">
        <v>2319</v>
      </c>
      <c r="O82" s="7" t="s">
        <v>2320</v>
      </c>
      <c r="P82" s="7" t="s">
        <v>1011</v>
      </c>
      <c r="Z82" s="3" t="str">
        <f ca="1">HYPERLINK("#"&amp;재료비목록표!G2&amp;"!A"&amp;ROW(재료비목록표!A11),"M00109 →")</f>
        <v>M00109 →</v>
      </c>
    </row>
    <row r="83" spans="1:26" ht="28.7" customHeight="1" x14ac:dyDescent="0.3">
      <c r="A83" s="23" t="s">
        <v>6</v>
      </c>
      <c r="B83" s="56"/>
      <c r="C83" s="56"/>
      <c r="D83" s="56"/>
      <c r="E83" s="56"/>
      <c r="F83" s="54">
        <f>J83+H83+L83</f>
        <v>106682</v>
      </c>
      <c r="G83" s="56"/>
      <c r="H83" s="54">
        <f>ROUNDDOWN(SUMIF(P79:P82,O83,H79:H82),0)</f>
        <v>57077</v>
      </c>
      <c r="I83" s="56"/>
      <c r="J83" s="54">
        <f>ROUNDDOWN(SUMIF(P79:P82,O83,J79:J82),0)</f>
        <v>31168</v>
      </c>
      <c r="K83" s="56"/>
      <c r="L83" s="54">
        <f>ROUNDDOWN(SUMIF(P79:P82,O83,L79:L82),0)</f>
        <v>18437</v>
      </c>
      <c r="M83" s="56"/>
      <c r="O83" s="7" t="s">
        <v>1011</v>
      </c>
    </row>
    <row r="84" spans="1:26" ht="28.7" customHeight="1" x14ac:dyDescent="0.3">
      <c r="A84" s="82" t="s">
        <v>352</v>
      </c>
      <c r="B84" s="82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97" t="str">
        <f>HYPERLINK("#N"&amp;ROW(N89),"_x0005_`BDCOD|X00268_x0007_`POSS|"&amp;ROW(N86)&amp;"_x0007_`POSE|"&amp;ROW(N89)&amp;"_x0007_`")</f>
        <v>_x0005_`BDCOD|X00268_x0007_`POSS|86_x0007_`POSE|89_x0007_`</v>
      </c>
    </row>
    <row r="85" spans="1:26" ht="28.7" customHeight="1" x14ac:dyDescent="0.3">
      <c r="A85" s="43" t="s">
        <v>315</v>
      </c>
      <c r="B85" s="43" t="s">
        <v>354</v>
      </c>
      <c r="C85" s="84"/>
      <c r="D85" s="87" t="s">
        <v>302</v>
      </c>
      <c r="E85" s="84"/>
      <c r="F85" s="84"/>
      <c r="G85" s="84"/>
      <c r="H85" s="84"/>
      <c r="I85" s="84"/>
      <c r="J85" s="84"/>
      <c r="K85" s="84"/>
      <c r="L85" s="84"/>
      <c r="M85" s="87" t="s">
        <v>355</v>
      </c>
      <c r="O85" s="7" t="s">
        <v>355</v>
      </c>
    </row>
    <row r="86" spans="1:26" ht="28.7" customHeight="1" x14ac:dyDescent="0.3">
      <c r="A86" s="10" t="s">
        <v>315</v>
      </c>
      <c r="B86" s="10" t="s">
        <v>626</v>
      </c>
      <c r="C86" s="85">
        <v>0.24049999999999999</v>
      </c>
      <c r="D86" s="32" t="s">
        <v>608</v>
      </c>
      <c r="E86" s="62">
        <f t="shared" ref="E86:F89" si="10">I86+G86+K86</f>
        <v>64267</v>
      </c>
      <c r="F86" s="89">
        <f t="shared" si="10"/>
        <v>15456.2</v>
      </c>
      <c r="G86" s="58">
        <v>0</v>
      </c>
      <c r="H86" s="89">
        <f>IF(C86=0,0,ROUNDDOWN(G86*C86,1))</f>
        <v>0</v>
      </c>
      <c r="I86" s="58">
        <v>0</v>
      </c>
      <c r="J86" s="90">
        <f>IF(C86=0,0,ROUNDDOWN(I86*C86,1))</f>
        <v>0</v>
      </c>
      <c r="K86" s="91">
        <f>경비목록표!E12</f>
        <v>64267</v>
      </c>
      <c r="L86" s="92">
        <f>IF(C86=0,0,ROUNDDOWN(K86*C86,1))</f>
        <v>15456.2</v>
      </c>
      <c r="M86" s="23" t="s">
        <v>2348</v>
      </c>
      <c r="N86" s="17" t="s">
        <v>2346</v>
      </c>
      <c r="O86" s="7" t="s">
        <v>2347</v>
      </c>
      <c r="P86" s="7" t="s">
        <v>1011</v>
      </c>
      <c r="Z86" s="3" t="str">
        <f ca="1">HYPERLINK("#"&amp;경비목록표!G2&amp;"!A"&amp;ROW(경비목록표!A12),"S00162 →")</f>
        <v>S00162 →</v>
      </c>
    </row>
    <row r="87" spans="1:26" ht="28.7" customHeight="1" x14ac:dyDescent="0.3">
      <c r="A87" s="10" t="s">
        <v>595</v>
      </c>
      <c r="B87" s="10"/>
      <c r="C87" s="85">
        <v>1</v>
      </c>
      <c r="D87" s="32" t="s">
        <v>565</v>
      </c>
      <c r="E87" s="62">
        <f t="shared" si="10"/>
        <v>57077.2</v>
      </c>
      <c r="F87" s="90">
        <f t="shared" si="10"/>
        <v>57077.2</v>
      </c>
      <c r="G87" s="91">
        <f>환율및기초자료!G6</f>
        <v>57077.2</v>
      </c>
      <c r="H87" s="93">
        <f>IF(C87=0,0,ROUNDDOWN(G87*C87,1))</f>
        <v>57077.2</v>
      </c>
      <c r="I87" s="58">
        <v>0</v>
      </c>
      <c r="J87" s="89">
        <f>IF(C87=0,0,ROUNDDOWN(I87*C87,1))</f>
        <v>0</v>
      </c>
      <c r="K87" s="58">
        <v>0</v>
      </c>
      <c r="L87" s="90">
        <f>IF(C87=0,0,ROUNDDOWN(K87*C87,1))</f>
        <v>0</v>
      </c>
      <c r="M87" s="23" t="s">
        <v>2317</v>
      </c>
      <c r="N87" s="17" t="s">
        <v>2315</v>
      </c>
      <c r="O87" s="7" t="s">
        <v>2316</v>
      </c>
      <c r="P87" s="7" t="s">
        <v>1011</v>
      </c>
      <c r="Z87" s="3" t="str">
        <f ca="1">HYPERLINK("#"&amp;환율및기초자료!I2&amp;"!A"&amp;ROW(환율및기초자료!A6),"L00038 →")</f>
        <v>L00038 →</v>
      </c>
    </row>
    <row r="88" spans="1:26" ht="28.7" customHeight="1" x14ac:dyDescent="0.3">
      <c r="A88" s="10" t="s">
        <v>479</v>
      </c>
      <c r="B88" s="10" t="s">
        <v>480</v>
      </c>
      <c r="C88" s="85">
        <v>5</v>
      </c>
      <c r="D88" s="32" t="s">
        <v>476</v>
      </c>
      <c r="E88" s="62">
        <f t="shared" si="10"/>
        <v>1359</v>
      </c>
      <c r="F88" s="89">
        <f t="shared" si="10"/>
        <v>6795</v>
      </c>
      <c r="G88" s="58">
        <v>0</v>
      </c>
      <c r="H88" s="90">
        <f>IF(C88=0,0,ROUNDDOWN(G88*C88,1))</f>
        <v>0</v>
      </c>
      <c r="I88" s="91">
        <f>재료비목록표!E21</f>
        <v>1359</v>
      </c>
      <c r="J88" s="93">
        <f>IF(C88=0,0,ROUNDDOWN(I88*C88,1))</f>
        <v>6795</v>
      </c>
      <c r="K88" s="58">
        <v>0</v>
      </c>
      <c r="L88" s="90">
        <f>IF(C88=0,0,ROUNDDOWN(K88*C88,1))</f>
        <v>0</v>
      </c>
      <c r="M88" s="23" t="s">
        <v>2307</v>
      </c>
      <c r="N88" s="17" t="s">
        <v>2318</v>
      </c>
      <c r="O88" s="7" t="s">
        <v>2306</v>
      </c>
      <c r="P88" s="7" t="s">
        <v>1011</v>
      </c>
      <c r="Z88" s="3" t="str">
        <f ca="1">HYPERLINK("#"&amp;재료비목록표!G2&amp;"!A"&amp;ROW(재료비목록표!A21),"M00303 →")</f>
        <v>M00303 →</v>
      </c>
    </row>
    <row r="89" spans="1:26" ht="28.7" customHeight="1" x14ac:dyDescent="0.3">
      <c r="A89" s="10" t="s">
        <v>439</v>
      </c>
      <c r="B89" s="10" t="s">
        <v>440</v>
      </c>
      <c r="C89" s="85">
        <v>21</v>
      </c>
      <c r="D89" s="32" t="s">
        <v>441</v>
      </c>
      <c r="E89" s="62">
        <f t="shared" si="10"/>
        <v>6795</v>
      </c>
      <c r="F89" s="89">
        <f t="shared" si="10"/>
        <v>1426.9</v>
      </c>
      <c r="G89" s="58">
        <v>0</v>
      </c>
      <c r="H89" s="90">
        <f>IF(C89=0,0,ROUNDDOWN(G89*C89/100,1))</f>
        <v>0</v>
      </c>
      <c r="I89" s="91">
        <f>J88</f>
        <v>6795</v>
      </c>
      <c r="J89" s="93">
        <f>IF(C89=0,0,ROUNDDOWN(I89*C89/100,1))</f>
        <v>1426.9</v>
      </c>
      <c r="K89" s="58">
        <v>0</v>
      </c>
      <c r="L89" s="90">
        <f>IF(C89=0,0,ROUNDDOWN(K89*C89/100,1))</f>
        <v>0</v>
      </c>
      <c r="M89" s="23" t="s">
        <v>2321</v>
      </c>
      <c r="N89" s="17" t="s">
        <v>2319</v>
      </c>
      <c r="O89" s="7" t="s">
        <v>2320</v>
      </c>
      <c r="P89" s="7" t="s">
        <v>1011</v>
      </c>
      <c r="Z89" s="3" t="str">
        <f ca="1">HYPERLINK("#"&amp;재료비목록표!G2&amp;"!A"&amp;ROW(재료비목록표!A11),"M00109 →")</f>
        <v>M00109 →</v>
      </c>
    </row>
    <row r="90" spans="1:26" ht="28.7" customHeight="1" x14ac:dyDescent="0.3">
      <c r="A90" s="23" t="s">
        <v>6</v>
      </c>
      <c r="B90" s="56"/>
      <c r="C90" s="56"/>
      <c r="D90" s="56"/>
      <c r="E90" s="56"/>
      <c r="F90" s="54">
        <f>J90+H90+L90</f>
        <v>80754</v>
      </c>
      <c r="G90" s="56"/>
      <c r="H90" s="54">
        <f>ROUNDDOWN(SUMIF(P86:P89,O90,H86:H89),0)</f>
        <v>57077</v>
      </c>
      <c r="I90" s="56"/>
      <c r="J90" s="54">
        <f>ROUNDDOWN(SUMIF(P86:P89,O90,J86:J89),0)</f>
        <v>8221</v>
      </c>
      <c r="K90" s="56"/>
      <c r="L90" s="54">
        <f>ROUNDDOWN(SUMIF(P86:P89,O90,L86:L89),0)</f>
        <v>15456</v>
      </c>
      <c r="M90" s="56"/>
      <c r="O90" s="7" t="s">
        <v>1011</v>
      </c>
    </row>
    <row r="91" spans="1:26" ht="28.7" customHeight="1" x14ac:dyDescent="0.3">
      <c r="A91" s="82" t="s">
        <v>356</v>
      </c>
      <c r="B91" s="82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97" t="str">
        <f>HYPERLINK("#N"&amp;ROW(N96),"_x0005_`BDCOD|X00270_x0007_`POSS|"&amp;ROW(N93)&amp;"_x0007_`POSE|"&amp;ROW(N96)&amp;"_x0007_`")</f>
        <v>_x0005_`BDCOD|X00270_x0007_`POSS|93_x0007_`POSE|96_x0007_`</v>
      </c>
    </row>
    <row r="92" spans="1:26" ht="28.7" customHeight="1" x14ac:dyDescent="0.3">
      <c r="A92" s="43" t="s">
        <v>315</v>
      </c>
      <c r="B92" s="43" t="s">
        <v>358</v>
      </c>
      <c r="C92" s="84"/>
      <c r="D92" s="87" t="s">
        <v>302</v>
      </c>
      <c r="E92" s="84"/>
      <c r="F92" s="84"/>
      <c r="G92" s="84"/>
      <c r="H92" s="84"/>
      <c r="I92" s="84"/>
      <c r="J92" s="84"/>
      <c r="K92" s="84"/>
      <c r="L92" s="84"/>
      <c r="M92" s="87" t="s">
        <v>359</v>
      </c>
      <c r="O92" s="7" t="s">
        <v>359</v>
      </c>
    </row>
    <row r="93" spans="1:26" ht="28.7" customHeight="1" x14ac:dyDescent="0.3">
      <c r="A93" s="10" t="s">
        <v>315</v>
      </c>
      <c r="B93" s="10" t="s">
        <v>320</v>
      </c>
      <c r="C93" s="85">
        <v>0.24049999999999999</v>
      </c>
      <c r="D93" s="32" t="s">
        <v>608</v>
      </c>
      <c r="E93" s="62">
        <f t="shared" ref="E93:F96" si="11">I93+G93+K93</f>
        <v>115116</v>
      </c>
      <c r="F93" s="89">
        <f t="shared" si="11"/>
        <v>27685.3</v>
      </c>
      <c r="G93" s="58">
        <v>0</v>
      </c>
      <c r="H93" s="89">
        <f>IF(C93=0,0,ROUNDDOWN(G93*C93,1))</f>
        <v>0</v>
      </c>
      <c r="I93" s="58">
        <v>0</v>
      </c>
      <c r="J93" s="90">
        <f>IF(C93=0,0,ROUNDDOWN(I93*C93,1))</f>
        <v>0</v>
      </c>
      <c r="K93" s="91">
        <f>경비목록표!E14</f>
        <v>115116</v>
      </c>
      <c r="L93" s="92">
        <f>IF(C93=0,0,ROUNDDOWN(K93*C93,1))</f>
        <v>27685.3</v>
      </c>
      <c r="M93" s="23" t="s">
        <v>2311</v>
      </c>
      <c r="N93" s="17" t="s">
        <v>2309</v>
      </c>
      <c r="O93" s="7" t="s">
        <v>2310</v>
      </c>
      <c r="P93" s="7" t="s">
        <v>1011</v>
      </c>
      <c r="Z93" s="3" t="str">
        <f ca="1">HYPERLINK("#"&amp;경비목록표!G2&amp;"!A"&amp;ROW(경비목록표!A14),"S00164 →")</f>
        <v>S00164 →</v>
      </c>
    </row>
    <row r="94" spans="1:26" ht="28.7" customHeight="1" x14ac:dyDescent="0.3">
      <c r="A94" s="10" t="s">
        <v>595</v>
      </c>
      <c r="B94" s="10"/>
      <c r="C94" s="85">
        <v>1</v>
      </c>
      <c r="D94" s="32" t="s">
        <v>565</v>
      </c>
      <c r="E94" s="62">
        <f t="shared" si="11"/>
        <v>57077.2</v>
      </c>
      <c r="F94" s="90">
        <f t="shared" si="11"/>
        <v>57077.2</v>
      </c>
      <c r="G94" s="91">
        <f>환율및기초자료!G6</f>
        <v>57077.2</v>
      </c>
      <c r="H94" s="93">
        <f>IF(C94=0,0,ROUNDDOWN(G94*C94,1))</f>
        <v>57077.2</v>
      </c>
      <c r="I94" s="58">
        <v>0</v>
      </c>
      <c r="J94" s="89">
        <f>IF(C94=0,0,ROUNDDOWN(I94*C94,1))</f>
        <v>0</v>
      </c>
      <c r="K94" s="58">
        <v>0</v>
      </c>
      <c r="L94" s="90">
        <f>IF(C94=0,0,ROUNDDOWN(K94*C94,1))</f>
        <v>0</v>
      </c>
      <c r="M94" s="23" t="s">
        <v>2317</v>
      </c>
      <c r="N94" s="17" t="s">
        <v>2315</v>
      </c>
      <c r="O94" s="7" t="s">
        <v>2316</v>
      </c>
      <c r="P94" s="7" t="s">
        <v>1011</v>
      </c>
      <c r="Z94" s="3" t="str">
        <f ca="1">HYPERLINK("#"&amp;환율및기초자료!I2&amp;"!A"&amp;ROW(환율및기초자료!A6),"L00038 →")</f>
        <v>L00038 →</v>
      </c>
    </row>
    <row r="95" spans="1:26" ht="28.7" customHeight="1" x14ac:dyDescent="0.3">
      <c r="A95" s="10" t="s">
        <v>479</v>
      </c>
      <c r="B95" s="10" t="s">
        <v>480</v>
      </c>
      <c r="C95" s="85">
        <v>11.6</v>
      </c>
      <c r="D95" s="32" t="s">
        <v>476</v>
      </c>
      <c r="E95" s="62">
        <f t="shared" si="11"/>
        <v>1359</v>
      </c>
      <c r="F95" s="89">
        <f t="shared" si="11"/>
        <v>15764.4</v>
      </c>
      <c r="G95" s="58">
        <v>0</v>
      </c>
      <c r="H95" s="90">
        <f>IF(C95=0,0,ROUNDDOWN(G95*C95,1))</f>
        <v>0</v>
      </c>
      <c r="I95" s="91">
        <f>재료비목록표!E21</f>
        <v>1359</v>
      </c>
      <c r="J95" s="93">
        <f>IF(C95=0,0,ROUNDDOWN(I95*C95,1))</f>
        <v>15764.4</v>
      </c>
      <c r="K95" s="58">
        <v>0</v>
      </c>
      <c r="L95" s="90">
        <f>IF(C95=0,0,ROUNDDOWN(K95*C95,1))</f>
        <v>0</v>
      </c>
      <c r="M95" s="23" t="s">
        <v>2307</v>
      </c>
      <c r="N95" s="17" t="s">
        <v>2318</v>
      </c>
      <c r="O95" s="7" t="s">
        <v>2306</v>
      </c>
      <c r="P95" s="7" t="s">
        <v>1011</v>
      </c>
      <c r="Z95" s="3" t="str">
        <f ca="1">HYPERLINK("#"&amp;재료비목록표!G2&amp;"!A"&amp;ROW(재료비목록표!A21),"M00303 →")</f>
        <v>M00303 →</v>
      </c>
    </row>
    <row r="96" spans="1:26" ht="28.7" customHeight="1" x14ac:dyDescent="0.3">
      <c r="A96" s="10" t="s">
        <v>439</v>
      </c>
      <c r="B96" s="10" t="s">
        <v>440</v>
      </c>
      <c r="C96" s="85">
        <v>22</v>
      </c>
      <c r="D96" s="32" t="s">
        <v>441</v>
      </c>
      <c r="E96" s="62">
        <f t="shared" si="11"/>
        <v>15764.4</v>
      </c>
      <c r="F96" s="89">
        <f t="shared" si="11"/>
        <v>3468.1</v>
      </c>
      <c r="G96" s="58">
        <v>0</v>
      </c>
      <c r="H96" s="90">
        <f>IF(C96=0,0,ROUNDDOWN(G96*C96/100,1))</f>
        <v>0</v>
      </c>
      <c r="I96" s="91">
        <f>J95</f>
        <v>15764.4</v>
      </c>
      <c r="J96" s="93">
        <f>IF(C96=0,0,ROUNDDOWN(I96*C96/100,1))</f>
        <v>3468.1</v>
      </c>
      <c r="K96" s="58">
        <v>0</v>
      </c>
      <c r="L96" s="90">
        <f>IF(C96=0,0,ROUNDDOWN(K96*C96/100,1))</f>
        <v>0</v>
      </c>
      <c r="M96" s="23" t="s">
        <v>2321</v>
      </c>
      <c r="N96" s="17" t="s">
        <v>2319</v>
      </c>
      <c r="O96" s="7" t="s">
        <v>2320</v>
      </c>
      <c r="P96" s="7" t="s">
        <v>1011</v>
      </c>
      <c r="Z96" s="3" t="str">
        <f ca="1">HYPERLINK("#"&amp;재료비목록표!G2&amp;"!A"&amp;ROW(재료비목록표!A11),"M00109 →")</f>
        <v>M00109 →</v>
      </c>
    </row>
    <row r="97" spans="1:26" ht="28.7" customHeight="1" x14ac:dyDescent="0.3">
      <c r="A97" s="23" t="s">
        <v>6</v>
      </c>
      <c r="B97" s="56"/>
      <c r="C97" s="56"/>
      <c r="D97" s="56"/>
      <c r="E97" s="56"/>
      <c r="F97" s="54">
        <f>J97+H97+L97</f>
        <v>103994</v>
      </c>
      <c r="G97" s="56"/>
      <c r="H97" s="54">
        <f>ROUNDDOWN(SUMIF(P93:P96,O97,H93:H96),0)</f>
        <v>57077</v>
      </c>
      <c r="I97" s="56"/>
      <c r="J97" s="54">
        <f>ROUNDDOWN(SUMIF(P93:P96,O97,J93:J96),0)</f>
        <v>19232</v>
      </c>
      <c r="K97" s="56"/>
      <c r="L97" s="54">
        <f>ROUNDDOWN(SUMIF(P93:P96,O97,L93:L96),0)</f>
        <v>27685</v>
      </c>
      <c r="M97" s="56"/>
      <c r="O97" s="7" t="s">
        <v>1011</v>
      </c>
    </row>
    <row r="98" spans="1:26" ht="28.7" customHeight="1" x14ac:dyDescent="0.3">
      <c r="A98" s="82" t="s">
        <v>360</v>
      </c>
      <c r="B98" s="82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97" t="str">
        <f>HYPERLINK("#N"&amp;ROW(N103),"_x0005_`BDCOD|X00272_x0007_`POSS|"&amp;ROW(N100)&amp;"_x0007_`POSE|"&amp;ROW(N103)&amp;"_x0007_`")</f>
        <v>_x0005_`BDCOD|X00272_x0007_`POSS|100_x0007_`POSE|103_x0007_`</v>
      </c>
    </row>
    <row r="99" spans="1:26" ht="28.7" customHeight="1" x14ac:dyDescent="0.3">
      <c r="A99" s="43" t="s">
        <v>332</v>
      </c>
      <c r="B99" s="43" t="s">
        <v>362</v>
      </c>
      <c r="C99" s="84"/>
      <c r="D99" s="87" t="s">
        <v>302</v>
      </c>
      <c r="E99" s="84"/>
      <c r="F99" s="84"/>
      <c r="G99" s="84"/>
      <c r="H99" s="84"/>
      <c r="I99" s="84"/>
      <c r="J99" s="84"/>
      <c r="K99" s="84"/>
      <c r="L99" s="84"/>
      <c r="M99" s="87" t="s">
        <v>363</v>
      </c>
      <c r="O99" s="7" t="s">
        <v>363</v>
      </c>
    </row>
    <row r="100" spans="1:26" ht="28.7" customHeight="1" x14ac:dyDescent="0.3">
      <c r="A100" s="10" t="s">
        <v>332</v>
      </c>
      <c r="B100" s="10" t="s">
        <v>333</v>
      </c>
      <c r="C100" s="85">
        <v>0.3533</v>
      </c>
      <c r="D100" s="32" t="s">
        <v>608</v>
      </c>
      <c r="E100" s="62">
        <f t="shared" ref="E100:F103" si="12">I100+G100+K100</f>
        <v>21572</v>
      </c>
      <c r="F100" s="89">
        <f t="shared" si="12"/>
        <v>7621.3</v>
      </c>
      <c r="G100" s="58">
        <v>0</v>
      </c>
      <c r="H100" s="89">
        <f>IF(C100=0,0,ROUNDDOWN(G100*C100,1))</f>
        <v>0</v>
      </c>
      <c r="I100" s="58">
        <v>0</v>
      </c>
      <c r="J100" s="90">
        <f>IF(C100=0,0,ROUNDDOWN(I100*C100,1))</f>
        <v>0</v>
      </c>
      <c r="K100" s="91">
        <f>경비목록표!E17</f>
        <v>21572</v>
      </c>
      <c r="L100" s="92">
        <f>IF(C100=0,0,ROUNDDOWN(K100*C100,1))</f>
        <v>7621.3</v>
      </c>
      <c r="M100" s="23" t="s">
        <v>2333</v>
      </c>
      <c r="N100" s="17" t="s">
        <v>2331</v>
      </c>
      <c r="O100" s="7" t="s">
        <v>2332</v>
      </c>
      <c r="P100" s="7" t="s">
        <v>1011</v>
      </c>
      <c r="Z100" s="3" t="str">
        <f ca="1">HYPERLINK("#"&amp;경비목록표!G2&amp;"!A"&amp;ROW(경비목록표!A17),"S00203 →")</f>
        <v>S00203 →</v>
      </c>
    </row>
    <row r="101" spans="1:26" ht="28.7" customHeight="1" x14ac:dyDescent="0.3">
      <c r="A101" s="10" t="s">
        <v>598</v>
      </c>
      <c r="B101" s="10"/>
      <c r="C101" s="85">
        <v>1</v>
      </c>
      <c r="D101" s="32" t="s">
        <v>565</v>
      </c>
      <c r="E101" s="62">
        <f t="shared" si="12"/>
        <v>49479.1</v>
      </c>
      <c r="F101" s="90">
        <f t="shared" si="12"/>
        <v>49479.1</v>
      </c>
      <c r="G101" s="91">
        <f>환율및기초자료!G7</f>
        <v>49479.1</v>
      </c>
      <c r="H101" s="93">
        <f>IF(C101=0,0,ROUNDDOWN(G101*C101,1))</f>
        <v>49479.1</v>
      </c>
      <c r="I101" s="58">
        <v>0</v>
      </c>
      <c r="J101" s="89">
        <f>IF(C101=0,0,ROUNDDOWN(I101*C101,1))</f>
        <v>0</v>
      </c>
      <c r="K101" s="58">
        <v>0</v>
      </c>
      <c r="L101" s="90">
        <f>IF(C101=0,0,ROUNDDOWN(K101*C101,1))</f>
        <v>0</v>
      </c>
      <c r="M101" s="23" t="s">
        <v>2304</v>
      </c>
      <c r="N101" s="17" t="s">
        <v>2302</v>
      </c>
      <c r="O101" s="7" t="s">
        <v>2303</v>
      </c>
      <c r="P101" s="7" t="s">
        <v>1011</v>
      </c>
      <c r="Z101" s="3" t="str">
        <f ca="1">HYPERLINK("#"&amp;환율및기초자료!I2&amp;"!A"&amp;ROW(환율및기초자료!A7),"L00039 →")</f>
        <v>L00039 →</v>
      </c>
    </row>
    <row r="102" spans="1:26" ht="28.7" customHeight="1" x14ac:dyDescent="0.3">
      <c r="A102" s="10" t="s">
        <v>479</v>
      </c>
      <c r="B102" s="10" t="s">
        <v>480</v>
      </c>
      <c r="C102" s="85">
        <v>2.9</v>
      </c>
      <c r="D102" s="32" t="s">
        <v>476</v>
      </c>
      <c r="E102" s="62">
        <f t="shared" si="12"/>
        <v>1359</v>
      </c>
      <c r="F102" s="89">
        <f t="shared" si="12"/>
        <v>3941.1</v>
      </c>
      <c r="G102" s="58">
        <v>0</v>
      </c>
      <c r="H102" s="90">
        <f>IF(C102=0,0,ROUNDDOWN(G102*C102,1))</f>
        <v>0</v>
      </c>
      <c r="I102" s="91">
        <f>재료비목록표!E21</f>
        <v>1359</v>
      </c>
      <c r="J102" s="93">
        <f>IF(C102=0,0,ROUNDDOWN(I102*C102,1))</f>
        <v>3941.1</v>
      </c>
      <c r="K102" s="58">
        <v>0</v>
      </c>
      <c r="L102" s="90">
        <f>IF(C102=0,0,ROUNDDOWN(K102*C102,1))</f>
        <v>0</v>
      </c>
      <c r="M102" s="23" t="s">
        <v>2307</v>
      </c>
      <c r="N102" s="17" t="s">
        <v>2318</v>
      </c>
      <c r="O102" s="7" t="s">
        <v>2306</v>
      </c>
      <c r="P102" s="7" t="s">
        <v>1011</v>
      </c>
      <c r="Z102" s="3" t="str">
        <f ca="1">HYPERLINK("#"&amp;재료비목록표!G2&amp;"!A"&amp;ROW(재료비목록표!A21),"M00303 →")</f>
        <v>M00303 →</v>
      </c>
    </row>
    <row r="103" spans="1:26" ht="28.7" customHeight="1" x14ac:dyDescent="0.3">
      <c r="A103" s="10" t="s">
        <v>439</v>
      </c>
      <c r="B103" s="10" t="s">
        <v>440</v>
      </c>
      <c r="C103" s="85">
        <v>38</v>
      </c>
      <c r="D103" s="32" t="s">
        <v>441</v>
      </c>
      <c r="E103" s="62">
        <f t="shared" si="12"/>
        <v>3941.1</v>
      </c>
      <c r="F103" s="89">
        <f t="shared" si="12"/>
        <v>1497.6</v>
      </c>
      <c r="G103" s="58">
        <v>0</v>
      </c>
      <c r="H103" s="90">
        <f>IF(C103=0,0,ROUNDDOWN(G103*C103/100,1))</f>
        <v>0</v>
      </c>
      <c r="I103" s="91">
        <f>J102</f>
        <v>3941.1</v>
      </c>
      <c r="J103" s="93">
        <f>IF(C103=0,0,ROUNDDOWN(I103*C103/100,1))</f>
        <v>1497.6</v>
      </c>
      <c r="K103" s="58">
        <v>0</v>
      </c>
      <c r="L103" s="90">
        <f>IF(C103=0,0,ROUNDDOWN(K103*C103/100,1))</f>
        <v>0</v>
      </c>
      <c r="M103" s="23" t="s">
        <v>2321</v>
      </c>
      <c r="N103" s="17" t="s">
        <v>2319</v>
      </c>
      <c r="O103" s="7" t="s">
        <v>2320</v>
      </c>
      <c r="P103" s="7" t="s">
        <v>1011</v>
      </c>
      <c r="Z103" s="3" t="str">
        <f ca="1">HYPERLINK("#"&amp;재료비목록표!G2&amp;"!A"&amp;ROW(재료비목록표!A11),"M00109 →")</f>
        <v>M00109 →</v>
      </c>
    </row>
    <row r="104" spans="1:26" ht="28.7" customHeight="1" x14ac:dyDescent="0.3">
      <c r="A104" s="23" t="s">
        <v>6</v>
      </c>
      <c r="B104" s="56"/>
      <c r="C104" s="56"/>
      <c r="D104" s="56"/>
      <c r="E104" s="56"/>
      <c r="F104" s="54">
        <f>J104+H104+L104</f>
        <v>62538</v>
      </c>
      <c r="G104" s="56"/>
      <c r="H104" s="54">
        <f>ROUNDDOWN(SUMIF(P100:P103,O104,H100:H103),0)</f>
        <v>49479</v>
      </c>
      <c r="I104" s="56"/>
      <c r="J104" s="54">
        <f>ROUNDDOWN(SUMIF(P100:P103,O104,J100:J103),0)</f>
        <v>5438</v>
      </c>
      <c r="K104" s="56"/>
      <c r="L104" s="54">
        <f>ROUNDDOWN(SUMIF(P100:P103,O104,L100:L103),0)</f>
        <v>7621</v>
      </c>
      <c r="M104" s="56"/>
      <c r="O104" s="7" t="s">
        <v>1011</v>
      </c>
    </row>
    <row r="105" spans="1:26" ht="28.7" customHeight="1" x14ac:dyDescent="0.3">
      <c r="A105" s="82" t="s">
        <v>364</v>
      </c>
      <c r="B105" s="82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97" t="str">
        <f>HYPERLINK("#N"&amp;ROW(N110),"_x0005_`BDCOD|X00275_x0007_`POSS|"&amp;ROW(N107)&amp;"_x0007_`POSE|"&amp;ROW(N110)&amp;"_x0007_`")</f>
        <v>_x0005_`BDCOD|X00275_x0007_`POSS|107_x0007_`POSE|110_x0007_`</v>
      </c>
    </row>
    <row r="106" spans="1:26" ht="28.7" customHeight="1" x14ac:dyDescent="0.3">
      <c r="A106" s="43" t="s">
        <v>332</v>
      </c>
      <c r="B106" s="43" t="s">
        <v>366</v>
      </c>
      <c r="C106" s="84"/>
      <c r="D106" s="87" t="s">
        <v>302</v>
      </c>
      <c r="E106" s="84"/>
      <c r="F106" s="84"/>
      <c r="G106" s="84"/>
      <c r="H106" s="84"/>
      <c r="I106" s="84"/>
      <c r="J106" s="84"/>
      <c r="K106" s="84"/>
      <c r="L106" s="84"/>
      <c r="M106" s="87" t="s">
        <v>367</v>
      </c>
      <c r="O106" s="7" t="s">
        <v>367</v>
      </c>
    </row>
    <row r="107" spans="1:26" ht="28.7" customHeight="1" x14ac:dyDescent="0.3">
      <c r="A107" s="10" t="s">
        <v>332</v>
      </c>
      <c r="B107" s="10" t="s">
        <v>345</v>
      </c>
      <c r="C107" s="85">
        <v>0.26790000000000003</v>
      </c>
      <c r="D107" s="32" t="s">
        <v>608</v>
      </c>
      <c r="E107" s="62">
        <f t="shared" ref="E107:F110" si="13">I107+G107+K107</f>
        <v>88973</v>
      </c>
      <c r="F107" s="89">
        <f t="shared" si="13"/>
        <v>23835.8</v>
      </c>
      <c r="G107" s="58">
        <v>0</v>
      </c>
      <c r="H107" s="89">
        <f>IF(C107=0,0,ROUNDDOWN(G107*C107,1))</f>
        <v>0</v>
      </c>
      <c r="I107" s="58">
        <v>0</v>
      </c>
      <c r="J107" s="90">
        <f>IF(C107=0,0,ROUNDDOWN(I107*C107,1))</f>
        <v>0</v>
      </c>
      <c r="K107" s="91">
        <f>경비목록표!E6</f>
        <v>88973</v>
      </c>
      <c r="L107" s="92">
        <f>IF(C107=0,0,ROUNDDOWN(K107*C107,1))</f>
        <v>23835.8</v>
      </c>
      <c r="M107" s="23" t="s">
        <v>2342</v>
      </c>
      <c r="N107" s="17" t="s">
        <v>2340</v>
      </c>
      <c r="O107" s="7" t="s">
        <v>2341</v>
      </c>
      <c r="P107" s="7" t="s">
        <v>1011</v>
      </c>
      <c r="Z107" s="3" t="str">
        <f ca="1">HYPERLINK("#"&amp;경비목록표!G2&amp;"!A"&amp;ROW(경비목록표!A6),"S00007 →")</f>
        <v>S00007 →</v>
      </c>
    </row>
    <row r="108" spans="1:26" ht="28.7" customHeight="1" x14ac:dyDescent="0.3">
      <c r="A108" s="10" t="s">
        <v>595</v>
      </c>
      <c r="B108" s="10"/>
      <c r="C108" s="85">
        <v>1</v>
      </c>
      <c r="D108" s="32" t="s">
        <v>565</v>
      </c>
      <c r="E108" s="62">
        <f t="shared" si="13"/>
        <v>57077.2</v>
      </c>
      <c r="F108" s="90">
        <f t="shared" si="13"/>
        <v>57077.2</v>
      </c>
      <c r="G108" s="91">
        <f>환율및기초자료!G6</f>
        <v>57077.2</v>
      </c>
      <c r="H108" s="93">
        <f>IF(C108=0,0,ROUNDDOWN(G108*C108,1))</f>
        <v>57077.2</v>
      </c>
      <c r="I108" s="58">
        <v>0</v>
      </c>
      <c r="J108" s="89">
        <f>IF(C108=0,0,ROUNDDOWN(I108*C108,1))</f>
        <v>0</v>
      </c>
      <c r="K108" s="58">
        <v>0</v>
      </c>
      <c r="L108" s="90">
        <f>IF(C108=0,0,ROUNDDOWN(K108*C108,1))</f>
        <v>0</v>
      </c>
      <c r="M108" s="23" t="s">
        <v>2317</v>
      </c>
      <c r="N108" s="17" t="s">
        <v>2315</v>
      </c>
      <c r="O108" s="7" t="s">
        <v>2316</v>
      </c>
      <c r="P108" s="7" t="s">
        <v>1011</v>
      </c>
      <c r="Z108" s="3" t="str">
        <f ca="1">HYPERLINK("#"&amp;환율및기초자료!I2&amp;"!A"&amp;ROW(환율및기초자료!A6),"L00038 →")</f>
        <v>L00038 →</v>
      </c>
    </row>
    <row r="109" spans="1:26" ht="28.7" customHeight="1" x14ac:dyDescent="0.3">
      <c r="A109" s="10" t="s">
        <v>479</v>
      </c>
      <c r="B109" s="10" t="s">
        <v>480</v>
      </c>
      <c r="C109" s="85">
        <v>15.9</v>
      </c>
      <c r="D109" s="32" t="s">
        <v>476</v>
      </c>
      <c r="E109" s="62">
        <f t="shared" si="13"/>
        <v>1359</v>
      </c>
      <c r="F109" s="89">
        <f t="shared" si="13"/>
        <v>21608.1</v>
      </c>
      <c r="G109" s="58">
        <v>0</v>
      </c>
      <c r="H109" s="90">
        <f>IF(C109=0,0,ROUNDDOWN(G109*C109,1))</f>
        <v>0</v>
      </c>
      <c r="I109" s="91">
        <f>재료비목록표!E21</f>
        <v>1359</v>
      </c>
      <c r="J109" s="93">
        <f>IF(C109=0,0,ROUNDDOWN(I109*C109,1))</f>
        <v>21608.1</v>
      </c>
      <c r="K109" s="58">
        <v>0</v>
      </c>
      <c r="L109" s="90">
        <f>IF(C109=0,0,ROUNDDOWN(K109*C109,1))</f>
        <v>0</v>
      </c>
      <c r="M109" s="23" t="s">
        <v>2307</v>
      </c>
      <c r="N109" s="17" t="s">
        <v>2318</v>
      </c>
      <c r="O109" s="7" t="s">
        <v>2306</v>
      </c>
      <c r="P109" s="7" t="s">
        <v>1011</v>
      </c>
      <c r="Z109" s="3" t="str">
        <f ca="1">HYPERLINK("#"&amp;재료비목록표!G2&amp;"!A"&amp;ROW(재료비목록표!A21),"M00303 →")</f>
        <v>M00303 →</v>
      </c>
    </row>
    <row r="110" spans="1:26" ht="28.7" customHeight="1" x14ac:dyDescent="0.3">
      <c r="A110" s="10" t="s">
        <v>439</v>
      </c>
      <c r="B110" s="10" t="s">
        <v>440</v>
      </c>
      <c r="C110" s="85">
        <v>38</v>
      </c>
      <c r="D110" s="32" t="s">
        <v>441</v>
      </c>
      <c r="E110" s="62">
        <f t="shared" si="13"/>
        <v>21608.1</v>
      </c>
      <c r="F110" s="89">
        <f t="shared" si="13"/>
        <v>8211</v>
      </c>
      <c r="G110" s="58">
        <v>0</v>
      </c>
      <c r="H110" s="90">
        <f>IF(C110=0,0,ROUNDDOWN(G110*C110/100,1))</f>
        <v>0</v>
      </c>
      <c r="I110" s="91">
        <f>J109</f>
        <v>21608.1</v>
      </c>
      <c r="J110" s="93">
        <f>IF(C110=0,0,ROUNDDOWN(I110*C110/100,1))</f>
        <v>8211</v>
      </c>
      <c r="K110" s="58">
        <v>0</v>
      </c>
      <c r="L110" s="90">
        <f>IF(C110=0,0,ROUNDDOWN(K110*C110/100,1))</f>
        <v>0</v>
      </c>
      <c r="M110" s="23" t="s">
        <v>2321</v>
      </c>
      <c r="N110" s="17" t="s">
        <v>2319</v>
      </c>
      <c r="O110" s="7" t="s">
        <v>2320</v>
      </c>
      <c r="P110" s="7" t="s">
        <v>1011</v>
      </c>
      <c r="Z110" s="3" t="str">
        <f ca="1">HYPERLINK("#"&amp;재료비목록표!G2&amp;"!A"&amp;ROW(재료비목록표!A11),"M00109 →")</f>
        <v>M00109 →</v>
      </c>
    </row>
    <row r="111" spans="1:26" ht="28.7" customHeight="1" x14ac:dyDescent="0.3">
      <c r="A111" s="23" t="s">
        <v>6</v>
      </c>
      <c r="B111" s="56"/>
      <c r="C111" s="56"/>
      <c r="D111" s="56"/>
      <c r="E111" s="56"/>
      <c r="F111" s="54">
        <f>J111+H111+L111</f>
        <v>110731</v>
      </c>
      <c r="G111" s="56"/>
      <c r="H111" s="54">
        <f>ROUNDDOWN(SUMIF(P107:P110,O111,H107:H110),0)</f>
        <v>57077</v>
      </c>
      <c r="I111" s="56"/>
      <c r="J111" s="54">
        <f>ROUNDDOWN(SUMIF(P107:P110,O111,J107:J110),0)</f>
        <v>29819</v>
      </c>
      <c r="K111" s="56"/>
      <c r="L111" s="54">
        <f>ROUNDDOWN(SUMIF(P107:P110,O111,L107:L110),0)</f>
        <v>23835</v>
      </c>
      <c r="M111" s="56"/>
      <c r="O111" s="7" t="s">
        <v>1011</v>
      </c>
    </row>
    <row r="112" spans="1:26" ht="28.7" customHeight="1" x14ac:dyDescent="0.3">
      <c r="A112" s="82" t="s">
        <v>368</v>
      </c>
      <c r="B112" s="82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97" t="str">
        <f>HYPERLINK("#N"&amp;ROW(N117),"_x0005_`BDCOD|X00283_x0007_`POSS|"&amp;ROW(N114)&amp;"_x0007_`POSE|"&amp;ROW(N117)&amp;"_x0007_`")</f>
        <v>_x0005_`BDCOD|X00283_x0007_`POSS|114_x0007_`POSE|117_x0007_`</v>
      </c>
    </row>
    <row r="113" spans="1:26" ht="28.7" customHeight="1" x14ac:dyDescent="0.3">
      <c r="A113" s="43" t="s">
        <v>370</v>
      </c>
      <c r="B113" s="43" t="s">
        <v>371</v>
      </c>
      <c r="C113" s="84"/>
      <c r="D113" s="87" t="s">
        <v>302</v>
      </c>
      <c r="E113" s="84"/>
      <c r="F113" s="84"/>
      <c r="G113" s="84"/>
      <c r="H113" s="84"/>
      <c r="I113" s="84"/>
      <c r="J113" s="84"/>
      <c r="K113" s="84"/>
      <c r="L113" s="84"/>
      <c r="M113" s="87" t="s">
        <v>372</v>
      </c>
      <c r="O113" s="7" t="s">
        <v>372</v>
      </c>
    </row>
    <row r="114" spans="1:26" ht="28.7" customHeight="1" x14ac:dyDescent="0.3">
      <c r="A114" s="10" t="s">
        <v>370</v>
      </c>
      <c r="B114" s="10" t="s">
        <v>371</v>
      </c>
      <c r="C114" s="85">
        <v>0.22789999999999999</v>
      </c>
      <c r="D114" s="32" t="s">
        <v>608</v>
      </c>
      <c r="E114" s="62">
        <f t="shared" ref="E114:F117" si="14">I114+G114+K114</f>
        <v>116118</v>
      </c>
      <c r="F114" s="89">
        <f t="shared" si="14"/>
        <v>26463.200000000001</v>
      </c>
      <c r="G114" s="58">
        <v>0</v>
      </c>
      <c r="H114" s="89">
        <f>IF(C114=0,0,ROUNDDOWN(G114*C114,1))</f>
        <v>0</v>
      </c>
      <c r="I114" s="58">
        <v>0</v>
      </c>
      <c r="J114" s="90">
        <f>IF(C114=0,0,ROUNDDOWN(I114*C114,1))</f>
        <v>0</v>
      </c>
      <c r="K114" s="91">
        <f>경비목록표!E23</f>
        <v>116118</v>
      </c>
      <c r="L114" s="92">
        <f>IF(C114=0,0,ROUNDDOWN(K114*C114,1))</f>
        <v>26463.200000000001</v>
      </c>
      <c r="M114" s="23" t="s">
        <v>2351</v>
      </c>
      <c r="N114" s="17" t="s">
        <v>2349</v>
      </c>
      <c r="O114" s="7" t="s">
        <v>2350</v>
      </c>
      <c r="P114" s="7" t="s">
        <v>1011</v>
      </c>
      <c r="Z114" s="3" t="str">
        <f ca="1">HYPERLINK("#"&amp;경비목록표!G2&amp;"!A"&amp;ROW(경비목록표!A23),"S00741 →")</f>
        <v>S00741 →</v>
      </c>
    </row>
    <row r="115" spans="1:26" ht="28.7" customHeight="1" x14ac:dyDescent="0.3">
      <c r="A115" s="10" t="s">
        <v>595</v>
      </c>
      <c r="B115" s="10"/>
      <c r="C115" s="85">
        <v>1</v>
      </c>
      <c r="D115" s="32" t="s">
        <v>565</v>
      </c>
      <c r="E115" s="62">
        <f t="shared" si="14"/>
        <v>57077.2</v>
      </c>
      <c r="F115" s="90">
        <f t="shared" si="14"/>
        <v>57077.2</v>
      </c>
      <c r="G115" s="91">
        <f>환율및기초자료!G6</f>
        <v>57077.2</v>
      </c>
      <c r="H115" s="93">
        <f>IF(C115=0,0,ROUNDDOWN(G115*C115,1))</f>
        <v>57077.2</v>
      </c>
      <c r="I115" s="58">
        <v>0</v>
      </c>
      <c r="J115" s="89">
        <f>IF(C115=0,0,ROUNDDOWN(I115*C115,1))</f>
        <v>0</v>
      </c>
      <c r="K115" s="58">
        <v>0</v>
      </c>
      <c r="L115" s="90">
        <f>IF(C115=0,0,ROUNDDOWN(K115*C115,1))</f>
        <v>0</v>
      </c>
      <c r="M115" s="23" t="s">
        <v>2317</v>
      </c>
      <c r="N115" s="17" t="s">
        <v>2315</v>
      </c>
      <c r="O115" s="7" t="s">
        <v>2316</v>
      </c>
      <c r="P115" s="7" t="s">
        <v>1011</v>
      </c>
      <c r="Z115" s="3" t="str">
        <f ca="1">HYPERLINK("#"&amp;환율및기초자료!I2&amp;"!A"&amp;ROW(환율및기초자료!A6),"L00038 →")</f>
        <v>L00038 →</v>
      </c>
    </row>
    <row r="116" spans="1:26" ht="28.7" customHeight="1" x14ac:dyDescent="0.3">
      <c r="A116" s="10" t="s">
        <v>479</v>
      </c>
      <c r="B116" s="10" t="s">
        <v>480</v>
      </c>
      <c r="C116" s="85">
        <v>11.6</v>
      </c>
      <c r="D116" s="32" t="s">
        <v>476</v>
      </c>
      <c r="E116" s="62">
        <f t="shared" si="14"/>
        <v>1359</v>
      </c>
      <c r="F116" s="89">
        <f t="shared" si="14"/>
        <v>15764.4</v>
      </c>
      <c r="G116" s="58">
        <v>0</v>
      </c>
      <c r="H116" s="90">
        <f>IF(C116=0,0,ROUNDDOWN(G116*C116,1))</f>
        <v>0</v>
      </c>
      <c r="I116" s="91">
        <f>재료비목록표!E21</f>
        <v>1359</v>
      </c>
      <c r="J116" s="93">
        <f>IF(C116=0,0,ROUNDDOWN(I116*C116,1))</f>
        <v>15764.4</v>
      </c>
      <c r="K116" s="58">
        <v>0</v>
      </c>
      <c r="L116" s="90">
        <f>IF(C116=0,0,ROUNDDOWN(K116*C116,1))</f>
        <v>0</v>
      </c>
      <c r="M116" s="23" t="s">
        <v>2307</v>
      </c>
      <c r="N116" s="17" t="s">
        <v>2305</v>
      </c>
      <c r="O116" s="7" t="s">
        <v>2306</v>
      </c>
      <c r="P116" s="7" t="s">
        <v>1011</v>
      </c>
      <c r="Q116" s="7" t="s">
        <v>996</v>
      </c>
      <c r="Z116" s="3" t="str">
        <f ca="1">HYPERLINK("#"&amp;재료비목록표!G2&amp;"!A"&amp;ROW(재료비목록표!A21),"M00303 →")</f>
        <v>M00303 →</v>
      </c>
    </row>
    <row r="117" spans="1:26" ht="28.7" customHeight="1" x14ac:dyDescent="0.3">
      <c r="A117" s="10" t="s">
        <v>439</v>
      </c>
      <c r="B117" s="10" t="s">
        <v>2308</v>
      </c>
      <c r="C117" s="85">
        <v>24</v>
      </c>
      <c r="D117" s="32" t="s">
        <v>441</v>
      </c>
      <c r="E117" s="62">
        <f t="shared" si="14"/>
        <v>15764.4</v>
      </c>
      <c r="F117" s="89">
        <f t="shared" si="14"/>
        <v>3783.4</v>
      </c>
      <c r="G117" s="13">
        <v>0</v>
      </c>
      <c r="H117" s="89">
        <f>IF(C117=0,0,ROUNDDOWN(G117*C117/100,1))</f>
        <v>0</v>
      </c>
      <c r="I117" s="94">
        <f>J116</f>
        <v>15764.4</v>
      </c>
      <c r="J117" s="90">
        <f>IF(C117=0,0,ROUNDDOWN(I117*C117/100,1))</f>
        <v>3783.4</v>
      </c>
      <c r="K117" s="22">
        <v>0</v>
      </c>
      <c r="L117" s="90">
        <f>IF(C117=0,0,ROUNDDOWN(K117*C117/100,1))</f>
        <v>0</v>
      </c>
      <c r="M117" s="23"/>
      <c r="N117" s="17" t="s">
        <v>1004</v>
      </c>
      <c r="O117" s="7" t="s">
        <v>1005</v>
      </c>
      <c r="P117" s="7" t="s">
        <v>1011</v>
      </c>
    </row>
    <row r="118" spans="1:26" ht="28.7" customHeight="1" x14ac:dyDescent="0.3">
      <c r="A118" s="23" t="s">
        <v>6</v>
      </c>
      <c r="B118" s="56"/>
      <c r="C118" s="56"/>
      <c r="D118" s="56"/>
      <c r="E118" s="56"/>
      <c r="F118" s="54">
        <f>J118+H118+L118</f>
        <v>103087</v>
      </c>
      <c r="G118" s="56"/>
      <c r="H118" s="54">
        <f>ROUNDDOWN(SUMIF(P114:P117,O118,H114:H117),0)</f>
        <v>57077</v>
      </c>
      <c r="I118" s="56"/>
      <c r="J118" s="54">
        <f>ROUNDDOWN(SUMIF(P114:P117,O118,J114:J117),0)</f>
        <v>19547</v>
      </c>
      <c r="K118" s="56"/>
      <c r="L118" s="54">
        <f>ROUNDDOWN(SUMIF(P114:P117,O118,L114:L117),0)</f>
        <v>26463</v>
      </c>
      <c r="M118" s="56"/>
      <c r="O118" s="7" t="s">
        <v>1011</v>
      </c>
    </row>
    <row r="119" spans="1:26" ht="28.7" customHeight="1" x14ac:dyDescent="0.3">
      <c r="A119" s="82" t="s">
        <v>373</v>
      </c>
      <c r="B119" s="82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97" t="str">
        <f>HYPERLINK("#N"&amp;ROW(N124),"_x0005_`BDCOD|X00292_x0007_`POSS|"&amp;ROW(N121)&amp;"_x0007_`POSE|"&amp;ROW(N124)&amp;"_x0007_`")</f>
        <v>_x0005_`BDCOD|X00292_x0007_`POSS|121_x0007_`POSE|124_x0007_`</v>
      </c>
    </row>
    <row r="120" spans="1:26" ht="28.7" customHeight="1" x14ac:dyDescent="0.3">
      <c r="A120" s="43" t="s">
        <v>332</v>
      </c>
      <c r="B120" s="43" t="s">
        <v>375</v>
      </c>
      <c r="C120" s="84"/>
      <c r="D120" s="87" t="s">
        <v>302</v>
      </c>
      <c r="E120" s="84"/>
      <c r="F120" s="84"/>
      <c r="G120" s="84"/>
      <c r="H120" s="84"/>
      <c r="I120" s="84"/>
      <c r="J120" s="84"/>
      <c r="K120" s="84"/>
      <c r="L120" s="84"/>
      <c r="M120" s="87" t="s">
        <v>376</v>
      </c>
      <c r="O120" s="7" t="s">
        <v>376</v>
      </c>
    </row>
    <row r="121" spans="1:26" ht="28.7" customHeight="1" x14ac:dyDescent="0.3">
      <c r="A121" s="10" t="s">
        <v>332</v>
      </c>
      <c r="B121" s="10" t="s">
        <v>375</v>
      </c>
      <c r="C121" s="85">
        <v>0.22289999999999999</v>
      </c>
      <c r="D121" s="32" t="s">
        <v>608</v>
      </c>
      <c r="E121" s="62">
        <f t="shared" ref="E121:F124" si="15">I121+G121+K121</f>
        <v>145014</v>
      </c>
      <c r="F121" s="89">
        <f t="shared" si="15"/>
        <v>32323.599999999999</v>
      </c>
      <c r="G121" s="58">
        <v>0</v>
      </c>
      <c r="H121" s="89">
        <f>IF(C121=0,0,ROUNDDOWN(G121*C121,1))</f>
        <v>0</v>
      </c>
      <c r="I121" s="58">
        <v>0</v>
      </c>
      <c r="J121" s="90">
        <f>IF(C121=0,0,ROUNDDOWN(I121*C121,1))</f>
        <v>0</v>
      </c>
      <c r="K121" s="91">
        <f>경비목록표!E21</f>
        <v>145014</v>
      </c>
      <c r="L121" s="92">
        <f>IF(C121=0,0,ROUNDDOWN(K121*C121,1))</f>
        <v>32323.599999999999</v>
      </c>
      <c r="M121" s="23" t="s">
        <v>2354</v>
      </c>
      <c r="N121" s="17" t="s">
        <v>2352</v>
      </c>
      <c r="O121" s="7" t="s">
        <v>2353</v>
      </c>
      <c r="P121" s="7" t="s">
        <v>1011</v>
      </c>
      <c r="Z121" s="3" t="str">
        <f ca="1">HYPERLINK("#"&amp;경비목록표!G2&amp;"!A"&amp;ROW(경비목록표!A21),"S00724 →")</f>
        <v>S00724 →</v>
      </c>
    </row>
    <row r="122" spans="1:26" ht="28.7" customHeight="1" x14ac:dyDescent="0.3">
      <c r="A122" s="10" t="s">
        <v>595</v>
      </c>
      <c r="B122" s="10"/>
      <c r="C122" s="85">
        <v>1</v>
      </c>
      <c r="D122" s="32" t="s">
        <v>565</v>
      </c>
      <c r="E122" s="62">
        <f t="shared" si="15"/>
        <v>57077.2</v>
      </c>
      <c r="F122" s="90">
        <f t="shared" si="15"/>
        <v>57077.2</v>
      </c>
      <c r="G122" s="91">
        <f>환율및기초자료!G6</f>
        <v>57077.2</v>
      </c>
      <c r="H122" s="93">
        <f>IF(C122=0,0,ROUNDDOWN(G122*C122,1))</f>
        <v>57077.2</v>
      </c>
      <c r="I122" s="58">
        <v>0</v>
      </c>
      <c r="J122" s="89">
        <f>IF(C122=0,0,ROUNDDOWN(I122*C122,1))</f>
        <v>0</v>
      </c>
      <c r="K122" s="58">
        <v>0</v>
      </c>
      <c r="L122" s="90">
        <f>IF(C122=0,0,ROUNDDOWN(K122*C122,1))</f>
        <v>0</v>
      </c>
      <c r="M122" s="23" t="s">
        <v>2317</v>
      </c>
      <c r="N122" s="17" t="s">
        <v>2315</v>
      </c>
      <c r="O122" s="7" t="s">
        <v>2316</v>
      </c>
      <c r="P122" s="7" t="s">
        <v>1011</v>
      </c>
      <c r="Z122" s="3" t="str">
        <f ca="1">HYPERLINK("#"&amp;환율및기초자료!I2&amp;"!A"&amp;ROW(환율및기초자료!A6),"L00038 →")</f>
        <v>L00038 →</v>
      </c>
    </row>
    <row r="123" spans="1:26" ht="28.7" customHeight="1" x14ac:dyDescent="0.3">
      <c r="A123" s="10" t="s">
        <v>479</v>
      </c>
      <c r="B123" s="10" t="s">
        <v>480</v>
      </c>
      <c r="C123" s="85">
        <v>23</v>
      </c>
      <c r="D123" s="32" t="s">
        <v>476</v>
      </c>
      <c r="E123" s="62">
        <f t="shared" si="15"/>
        <v>1359</v>
      </c>
      <c r="F123" s="89">
        <f t="shared" si="15"/>
        <v>31257</v>
      </c>
      <c r="G123" s="58">
        <v>0</v>
      </c>
      <c r="H123" s="90">
        <f>IF(C123=0,0,ROUNDDOWN(G123*C123,1))</f>
        <v>0</v>
      </c>
      <c r="I123" s="91">
        <f>재료비목록표!E21</f>
        <v>1359</v>
      </c>
      <c r="J123" s="93">
        <f>IF(C123=0,0,ROUNDDOWN(I123*C123,1))</f>
        <v>31257</v>
      </c>
      <c r="K123" s="58">
        <v>0</v>
      </c>
      <c r="L123" s="90">
        <f>IF(C123=0,0,ROUNDDOWN(K123*C123,1))</f>
        <v>0</v>
      </c>
      <c r="M123" s="23" t="s">
        <v>2307</v>
      </c>
      <c r="N123" s="17" t="s">
        <v>2305</v>
      </c>
      <c r="O123" s="7" t="s">
        <v>2306</v>
      </c>
      <c r="P123" s="7" t="s">
        <v>1011</v>
      </c>
      <c r="Q123" s="7" t="s">
        <v>996</v>
      </c>
      <c r="Z123" s="3" t="str">
        <f ca="1">HYPERLINK("#"&amp;재료비목록표!G2&amp;"!A"&amp;ROW(재료비목록표!A21),"M00303 →")</f>
        <v>M00303 →</v>
      </c>
    </row>
    <row r="124" spans="1:26" ht="28.7" customHeight="1" x14ac:dyDescent="0.3">
      <c r="A124" s="10" t="s">
        <v>439</v>
      </c>
      <c r="B124" s="10" t="s">
        <v>2308</v>
      </c>
      <c r="C124" s="85">
        <v>38</v>
      </c>
      <c r="D124" s="32" t="s">
        <v>441</v>
      </c>
      <c r="E124" s="62">
        <f t="shared" si="15"/>
        <v>31257</v>
      </c>
      <c r="F124" s="89">
        <f t="shared" si="15"/>
        <v>11877.6</v>
      </c>
      <c r="G124" s="13">
        <v>0</v>
      </c>
      <c r="H124" s="89">
        <f>IF(C124=0,0,ROUNDDOWN(G124*C124/100,1))</f>
        <v>0</v>
      </c>
      <c r="I124" s="94">
        <f>J123</f>
        <v>31257</v>
      </c>
      <c r="J124" s="90">
        <f>IF(C124=0,0,ROUNDDOWN(I124*C124/100,1))</f>
        <v>11877.6</v>
      </c>
      <c r="K124" s="22">
        <v>0</v>
      </c>
      <c r="L124" s="90">
        <f>IF(C124=0,0,ROUNDDOWN(K124*C124/100,1))</f>
        <v>0</v>
      </c>
      <c r="M124" s="23"/>
      <c r="N124" s="17" t="s">
        <v>1004</v>
      </c>
      <c r="O124" s="7" t="s">
        <v>1005</v>
      </c>
      <c r="P124" s="7" t="s">
        <v>1011</v>
      </c>
    </row>
    <row r="125" spans="1:26" ht="28.7" customHeight="1" x14ac:dyDescent="0.3">
      <c r="A125" s="23" t="s">
        <v>6</v>
      </c>
      <c r="B125" s="56"/>
      <c r="C125" s="56"/>
      <c r="D125" s="56"/>
      <c r="E125" s="56"/>
      <c r="F125" s="54">
        <f>J125+H125+L125</f>
        <v>132534</v>
      </c>
      <c r="G125" s="56"/>
      <c r="H125" s="54">
        <f>ROUNDDOWN(SUMIF(P121:P124,O125,H121:H124),0)</f>
        <v>57077</v>
      </c>
      <c r="I125" s="56"/>
      <c r="J125" s="54">
        <f>ROUNDDOWN(SUMIF(P121:P124,O125,J121:J124),0)</f>
        <v>43134</v>
      </c>
      <c r="K125" s="56"/>
      <c r="L125" s="54">
        <f>ROUNDDOWN(SUMIF(P121:P124,O125,L121:L124),0)</f>
        <v>32323</v>
      </c>
      <c r="M125" s="56"/>
      <c r="O125" s="7" t="s">
        <v>1011</v>
      </c>
    </row>
    <row r="126" spans="1:26" ht="28.7" customHeight="1" x14ac:dyDescent="0.3">
      <c r="A126" s="82" t="s">
        <v>377</v>
      </c>
      <c r="B126" s="82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97" t="str">
        <f>HYPERLINK("#N"&amp;ROW(N131),"_x0005_`BDCOD|X00350_x0007_`POSS|"&amp;ROW(N128)&amp;"_x0007_`POSE|"&amp;ROW(N131)&amp;"_x0007_`")</f>
        <v>_x0005_`BDCOD|X00350_x0007_`POSS|128_x0007_`POSE|131_x0007_`</v>
      </c>
    </row>
    <row r="127" spans="1:26" ht="28.7" customHeight="1" x14ac:dyDescent="0.3">
      <c r="A127" s="43" t="s">
        <v>379</v>
      </c>
      <c r="B127" s="43" t="s">
        <v>380</v>
      </c>
      <c r="C127" s="84"/>
      <c r="D127" s="87" t="s">
        <v>302</v>
      </c>
      <c r="E127" s="84"/>
      <c r="F127" s="84"/>
      <c r="G127" s="84"/>
      <c r="H127" s="84"/>
      <c r="I127" s="84"/>
      <c r="J127" s="84"/>
      <c r="K127" s="84"/>
      <c r="L127" s="84"/>
      <c r="M127" s="87" t="s">
        <v>381</v>
      </c>
      <c r="O127" s="7" t="s">
        <v>381</v>
      </c>
    </row>
    <row r="128" spans="1:26" ht="28.7" customHeight="1" x14ac:dyDescent="0.3">
      <c r="A128" s="10" t="s">
        <v>379</v>
      </c>
      <c r="B128" s="10" t="s">
        <v>380</v>
      </c>
      <c r="C128" s="85">
        <v>0.3039</v>
      </c>
      <c r="D128" s="32" t="s">
        <v>608</v>
      </c>
      <c r="E128" s="62">
        <f t="shared" ref="E128:F131" si="16">I128+G128+K128</f>
        <v>5638</v>
      </c>
      <c r="F128" s="89">
        <f t="shared" si="16"/>
        <v>1713.3</v>
      </c>
      <c r="G128" s="58">
        <v>0</v>
      </c>
      <c r="H128" s="89">
        <f>IF(C128=0,0,ROUNDDOWN(G128*C128,1))</f>
        <v>0</v>
      </c>
      <c r="I128" s="58">
        <v>0</v>
      </c>
      <c r="J128" s="90">
        <f>IF(C128=0,0,ROUNDDOWN(I128*C128,1))</f>
        <v>0</v>
      </c>
      <c r="K128" s="91">
        <f>경비목록표!E8</f>
        <v>5638</v>
      </c>
      <c r="L128" s="92">
        <f>IF(C128=0,0,ROUNDDOWN(K128*C128,1))</f>
        <v>1713.3</v>
      </c>
      <c r="M128" s="23" t="s">
        <v>2357</v>
      </c>
      <c r="N128" s="17" t="s">
        <v>2355</v>
      </c>
      <c r="O128" s="7" t="s">
        <v>2356</v>
      </c>
      <c r="P128" s="7" t="s">
        <v>1011</v>
      </c>
      <c r="Z128" s="3" t="str">
        <f ca="1">HYPERLINK("#"&amp;경비목록표!G2&amp;"!A"&amp;ROW(경비목록표!A8),"S00031 →")</f>
        <v>S00031 →</v>
      </c>
    </row>
    <row r="129" spans="1:26" ht="28.7" customHeight="1" x14ac:dyDescent="0.3">
      <c r="A129" s="10" t="s">
        <v>601</v>
      </c>
      <c r="B129" s="10"/>
      <c r="C129" s="85">
        <v>1</v>
      </c>
      <c r="D129" s="32" t="s">
        <v>565</v>
      </c>
      <c r="E129" s="62">
        <f t="shared" si="16"/>
        <v>35608.300000000003</v>
      </c>
      <c r="F129" s="90">
        <f t="shared" si="16"/>
        <v>35608.300000000003</v>
      </c>
      <c r="G129" s="91">
        <f>환율및기초자료!G8</f>
        <v>35608.300000000003</v>
      </c>
      <c r="H129" s="93">
        <f>IF(C129=0,0,ROUNDDOWN(G129*C129,1))</f>
        <v>35608.300000000003</v>
      </c>
      <c r="I129" s="58">
        <v>0</v>
      </c>
      <c r="J129" s="89">
        <f>IF(C129=0,0,ROUNDDOWN(I129*C129,1))</f>
        <v>0</v>
      </c>
      <c r="K129" s="58">
        <v>0</v>
      </c>
      <c r="L129" s="90">
        <f>IF(C129=0,0,ROUNDDOWN(K129*C129,1))</f>
        <v>0</v>
      </c>
      <c r="M129" s="23" t="s">
        <v>2360</v>
      </c>
      <c r="N129" s="17" t="s">
        <v>2358</v>
      </c>
      <c r="O129" s="7" t="s">
        <v>2359</v>
      </c>
      <c r="P129" s="7" t="s">
        <v>1011</v>
      </c>
      <c r="Z129" s="3" t="str">
        <f ca="1">HYPERLINK("#"&amp;환율및기초자료!I2&amp;"!A"&amp;ROW(환율및기초자료!A8),"L00040 →")</f>
        <v>L00040 →</v>
      </c>
    </row>
    <row r="130" spans="1:26" ht="28.7" customHeight="1" x14ac:dyDescent="0.3">
      <c r="A130" s="10" t="s">
        <v>474</v>
      </c>
      <c r="B130" s="10" t="s">
        <v>475</v>
      </c>
      <c r="C130" s="85">
        <v>3.9</v>
      </c>
      <c r="D130" s="32" t="s">
        <v>476</v>
      </c>
      <c r="E130" s="62">
        <f t="shared" si="16"/>
        <v>1518</v>
      </c>
      <c r="F130" s="89">
        <f t="shared" si="16"/>
        <v>5920.2</v>
      </c>
      <c r="G130" s="58">
        <v>0</v>
      </c>
      <c r="H130" s="90">
        <f>IF(C130=0,0,ROUNDDOWN(G130*C130,1))</f>
        <v>0</v>
      </c>
      <c r="I130" s="91">
        <f>재료비목록표!E20</f>
        <v>1518</v>
      </c>
      <c r="J130" s="93">
        <f>IF(C130=0,0,ROUNDDOWN(I130*C130,1))</f>
        <v>5920.2</v>
      </c>
      <c r="K130" s="58">
        <v>0</v>
      </c>
      <c r="L130" s="90">
        <f>IF(C130=0,0,ROUNDDOWN(K130*C130,1))</f>
        <v>0</v>
      </c>
      <c r="M130" s="23" t="s">
        <v>2363</v>
      </c>
      <c r="N130" s="17" t="s">
        <v>2361</v>
      </c>
      <c r="O130" s="7" t="s">
        <v>2362</v>
      </c>
      <c r="P130" s="7" t="s">
        <v>1011</v>
      </c>
      <c r="Q130" s="7" t="s">
        <v>996</v>
      </c>
      <c r="Z130" s="3" t="str">
        <f ca="1">HYPERLINK("#"&amp;재료비목록표!G2&amp;"!A"&amp;ROW(재료비목록표!A20),"M00302 →")</f>
        <v>M00302 →</v>
      </c>
    </row>
    <row r="131" spans="1:26" ht="28.7" customHeight="1" x14ac:dyDescent="0.3">
      <c r="A131" s="10" t="s">
        <v>439</v>
      </c>
      <c r="B131" s="10" t="s">
        <v>2308</v>
      </c>
      <c r="C131" s="85">
        <v>2</v>
      </c>
      <c r="D131" s="32" t="s">
        <v>441</v>
      </c>
      <c r="E131" s="62">
        <f t="shared" si="16"/>
        <v>5920.2</v>
      </c>
      <c r="F131" s="89">
        <f t="shared" si="16"/>
        <v>118.4</v>
      </c>
      <c r="G131" s="13">
        <v>0</v>
      </c>
      <c r="H131" s="89">
        <f>IF(C131=0,0,ROUNDDOWN(G131*C131/100,1))</f>
        <v>0</v>
      </c>
      <c r="I131" s="94">
        <f>J130</f>
        <v>5920.2</v>
      </c>
      <c r="J131" s="90">
        <f>IF(C131=0,0,ROUNDDOWN(I131*C131/100,1))</f>
        <v>118.4</v>
      </c>
      <c r="K131" s="22">
        <v>0</v>
      </c>
      <c r="L131" s="90">
        <f>IF(C131=0,0,ROUNDDOWN(K131*C131/100,1))</f>
        <v>0</v>
      </c>
      <c r="M131" s="23"/>
      <c r="N131" s="17" t="s">
        <v>1004</v>
      </c>
      <c r="O131" s="7" t="s">
        <v>1005</v>
      </c>
      <c r="P131" s="7" t="s">
        <v>1011</v>
      </c>
    </row>
    <row r="132" spans="1:26" ht="28.7" customHeight="1" x14ac:dyDescent="0.3">
      <c r="A132" s="23" t="s">
        <v>6</v>
      </c>
      <c r="B132" s="56"/>
      <c r="C132" s="56"/>
      <c r="D132" s="56"/>
      <c r="E132" s="56"/>
      <c r="F132" s="54">
        <f>J132+H132+L132</f>
        <v>43359</v>
      </c>
      <c r="G132" s="56"/>
      <c r="H132" s="54">
        <f>ROUNDDOWN(SUMIF(P128:P131,O132,H128:H131),0)</f>
        <v>35608</v>
      </c>
      <c r="I132" s="56"/>
      <c r="J132" s="54">
        <f>ROUNDDOWN(SUMIF(P128:P131,O132,J128:J131),0)</f>
        <v>6038</v>
      </c>
      <c r="K132" s="56"/>
      <c r="L132" s="54">
        <f>ROUNDDOWN(SUMIF(P128:P131,O132,L128:L131),0)</f>
        <v>1713</v>
      </c>
      <c r="M132" s="56"/>
      <c r="O132" s="7" t="s">
        <v>1011</v>
      </c>
    </row>
    <row r="133" spans="1:26" ht="28.7" customHeight="1" x14ac:dyDescent="0.3">
      <c r="A133" s="82" t="s">
        <v>382</v>
      </c>
      <c r="B133" s="82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97" t="str">
        <f>HYPERLINK("#N"&amp;ROW(N138),"_x0005_`BDCOD|X00352_x0007_`POSS|"&amp;ROW(N135)&amp;"_x0007_`POSE|"&amp;ROW(N138)&amp;"_x0007_`")</f>
        <v>_x0005_`BDCOD|X00352_x0007_`POSS|135_x0007_`POSE|138_x0007_`</v>
      </c>
    </row>
    <row r="134" spans="1:26" ht="28.7" customHeight="1" x14ac:dyDescent="0.3">
      <c r="A134" s="43" t="s">
        <v>384</v>
      </c>
      <c r="B134" s="43" t="s">
        <v>385</v>
      </c>
      <c r="C134" s="84"/>
      <c r="D134" s="87" t="s">
        <v>302</v>
      </c>
      <c r="E134" s="84"/>
      <c r="F134" s="84"/>
      <c r="G134" s="84"/>
      <c r="H134" s="84"/>
      <c r="I134" s="84"/>
      <c r="J134" s="84"/>
      <c r="K134" s="84"/>
      <c r="L134" s="84"/>
      <c r="M134" s="87" t="s">
        <v>386</v>
      </c>
      <c r="O134" s="7" t="s">
        <v>386</v>
      </c>
    </row>
    <row r="135" spans="1:26" ht="28.7" customHeight="1" x14ac:dyDescent="0.3">
      <c r="A135" s="10" t="s">
        <v>384</v>
      </c>
      <c r="B135" s="10" t="s">
        <v>385</v>
      </c>
      <c r="C135" s="85">
        <v>0.63539999999999996</v>
      </c>
      <c r="D135" s="32" t="s">
        <v>608</v>
      </c>
      <c r="E135" s="62">
        <f t="shared" ref="E135:F138" si="17">I135+G135+K135</f>
        <v>3118</v>
      </c>
      <c r="F135" s="89">
        <f t="shared" si="17"/>
        <v>1981.1</v>
      </c>
      <c r="G135" s="58">
        <v>0</v>
      </c>
      <c r="H135" s="89">
        <f>IF(C135=0,0,ROUNDDOWN(G135*C135,1))</f>
        <v>0</v>
      </c>
      <c r="I135" s="58">
        <v>0</v>
      </c>
      <c r="J135" s="90">
        <f>IF(C135=0,0,ROUNDDOWN(I135*C135,1))</f>
        <v>0</v>
      </c>
      <c r="K135" s="91">
        <f>경비목록표!E20</f>
        <v>3118</v>
      </c>
      <c r="L135" s="92">
        <f>IF(C135=0,0,ROUNDDOWN(K135*C135,1))</f>
        <v>1981.1</v>
      </c>
      <c r="M135" s="23" t="s">
        <v>2366</v>
      </c>
      <c r="N135" s="17" t="s">
        <v>2364</v>
      </c>
      <c r="O135" s="7" t="s">
        <v>2365</v>
      </c>
      <c r="P135" s="7" t="s">
        <v>1011</v>
      </c>
      <c r="Z135" s="3" t="str">
        <f ca="1">HYPERLINK("#"&amp;경비목록표!G2&amp;"!A"&amp;ROW(경비목록표!A20),"S00391 →")</f>
        <v>S00391 →</v>
      </c>
    </row>
    <row r="136" spans="1:26" ht="28.7" customHeight="1" x14ac:dyDescent="0.3">
      <c r="A136" s="10" t="s">
        <v>601</v>
      </c>
      <c r="B136" s="10"/>
      <c r="C136" s="85">
        <v>1</v>
      </c>
      <c r="D136" s="32" t="s">
        <v>565</v>
      </c>
      <c r="E136" s="62">
        <f t="shared" si="17"/>
        <v>35608.300000000003</v>
      </c>
      <c r="F136" s="90">
        <f t="shared" si="17"/>
        <v>35608.300000000003</v>
      </c>
      <c r="G136" s="91">
        <f>환율및기초자료!G8</f>
        <v>35608.300000000003</v>
      </c>
      <c r="H136" s="93">
        <f>IF(C136=0,0,ROUNDDOWN(G136*C136,1))</f>
        <v>35608.300000000003</v>
      </c>
      <c r="I136" s="58">
        <v>0</v>
      </c>
      <c r="J136" s="89">
        <f>IF(C136=0,0,ROUNDDOWN(I136*C136,1))</f>
        <v>0</v>
      </c>
      <c r="K136" s="58">
        <v>0</v>
      </c>
      <c r="L136" s="90">
        <f>IF(C136=0,0,ROUNDDOWN(K136*C136,1))</f>
        <v>0</v>
      </c>
      <c r="M136" s="23" t="s">
        <v>2360</v>
      </c>
      <c r="N136" s="17" t="s">
        <v>2358</v>
      </c>
      <c r="O136" s="7" t="s">
        <v>2359</v>
      </c>
      <c r="P136" s="7" t="s">
        <v>1011</v>
      </c>
      <c r="Z136" s="3" t="str">
        <f ca="1">HYPERLINK("#"&amp;환율및기초자료!I2&amp;"!A"&amp;ROW(환율및기초자료!A8),"L00040 →")</f>
        <v>L00040 →</v>
      </c>
    </row>
    <row r="137" spans="1:26" ht="28.7" customHeight="1" x14ac:dyDescent="0.3">
      <c r="A137" s="10" t="s">
        <v>474</v>
      </c>
      <c r="B137" s="10" t="s">
        <v>475</v>
      </c>
      <c r="C137" s="85">
        <v>5.6</v>
      </c>
      <c r="D137" s="32" t="s">
        <v>476</v>
      </c>
      <c r="E137" s="62">
        <f t="shared" si="17"/>
        <v>1518</v>
      </c>
      <c r="F137" s="89">
        <f t="shared" si="17"/>
        <v>8500.7999999999993</v>
      </c>
      <c r="G137" s="58">
        <v>0</v>
      </c>
      <c r="H137" s="90">
        <f>IF(C137=0,0,ROUNDDOWN(G137*C137,1))</f>
        <v>0</v>
      </c>
      <c r="I137" s="91">
        <f>재료비목록표!E20</f>
        <v>1518</v>
      </c>
      <c r="J137" s="93">
        <f>IF(C137=0,0,ROUNDDOWN(I137*C137,1))</f>
        <v>8500.7999999999993</v>
      </c>
      <c r="K137" s="58">
        <v>0</v>
      </c>
      <c r="L137" s="90">
        <f>IF(C137=0,0,ROUNDDOWN(K137*C137,1))</f>
        <v>0</v>
      </c>
      <c r="M137" s="23" t="s">
        <v>2363</v>
      </c>
      <c r="N137" s="17" t="s">
        <v>2361</v>
      </c>
      <c r="O137" s="7" t="s">
        <v>2362</v>
      </c>
      <c r="P137" s="7" t="s">
        <v>1011</v>
      </c>
      <c r="Q137" s="7" t="s">
        <v>996</v>
      </c>
      <c r="Z137" s="3" t="str">
        <f ca="1">HYPERLINK("#"&amp;재료비목록표!G2&amp;"!A"&amp;ROW(재료비목록표!A20),"M00302 →")</f>
        <v>M00302 →</v>
      </c>
    </row>
    <row r="138" spans="1:26" ht="28.7" customHeight="1" x14ac:dyDescent="0.3">
      <c r="A138" s="10" t="s">
        <v>439</v>
      </c>
      <c r="B138" s="10" t="s">
        <v>2308</v>
      </c>
      <c r="C138" s="85">
        <v>20</v>
      </c>
      <c r="D138" s="32" t="s">
        <v>441</v>
      </c>
      <c r="E138" s="62">
        <f t="shared" si="17"/>
        <v>8500.7999999999993</v>
      </c>
      <c r="F138" s="89">
        <f t="shared" si="17"/>
        <v>1700.1</v>
      </c>
      <c r="G138" s="13">
        <v>0</v>
      </c>
      <c r="H138" s="89">
        <f>IF(C138=0,0,ROUNDDOWN(G138*C138/100,1))</f>
        <v>0</v>
      </c>
      <c r="I138" s="94">
        <f>J137</f>
        <v>8500.7999999999993</v>
      </c>
      <c r="J138" s="90">
        <f>IF(C138=0,0,ROUNDDOWN(I138*C138/100,1))</f>
        <v>1700.1</v>
      </c>
      <c r="K138" s="22">
        <v>0</v>
      </c>
      <c r="L138" s="90">
        <f>IF(C138=0,0,ROUNDDOWN(K138*C138/100,1))</f>
        <v>0</v>
      </c>
      <c r="M138" s="23"/>
      <c r="N138" s="17" t="s">
        <v>1004</v>
      </c>
      <c r="O138" s="7" t="s">
        <v>1005</v>
      </c>
      <c r="P138" s="7" t="s">
        <v>1011</v>
      </c>
    </row>
    <row r="139" spans="1:26" ht="28.7" customHeight="1" x14ac:dyDescent="0.3">
      <c r="A139" s="23" t="s">
        <v>6</v>
      </c>
      <c r="B139" s="56"/>
      <c r="C139" s="56"/>
      <c r="D139" s="56"/>
      <c r="E139" s="56"/>
      <c r="F139" s="54">
        <f>J139+H139+L139</f>
        <v>47789</v>
      </c>
      <c r="G139" s="56"/>
      <c r="H139" s="54">
        <f>ROUNDDOWN(SUMIF(P135:P138,O139,H135:H138),0)</f>
        <v>35608</v>
      </c>
      <c r="I139" s="56"/>
      <c r="J139" s="54">
        <f>ROUNDDOWN(SUMIF(P135:P138,O139,J135:J138),0)</f>
        <v>10200</v>
      </c>
      <c r="K139" s="56"/>
      <c r="L139" s="54">
        <f>ROUNDDOWN(SUMIF(P135:P138,O139,L135:L138),0)</f>
        <v>1981</v>
      </c>
      <c r="M139" s="56"/>
      <c r="O139" s="7" t="s">
        <v>1011</v>
      </c>
    </row>
    <row r="140" spans="1:26" ht="28.7" customHeight="1" x14ac:dyDescent="0.3">
      <c r="A140" s="82" t="s">
        <v>387</v>
      </c>
      <c r="B140" s="82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97" t="str">
        <f>HYPERLINK("#N"&amp;ROW(N145),"_x0005_`BDCOD|X00568_x0007_`POSS|"&amp;ROW(N142)&amp;"_x0007_`POSE|"&amp;ROW(N145)&amp;"_x0007_`")</f>
        <v>_x0005_`BDCOD|X00568_x0007_`POSS|142_x0007_`POSE|145_x0007_`</v>
      </c>
    </row>
    <row r="141" spans="1:26" ht="28.7" customHeight="1" x14ac:dyDescent="0.3">
      <c r="A141" s="43" t="s">
        <v>300</v>
      </c>
      <c r="B141" s="43" t="s">
        <v>389</v>
      </c>
      <c r="C141" s="84"/>
      <c r="D141" s="87" t="s">
        <v>302</v>
      </c>
      <c r="E141" s="84"/>
      <c r="F141" s="84"/>
      <c r="G141" s="84"/>
      <c r="H141" s="84"/>
      <c r="I141" s="84"/>
      <c r="J141" s="84"/>
      <c r="K141" s="84"/>
      <c r="L141" s="84"/>
      <c r="M141" s="87" t="s">
        <v>390</v>
      </c>
      <c r="O141" s="7" t="s">
        <v>390</v>
      </c>
    </row>
    <row r="142" spans="1:26" ht="28.7" customHeight="1" x14ac:dyDescent="0.3">
      <c r="A142" s="10" t="s">
        <v>300</v>
      </c>
      <c r="B142" s="10" t="s">
        <v>389</v>
      </c>
      <c r="C142" s="85">
        <v>0.25979999999999998</v>
      </c>
      <c r="D142" s="32" t="s">
        <v>608</v>
      </c>
      <c r="E142" s="62">
        <f t="shared" ref="E142:F145" si="18">I142+G142+K142</f>
        <v>86757</v>
      </c>
      <c r="F142" s="89">
        <f t="shared" si="18"/>
        <v>22539.4</v>
      </c>
      <c r="G142" s="58">
        <v>0</v>
      </c>
      <c r="H142" s="89">
        <f>IF(C142=0,0,ROUNDDOWN(G142*C142,1))</f>
        <v>0</v>
      </c>
      <c r="I142" s="58">
        <v>0</v>
      </c>
      <c r="J142" s="90">
        <f>IF(C142=0,0,ROUNDDOWN(I142*C142,1))</f>
        <v>0</v>
      </c>
      <c r="K142" s="91">
        <f>경비목록표!E18</f>
        <v>86757</v>
      </c>
      <c r="L142" s="92">
        <f>IF(C142=0,0,ROUNDDOWN(K142*C142,1))</f>
        <v>22539.4</v>
      </c>
      <c r="M142" s="23" t="s">
        <v>2369</v>
      </c>
      <c r="N142" s="17" t="s">
        <v>2367</v>
      </c>
      <c r="O142" s="7" t="s">
        <v>2368</v>
      </c>
      <c r="P142" s="7" t="s">
        <v>1011</v>
      </c>
      <c r="Z142" s="3" t="str">
        <f ca="1">HYPERLINK("#"&amp;경비목록표!G2&amp;"!A"&amp;ROW(경비목록표!A18),"S00276 →")</f>
        <v>S00276 →</v>
      </c>
    </row>
    <row r="143" spans="1:26" ht="28.7" customHeight="1" x14ac:dyDescent="0.3">
      <c r="A143" s="10" t="s">
        <v>598</v>
      </c>
      <c r="B143" s="10"/>
      <c r="C143" s="85">
        <v>1</v>
      </c>
      <c r="D143" s="32" t="s">
        <v>565</v>
      </c>
      <c r="E143" s="62">
        <f t="shared" si="18"/>
        <v>49479.1</v>
      </c>
      <c r="F143" s="90">
        <f t="shared" si="18"/>
        <v>49479.1</v>
      </c>
      <c r="G143" s="91">
        <f>환율및기초자료!G7</f>
        <v>49479.1</v>
      </c>
      <c r="H143" s="93">
        <f>IF(C143=0,0,ROUNDDOWN(G143*C143,1))</f>
        <v>49479.1</v>
      </c>
      <c r="I143" s="58">
        <v>0</v>
      </c>
      <c r="J143" s="89">
        <f>IF(C143=0,0,ROUNDDOWN(I143*C143,1))</f>
        <v>0</v>
      </c>
      <c r="K143" s="58">
        <v>0</v>
      </c>
      <c r="L143" s="90">
        <f>IF(C143=0,0,ROUNDDOWN(K143*C143,1))</f>
        <v>0</v>
      </c>
      <c r="M143" s="23" t="s">
        <v>2304</v>
      </c>
      <c r="N143" s="17" t="s">
        <v>2302</v>
      </c>
      <c r="O143" s="7" t="s">
        <v>2303</v>
      </c>
      <c r="P143" s="7" t="s">
        <v>1011</v>
      </c>
      <c r="Z143" s="3" t="str">
        <f ca="1">HYPERLINK("#"&amp;환율및기초자료!I2&amp;"!A"&amp;ROW(환율및기초자료!A7),"L00039 →")</f>
        <v>L00039 →</v>
      </c>
    </row>
    <row r="144" spans="1:26" ht="28.7" customHeight="1" x14ac:dyDescent="0.3">
      <c r="A144" s="10" t="s">
        <v>479</v>
      </c>
      <c r="B144" s="10" t="s">
        <v>480</v>
      </c>
      <c r="C144" s="85">
        <v>10.3</v>
      </c>
      <c r="D144" s="32" t="s">
        <v>476</v>
      </c>
      <c r="E144" s="62">
        <f t="shared" si="18"/>
        <v>1359</v>
      </c>
      <c r="F144" s="89">
        <f t="shared" si="18"/>
        <v>13997.7</v>
      </c>
      <c r="G144" s="58">
        <v>0</v>
      </c>
      <c r="H144" s="90">
        <f>IF(C144=0,0,ROUNDDOWN(G144*C144,1))</f>
        <v>0</v>
      </c>
      <c r="I144" s="91">
        <f>재료비목록표!E21</f>
        <v>1359</v>
      </c>
      <c r="J144" s="93">
        <f>IF(C144=0,0,ROUNDDOWN(I144*C144,1))</f>
        <v>13997.7</v>
      </c>
      <c r="K144" s="58">
        <v>0</v>
      </c>
      <c r="L144" s="90">
        <f>IF(C144=0,0,ROUNDDOWN(K144*C144,1))</f>
        <v>0</v>
      </c>
      <c r="M144" s="23" t="s">
        <v>2307</v>
      </c>
      <c r="N144" s="17" t="s">
        <v>2305</v>
      </c>
      <c r="O144" s="7" t="s">
        <v>2306</v>
      </c>
      <c r="P144" s="7" t="s">
        <v>1011</v>
      </c>
      <c r="Q144" s="7" t="s">
        <v>996</v>
      </c>
      <c r="Z144" s="3" t="str">
        <f ca="1">HYPERLINK("#"&amp;재료비목록표!G2&amp;"!A"&amp;ROW(재료비목록표!A21),"M00303 →")</f>
        <v>M00303 →</v>
      </c>
    </row>
    <row r="145" spans="1:26" ht="28.7" customHeight="1" x14ac:dyDescent="0.3">
      <c r="A145" s="10" t="s">
        <v>439</v>
      </c>
      <c r="B145" s="10" t="s">
        <v>2308</v>
      </c>
      <c r="C145" s="85">
        <v>20</v>
      </c>
      <c r="D145" s="32" t="s">
        <v>441</v>
      </c>
      <c r="E145" s="62">
        <f t="shared" si="18"/>
        <v>13997.7</v>
      </c>
      <c r="F145" s="89">
        <f t="shared" si="18"/>
        <v>2799.5</v>
      </c>
      <c r="G145" s="13">
        <v>0</v>
      </c>
      <c r="H145" s="89">
        <f>IF(C145=0,0,ROUNDDOWN(G145*C145/100,1))</f>
        <v>0</v>
      </c>
      <c r="I145" s="94">
        <f>J144</f>
        <v>13997.7</v>
      </c>
      <c r="J145" s="90">
        <f>IF(C145=0,0,ROUNDDOWN(I145*C145/100,1))</f>
        <v>2799.5</v>
      </c>
      <c r="K145" s="22">
        <v>0</v>
      </c>
      <c r="L145" s="90">
        <f>IF(C145=0,0,ROUNDDOWN(K145*C145/100,1))</f>
        <v>0</v>
      </c>
      <c r="M145" s="23"/>
      <c r="N145" s="17" t="s">
        <v>1004</v>
      </c>
      <c r="O145" s="7" t="s">
        <v>1005</v>
      </c>
      <c r="P145" s="7" t="s">
        <v>1011</v>
      </c>
    </row>
    <row r="146" spans="1:26" ht="28.7" customHeight="1" x14ac:dyDescent="0.3">
      <c r="A146" s="23" t="s">
        <v>6</v>
      </c>
      <c r="B146" s="56"/>
      <c r="C146" s="56"/>
      <c r="D146" s="56"/>
      <c r="E146" s="56"/>
      <c r="F146" s="54">
        <f>J146+H146+L146</f>
        <v>88815</v>
      </c>
      <c r="G146" s="56"/>
      <c r="H146" s="54">
        <f>ROUNDDOWN(SUMIF(P142:P145,O146,H142:H145),0)</f>
        <v>49479</v>
      </c>
      <c r="I146" s="56"/>
      <c r="J146" s="54">
        <f>ROUNDDOWN(SUMIF(P142:P145,O146,J142:J145),0)</f>
        <v>16797</v>
      </c>
      <c r="K146" s="56"/>
      <c r="L146" s="54">
        <f>ROUNDDOWN(SUMIF(P142:P145,O146,L142:L145),0)</f>
        <v>22539</v>
      </c>
      <c r="M146" s="56"/>
      <c r="O146" s="7" t="s">
        <v>1011</v>
      </c>
    </row>
    <row r="147" spans="1:26" ht="28.7" customHeight="1" x14ac:dyDescent="0.3">
      <c r="A147" s="82" t="s">
        <v>391</v>
      </c>
      <c r="B147" s="82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97" t="str">
        <f>HYPERLINK("#N"&amp;ROW(N152),"_x0005_`BDCOD|X00740_x0007_`POSS|"&amp;ROW(N149)&amp;"_x0007_`POSE|"&amp;ROW(N152)&amp;"_x0007_`")</f>
        <v>_x0005_`BDCOD|X00740_x0007_`POSS|149_x0007_`POSE|152_x0007_`</v>
      </c>
    </row>
    <row r="148" spans="1:26" ht="28.7" customHeight="1" x14ac:dyDescent="0.3">
      <c r="A148" s="43" t="s">
        <v>332</v>
      </c>
      <c r="B148" s="43" t="s">
        <v>393</v>
      </c>
      <c r="C148" s="84"/>
      <c r="D148" s="87" t="s">
        <v>302</v>
      </c>
      <c r="E148" s="84"/>
      <c r="F148" s="84"/>
      <c r="G148" s="84"/>
      <c r="H148" s="84"/>
      <c r="I148" s="84"/>
      <c r="J148" s="84"/>
      <c r="K148" s="84"/>
      <c r="L148" s="84"/>
      <c r="M148" s="87" t="s">
        <v>394</v>
      </c>
      <c r="O148" s="7" t="s">
        <v>394</v>
      </c>
    </row>
    <row r="149" spans="1:26" ht="28.7" customHeight="1" x14ac:dyDescent="0.3">
      <c r="A149" s="10" t="s">
        <v>332</v>
      </c>
      <c r="B149" s="10" t="s">
        <v>375</v>
      </c>
      <c r="C149" s="85">
        <v>0.2616</v>
      </c>
      <c r="D149" s="32" t="s">
        <v>608</v>
      </c>
      <c r="E149" s="62">
        <f t="shared" ref="E149:F152" si="19">I149+G149+K149</f>
        <v>145014</v>
      </c>
      <c r="F149" s="89">
        <f t="shared" si="19"/>
        <v>37935.599999999999</v>
      </c>
      <c r="G149" s="58">
        <v>0</v>
      </c>
      <c r="H149" s="89">
        <f>IF(C149=0,0,ROUNDDOWN(G149*C149,1))</f>
        <v>0</v>
      </c>
      <c r="I149" s="58">
        <v>0</v>
      </c>
      <c r="J149" s="90">
        <f>IF(C149=0,0,ROUNDDOWN(I149*C149,1))</f>
        <v>0</v>
      </c>
      <c r="K149" s="91">
        <f>경비목록표!E21</f>
        <v>145014</v>
      </c>
      <c r="L149" s="92">
        <f>IF(C149=0,0,ROUNDDOWN(K149*C149,1))</f>
        <v>37935.599999999999</v>
      </c>
      <c r="M149" s="23" t="s">
        <v>2354</v>
      </c>
      <c r="N149" s="17" t="s">
        <v>2352</v>
      </c>
      <c r="O149" s="7" t="s">
        <v>2353</v>
      </c>
      <c r="P149" s="7" t="s">
        <v>1011</v>
      </c>
      <c r="Z149" s="3" t="str">
        <f ca="1">HYPERLINK("#"&amp;경비목록표!G2&amp;"!A"&amp;ROW(경비목록표!A21),"S00724 →")</f>
        <v>S00724 →</v>
      </c>
    </row>
    <row r="150" spans="1:26" ht="28.7" customHeight="1" x14ac:dyDescent="0.3">
      <c r="A150" s="10" t="s">
        <v>595</v>
      </c>
      <c r="B150" s="10"/>
      <c r="C150" s="85">
        <v>1</v>
      </c>
      <c r="D150" s="32" t="s">
        <v>565</v>
      </c>
      <c r="E150" s="62">
        <f t="shared" si="19"/>
        <v>57077.2</v>
      </c>
      <c r="F150" s="90">
        <f t="shared" si="19"/>
        <v>57077.2</v>
      </c>
      <c r="G150" s="91">
        <f>환율및기초자료!G6</f>
        <v>57077.2</v>
      </c>
      <c r="H150" s="93">
        <f>IF(C150=0,0,ROUNDDOWN(G150*C150,1))</f>
        <v>57077.2</v>
      </c>
      <c r="I150" s="58">
        <v>0</v>
      </c>
      <c r="J150" s="89">
        <f>IF(C150=0,0,ROUNDDOWN(I150*C150,1))</f>
        <v>0</v>
      </c>
      <c r="K150" s="58">
        <v>0</v>
      </c>
      <c r="L150" s="90">
        <f>IF(C150=0,0,ROUNDDOWN(K150*C150,1))</f>
        <v>0</v>
      </c>
      <c r="M150" s="23" t="s">
        <v>2317</v>
      </c>
      <c r="N150" s="17" t="s">
        <v>2315</v>
      </c>
      <c r="O150" s="7" t="s">
        <v>2316</v>
      </c>
      <c r="P150" s="7" t="s">
        <v>1011</v>
      </c>
      <c r="Z150" s="3" t="str">
        <f ca="1">HYPERLINK("#"&amp;환율및기초자료!I2&amp;"!A"&amp;ROW(환율및기초자료!A6),"L00038 →")</f>
        <v>L00038 →</v>
      </c>
    </row>
    <row r="151" spans="1:26" ht="28.7" customHeight="1" x14ac:dyDescent="0.3">
      <c r="A151" s="10" t="s">
        <v>479</v>
      </c>
      <c r="B151" s="10" t="s">
        <v>480</v>
      </c>
      <c r="C151" s="85">
        <v>23</v>
      </c>
      <c r="D151" s="32" t="s">
        <v>476</v>
      </c>
      <c r="E151" s="62">
        <f t="shared" si="19"/>
        <v>1359</v>
      </c>
      <c r="F151" s="89">
        <f t="shared" si="19"/>
        <v>31257</v>
      </c>
      <c r="G151" s="58">
        <v>0</v>
      </c>
      <c r="H151" s="90">
        <f>IF(C151=0,0,ROUNDDOWN(G151*C151,1))</f>
        <v>0</v>
      </c>
      <c r="I151" s="91">
        <f>재료비목록표!E21</f>
        <v>1359</v>
      </c>
      <c r="J151" s="93">
        <f>IF(C151=0,0,ROUNDDOWN(I151*C151,1))</f>
        <v>31257</v>
      </c>
      <c r="K151" s="58">
        <v>0</v>
      </c>
      <c r="L151" s="90">
        <f>IF(C151=0,0,ROUNDDOWN(K151*C151,1))</f>
        <v>0</v>
      </c>
      <c r="M151" s="23" t="s">
        <v>2307</v>
      </c>
      <c r="N151" s="17" t="s">
        <v>2305</v>
      </c>
      <c r="O151" s="7" t="s">
        <v>2306</v>
      </c>
      <c r="P151" s="7" t="s">
        <v>1011</v>
      </c>
      <c r="Q151" s="7" t="s">
        <v>996</v>
      </c>
      <c r="Z151" s="3" t="str">
        <f ca="1">HYPERLINK("#"&amp;재료비목록표!G2&amp;"!A"&amp;ROW(재료비목록표!A21),"M00303 →")</f>
        <v>M00303 →</v>
      </c>
    </row>
    <row r="152" spans="1:26" ht="28.7" customHeight="1" x14ac:dyDescent="0.3">
      <c r="A152" s="10" t="s">
        <v>439</v>
      </c>
      <c r="B152" s="10" t="s">
        <v>2308</v>
      </c>
      <c r="C152" s="85">
        <v>38</v>
      </c>
      <c r="D152" s="32" t="s">
        <v>441</v>
      </c>
      <c r="E152" s="62">
        <f t="shared" si="19"/>
        <v>31257</v>
      </c>
      <c r="F152" s="89">
        <f t="shared" si="19"/>
        <v>11877.6</v>
      </c>
      <c r="G152" s="13">
        <v>0</v>
      </c>
      <c r="H152" s="89">
        <f>IF(C152=0,0,ROUNDDOWN(G152*C152/100,1))</f>
        <v>0</v>
      </c>
      <c r="I152" s="94">
        <f>J151</f>
        <v>31257</v>
      </c>
      <c r="J152" s="90">
        <f>IF(C152=0,0,ROUNDDOWN(I152*C152/100,1))</f>
        <v>11877.6</v>
      </c>
      <c r="K152" s="22">
        <v>0</v>
      </c>
      <c r="L152" s="90">
        <f>IF(C152=0,0,ROUNDDOWN(K152*C152/100,1))</f>
        <v>0</v>
      </c>
      <c r="M152" s="23"/>
      <c r="N152" s="17" t="s">
        <v>1004</v>
      </c>
      <c r="O152" s="7" t="s">
        <v>1005</v>
      </c>
      <c r="P152" s="7" t="s">
        <v>1011</v>
      </c>
    </row>
    <row r="153" spans="1:26" ht="28.7" customHeight="1" x14ac:dyDescent="0.3">
      <c r="A153" s="23" t="s">
        <v>6</v>
      </c>
      <c r="B153" s="56"/>
      <c r="C153" s="56"/>
      <c r="D153" s="56"/>
      <c r="E153" s="56"/>
      <c r="F153" s="54">
        <f>J153+H153+L153</f>
        <v>138146</v>
      </c>
      <c r="G153" s="56"/>
      <c r="H153" s="54">
        <f>ROUNDDOWN(SUMIF(P149:P152,O153,H149:H152),0)</f>
        <v>57077</v>
      </c>
      <c r="I153" s="56"/>
      <c r="J153" s="54">
        <f>ROUNDDOWN(SUMIF(P149:P152,O153,J149:J152),0)</f>
        <v>43134</v>
      </c>
      <c r="K153" s="56"/>
      <c r="L153" s="54">
        <f>ROUNDDOWN(SUMIF(P149:P152,O153,L149:L152),0)</f>
        <v>37935</v>
      </c>
      <c r="M153" s="56"/>
      <c r="O153" s="7" t="s">
        <v>1011</v>
      </c>
    </row>
    <row r="154" spans="1:26" ht="28.7" customHeight="1" x14ac:dyDescent="0.3">
      <c r="A154" s="82" t="s">
        <v>395</v>
      </c>
      <c r="B154" s="82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97" t="str">
        <f>HYPERLINK("#N"&amp;ROW(N160),"_x0005_`BDCOD|X00750_x0007_`POSS|"&amp;ROW(N156)&amp;"_x0007_`POSE|"&amp;ROW(N160)&amp;"_x0007_`")</f>
        <v>_x0005_`BDCOD|X00750_x0007_`POSS|156_x0007_`POSE|160_x0007_`</v>
      </c>
    </row>
    <row r="155" spans="1:26" ht="28.7" customHeight="1" x14ac:dyDescent="0.3">
      <c r="A155" s="43" t="s">
        <v>397</v>
      </c>
      <c r="B155" s="43"/>
      <c r="C155" s="84"/>
      <c r="D155" s="87" t="s">
        <v>302</v>
      </c>
      <c r="E155" s="84"/>
      <c r="F155" s="84"/>
      <c r="G155" s="84"/>
      <c r="H155" s="84"/>
      <c r="I155" s="84"/>
      <c r="J155" s="84"/>
      <c r="K155" s="84"/>
      <c r="L155" s="84"/>
      <c r="M155" s="87" t="s">
        <v>398</v>
      </c>
      <c r="O155" s="7" t="s">
        <v>398</v>
      </c>
    </row>
    <row r="156" spans="1:26" ht="28.7" customHeight="1" x14ac:dyDescent="0.3">
      <c r="A156" s="10" t="s">
        <v>370</v>
      </c>
      <c r="B156" s="10" t="s">
        <v>371</v>
      </c>
      <c r="C156" s="85">
        <v>0.22789999999999999</v>
      </c>
      <c r="D156" s="32" t="s">
        <v>608</v>
      </c>
      <c r="E156" s="62">
        <f t="shared" ref="E156:F160" si="20">I156+G156+K156</f>
        <v>116118</v>
      </c>
      <c r="F156" s="89">
        <f t="shared" si="20"/>
        <v>26463.200000000001</v>
      </c>
      <c r="G156" s="58">
        <v>0</v>
      </c>
      <c r="H156" s="89">
        <f>IF(C156=0,0,ROUNDDOWN(G156*C156,1))</f>
        <v>0</v>
      </c>
      <c r="I156" s="58">
        <v>0</v>
      </c>
      <c r="J156" s="90">
        <f>IF(C156=0,0,ROUNDDOWN(I156*C156,1))</f>
        <v>0</v>
      </c>
      <c r="K156" s="91">
        <f>경비목록표!E23</f>
        <v>116118</v>
      </c>
      <c r="L156" s="92">
        <f>IF(C156=0,0,ROUNDDOWN(K156*C156,1))</f>
        <v>26463.200000000001</v>
      </c>
      <c r="M156" s="23" t="s">
        <v>2351</v>
      </c>
      <c r="N156" s="17" t="s">
        <v>2349</v>
      </c>
      <c r="O156" s="7" t="s">
        <v>2350</v>
      </c>
      <c r="P156" s="7" t="s">
        <v>1011</v>
      </c>
      <c r="Z156" s="3" t="str">
        <f ca="1">HYPERLINK("#"&amp;경비목록표!G2&amp;"!A"&amp;ROW(경비목록표!A23),"S00741 →")</f>
        <v>S00741 →</v>
      </c>
    </row>
    <row r="157" spans="1:26" ht="28.7" customHeight="1" x14ac:dyDescent="0.3">
      <c r="A157" s="10" t="s">
        <v>595</v>
      </c>
      <c r="B157" s="10"/>
      <c r="C157" s="85">
        <v>1</v>
      </c>
      <c r="D157" s="32" t="s">
        <v>565</v>
      </c>
      <c r="E157" s="62">
        <f t="shared" si="20"/>
        <v>57077.2</v>
      </c>
      <c r="F157" s="90">
        <f t="shared" si="20"/>
        <v>57077.2</v>
      </c>
      <c r="G157" s="91">
        <f>환율및기초자료!G6</f>
        <v>57077.2</v>
      </c>
      <c r="H157" s="93">
        <f>IF(C157=0,0,ROUNDDOWN(G157*C157,1))</f>
        <v>57077.2</v>
      </c>
      <c r="I157" s="58">
        <v>0</v>
      </c>
      <c r="J157" s="89">
        <f>IF(C157=0,0,ROUNDDOWN(I157*C157,1))</f>
        <v>0</v>
      </c>
      <c r="K157" s="58">
        <v>0</v>
      </c>
      <c r="L157" s="90">
        <f>IF(C157=0,0,ROUNDDOWN(K157*C157,1))</f>
        <v>0</v>
      </c>
      <c r="M157" s="23" t="s">
        <v>2317</v>
      </c>
      <c r="N157" s="17" t="s">
        <v>2315</v>
      </c>
      <c r="O157" s="7" t="s">
        <v>2316</v>
      </c>
      <c r="P157" s="7" t="s">
        <v>1011</v>
      </c>
      <c r="Z157" s="3" t="str">
        <f ca="1">HYPERLINK("#"&amp;환율및기초자료!I2&amp;"!A"&amp;ROW(환율및기초자료!A6),"L00038 →")</f>
        <v>L00038 →</v>
      </c>
    </row>
    <row r="158" spans="1:26" ht="28.7" customHeight="1" x14ac:dyDescent="0.3">
      <c r="A158" s="10" t="s">
        <v>479</v>
      </c>
      <c r="B158" s="10" t="s">
        <v>480</v>
      </c>
      <c r="C158" s="85">
        <v>11.6</v>
      </c>
      <c r="D158" s="32" t="s">
        <v>476</v>
      </c>
      <c r="E158" s="62">
        <f t="shared" si="20"/>
        <v>1359</v>
      </c>
      <c r="F158" s="89">
        <f t="shared" si="20"/>
        <v>15764.4</v>
      </c>
      <c r="G158" s="58">
        <v>0</v>
      </c>
      <c r="H158" s="90">
        <f>IF(C158=0,0,ROUNDDOWN(G158*C158,1))</f>
        <v>0</v>
      </c>
      <c r="I158" s="91">
        <f>재료비목록표!E21</f>
        <v>1359</v>
      </c>
      <c r="J158" s="93">
        <f>IF(C158=0,0,ROUNDDOWN(I158*C158,1))</f>
        <v>15764.4</v>
      </c>
      <c r="K158" s="58">
        <v>0</v>
      </c>
      <c r="L158" s="90">
        <f>IF(C158=0,0,ROUNDDOWN(K158*C158,1))</f>
        <v>0</v>
      </c>
      <c r="M158" s="23" t="s">
        <v>2307</v>
      </c>
      <c r="N158" s="17" t="s">
        <v>2318</v>
      </c>
      <c r="O158" s="7" t="s">
        <v>2306</v>
      </c>
      <c r="P158" s="7" t="s">
        <v>1011</v>
      </c>
      <c r="Z158" s="3" t="str">
        <f ca="1">HYPERLINK("#"&amp;재료비목록표!G2&amp;"!A"&amp;ROW(재료비목록표!A21),"M00303 →")</f>
        <v>M00303 →</v>
      </c>
    </row>
    <row r="159" spans="1:26" ht="28.7" customHeight="1" x14ac:dyDescent="0.3">
      <c r="A159" s="10" t="s">
        <v>439</v>
      </c>
      <c r="B159" s="10" t="s">
        <v>440</v>
      </c>
      <c r="C159" s="85">
        <v>24</v>
      </c>
      <c r="D159" s="32" t="s">
        <v>441</v>
      </c>
      <c r="E159" s="62">
        <f t="shared" si="20"/>
        <v>15764.4</v>
      </c>
      <c r="F159" s="89">
        <f t="shared" si="20"/>
        <v>3783.4</v>
      </c>
      <c r="G159" s="58">
        <v>0</v>
      </c>
      <c r="H159" s="90">
        <f>IF(C159=0,0,ROUNDDOWN(G159*C159/100,1))</f>
        <v>0</v>
      </c>
      <c r="I159" s="91">
        <f>J158</f>
        <v>15764.4</v>
      </c>
      <c r="J159" s="93">
        <f>IF(C159=0,0,ROUNDDOWN(I159*C159/100,1))</f>
        <v>3783.4</v>
      </c>
      <c r="K159" s="58">
        <v>0</v>
      </c>
      <c r="L159" s="90">
        <f>IF(C159=0,0,ROUNDDOWN(K159*C159/100,1))</f>
        <v>0</v>
      </c>
      <c r="M159" s="23" t="s">
        <v>2321</v>
      </c>
      <c r="N159" s="17" t="s">
        <v>2319</v>
      </c>
      <c r="O159" s="7" t="s">
        <v>2320</v>
      </c>
      <c r="P159" s="7" t="s">
        <v>1011</v>
      </c>
      <c r="Z159" s="3" t="str">
        <f ca="1">HYPERLINK("#"&amp;재료비목록표!G2&amp;"!A"&amp;ROW(재료비목록표!A11),"M00109 →")</f>
        <v>M00109 →</v>
      </c>
    </row>
    <row r="160" spans="1:26" ht="28.7" customHeight="1" x14ac:dyDescent="0.3">
      <c r="A160" s="10" t="s">
        <v>659</v>
      </c>
      <c r="B160" s="10" t="s">
        <v>660</v>
      </c>
      <c r="C160" s="85">
        <v>0.74350000000000005</v>
      </c>
      <c r="D160" s="32" t="s">
        <v>608</v>
      </c>
      <c r="E160" s="62">
        <f t="shared" si="20"/>
        <v>7610</v>
      </c>
      <c r="F160" s="89">
        <f t="shared" si="20"/>
        <v>5658</v>
      </c>
      <c r="G160" s="58">
        <v>0</v>
      </c>
      <c r="H160" s="89">
        <f>IF(C160=0,0,ROUNDDOWN(G160*C160,1))</f>
        <v>0</v>
      </c>
      <c r="I160" s="58">
        <v>0</v>
      </c>
      <c r="J160" s="90">
        <f>IF(C160=0,0,ROUNDDOWN(I160*C160,1))</f>
        <v>0</v>
      </c>
      <c r="K160" s="91">
        <f>경비목록표!E25</f>
        <v>7610</v>
      </c>
      <c r="L160" s="92">
        <f>IF(C160=0,0,ROUNDDOWN(K160*C160,1))</f>
        <v>5658</v>
      </c>
      <c r="M160" s="23" t="s">
        <v>2372</v>
      </c>
      <c r="N160" s="17" t="s">
        <v>2370</v>
      </c>
      <c r="O160" s="7" t="s">
        <v>2371</v>
      </c>
      <c r="P160" s="7" t="s">
        <v>1011</v>
      </c>
      <c r="Z160" s="3" t="str">
        <f ca="1">HYPERLINK("#"&amp;경비목록표!G2&amp;"!A"&amp;ROW(경비목록표!A25),"S01262 →")</f>
        <v>S01262 →</v>
      </c>
    </row>
    <row r="161" spans="1:26" ht="28.7" customHeight="1" x14ac:dyDescent="0.3">
      <c r="A161" s="23" t="s">
        <v>6</v>
      </c>
      <c r="B161" s="56"/>
      <c r="C161" s="56"/>
      <c r="D161" s="56"/>
      <c r="E161" s="56"/>
      <c r="F161" s="54">
        <f>J161+H161+L161</f>
        <v>108745</v>
      </c>
      <c r="G161" s="56"/>
      <c r="H161" s="54">
        <f>ROUNDDOWN(SUMIF(P156:P160,O161,H156:H160),0)</f>
        <v>57077</v>
      </c>
      <c r="I161" s="56"/>
      <c r="J161" s="54">
        <f>ROUNDDOWN(SUMIF(P156:P160,O161,J156:J160),0)</f>
        <v>19547</v>
      </c>
      <c r="K161" s="56"/>
      <c r="L161" s="54">
        <f>ROUNDDOWN(SUMIF(P156:P160,O161,L156:L160),0)</f>
        <v>32121</v>
      </c>
      <c r="M161" s="56"/>
      <c r="O161" s="7" t="s">
        <v>1011</v>
      </c>
    </row>
    <row r="162" spans="1:26" ht="28.7" customHeight="1" x14ac:dyDescent="0.3">
      <c r="A162" s="82" t="s">
        <v>399</v>
      </c>
      <c r="B162" s="82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97" t="str">
        <f>HYPERLINK("#N"&amp;ROW(N166),"_x0005_`BDCOD|X00751_x0007_`POSS|"&amp;ROW(N164)&amp;"_x0007_`POSE|"&amp;ROW(N166)&amp;"_x0007_`")</f>
        <v>_x0005_`BDCOD|X00751_x0007_`POSS|164_x0007_`POSE|166_x0007_`</v>
      </c>
    </row>
    <row r="163" spans="1:26" ht="28.7" customHeight="1" x14ac:dyDescent="0.3">
      <c r="A163" s="43" t="s">
        <v>401</v>
      </c>
      <c r="B163" s="43" t="s">
        <v>402</v>
      </c>
      <c r="C163" s="84"/>
      <c r="D163" s="87" t="s">
        <v>302</v>
      </c>
      <c r="E163" s="84"/>
      <c r="F163" s="84"/>
      <c r="G163" s="84"/>
      <c r="H163" s="84"/>
      <c r="I163" s="84"/>
      <c r="J163" s="84"/>
      <c r="K163" s="84"/>
      <c r="L163" s="84"/>
      <c r="M163" s="87" t="s">
        <v>403</v>
      </c>
      <c r="O163" s="7" t="s">
        <v>403</v>
      </c>
    </row>
    <row r="164" spans="1:26" ht="28.7" customHeight="1" x14ac:dyDescent="0.3">
      <c r="A164" s="10" t="s">
        <v>401</v>
      </c>
      <c r="B164" s="10" t="s">
        <v>402</v>
      </c>
      <c r="C164" s="85">
        <v>0.27989999999999998</v>
      </c>
      <c r="D164" s="32" t="s">
        <v>608</v>
      </c>
      <c r="E164" s="62">
        <f t="shared" ref="E164:F166" si="21">I164+G164+K164</f>
        <v>902</v>
      </c>
      <c r="F164" s="89">
        <f t="shared" si="21"/>
        <v>252.4</v>
      </c>
      <c r="G164" s="58">
        <v>0</v>
      </c>
      <c r="H164" s="89">
        <f>IF(C164=0,0,ROUNDDOWN(G164*C164,1))</f>
        <v>0</v>
      </c>
      <c r="I164" s="58">
        <v>0</v>
      </c>
      <c r="J164" s="90">
        <f>IF(C164=0,0,ROUNDDOWN(I164*C164,1))</f>
        <v>0</v>
      </c>
      <c r="K164" s="91">
        <f>경비목록표!E26</f>
        <v>902</v>
      </c>
      <c r="L164" s="92">
        <f>IF(C164=0,0,ROUNDDOWN(K164*C164,1))</f>
        <v>252.4</v>
      </c>
      <c r="M164" s="23" t="s">
        <v>2375</v>
      </c>
      <c r="N164" s="17" t="s">
        <v>2373</v>
      </c>
      <c r="O164" s="7" t="s">
        <v>2374</v>
      </c>
      <c r="P164" s="7" t="s">
        <v>1011</v>
      </c>
      <c r="Z164" s="3" t="str">
        <f ca="1">HYPERLINK("#"&amp;경비목록표!G2&amp;"!A"&amp;ROW(경비목록표!A26),"S01263 →")</f>
        <v>S01263 →</v>
      </c>
    </row>
    <row r="165" spans="1:26" ht="28.7" customHeight="1" x14ac:dyDescent="0.3">
      <c r="A165" s="10" t="s">
        <v>474</v>
      </c>
      <c r="B165" s="10" t="s">
        <v>475</v>
      </c>
      <c r="C165" s="85">
        <v>1.3</v>
      </c>
      <c r="D165" s="32" t="s">
        <v>476</v>
      </c>
      <c r="E165" s="62">
        <f t="shared" si="21"/>
        <v>1518</v>
      </c>
      <c r="F165" s="89">
        <f t="shared" si="21"/>
        <v>1973.4</v>
      </c>
      <c r="G165" s="58">
        <v>0</v>
      </c>
      <c r="H165" s="90">
        <f>IF(C165=0,0,ROUNDDOWN(G165*C165,1))</f>
        <v>0</v>
      </c>
      <c r="I165" s="91">
        <f>재료비목록표!E20</f>
        <v>1518</v>
      </c>
      <c r="J165" s="93">
        <f>IF(C165=0,0,ROUNDDOWN(I165*C165,1))</f>
        <v>1973.4</v>
      </c>
      <c r="K165" s="58">
        <v>0</v>
      </c>
      <c r="L165" s="90">
        <f>IF(C165=0,0,ROUNDDOWN(K165*C165,1))</f>
        <v>0</v>
      </c>
      <c r="M165" s="23" t="s">
        <v>2363</v>
      </c>
      <c r="N165" s="17" t="s">
        <v>2361</v>
      </c>
      <c r="O165" s="7" t="s">
        <v>2362</v>
      </c>
      <c r="P165" s="7" t="s">
        <v>1011</v>
      </c>
      <c r="Q165" s="7" t="s">
        <v>996</v>
      </c>
      <c r="Z165" s="3" t="str">
        <f ca="1">HYPERLINK("#"&amp;재료비목록표!G2&amp;"!A"&amp;ROW(재료비목록표!A20),"M00302 →")</f>
        <v>M00302 →</v>
      </c>
    </row>
    <row r="166" spans="1:26" ht="28.7" customHeight="1" x14ac:dyDescent="0.3">
      <c r="A166" s="10" t="s">
        <v>2376</v>
      </c>
      <c r="B166" s="10" t="s">
        <v>440</v>
      </c>
      <c r="C166" s="85">
        <v>20</v>
      </c>
      <c r="D166" s="32" t="s">
        <v>441</v>
      </c>
      <c r="E166" s="62">
        <f t="shared" si="21"/>
        <v>1973.4</v>
      </c>
      <c r="F166" s="89">
        <f t="shared" si="21"/>
        <v>394.6</v>
      </c>
      <c r="G166" s="13">
        <v>0</v>
      </c>
      <c r="H166" s="89">
        <f>IF(C166=0,0,ROUNDDOWN(G166*C166/100,1))</f>
        <v>0</v>
      </c>
      <c r="I166" s="94">
        <f>J165</f>
        <v>1973.4</v>
      </c>
      <c r="J166" s="90">
        <f>IF(C166=0,0,ROUNDDOWN(I166*C166/100,1))</f>
        <v>394.6</v>
      </c>
      <c r="K166" s="22">
        <v>0</v>
      </c>
      <c r="L166" s="90">
        <f>IF(C166=0,0,ROUNDDOWN(K166*C166/100,1))</f>
        <v>0</v>
      </c>
      <c r="M166" s="23"/>
      <c r="N166" s="17" t="s">
        <v>1004</v>
      </c>
      <c r="O166" s="7" t="s">
        <v>1005</v>
      </c>
      <c r="P166" s="7" t="s">
        <v>1011</v>
      </c>
    </row>
    <row r="167" spans="1:26" ht="28.7" customHeight="1" x14ac:dyDescent="0.3">
      <c r="A167" s="23" t="s">
        <v>6</v>
      </c>
      <c r="B167" s="56"/>
      <c r="C167" s="56"/>
      <c r="D167" s="56"/>
      <c r="E167" s="56"/>
      <c r="F167" s="54">
        <f>J167+H167+L167</f>
        <v>2620</v>
      </c>
      <c r="G167" s="56"/>
      <c r="H167" s="54">
        <f>ROUNDDOWN(SUMIF(P164:P166,O167,H164:H166),0)</f>
        <v>0</v>
      </c>
      <c r="I167" s="56"/>
      <c r="J167" s="54">
        <f>ROUNDDOWN(SUMIF(P164:P166,O167,J164:J166),0)</f>
        <v>2368</v>
      </c>
      <c r="K167" s="56"/>
      <c r="L167" s="54">
        <f>ROUNDDOWN(SUMIF(P164:P166,O167,L164:L166),0)</f>
        <v>252</v>
      </c>
      <c r="M167" s="56"/>
      <c r="O167" s="7" t="s">
        <v>1011</v>
      </c>
    </row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3" type="noConversion"/>
  <conditionalFormatting sqref="C5:M167">
    <cfRule type="expression" dxfId="0" priority="1" stopIfTrue="1">
      <formula>AND(C5&lt;&gt;0,INT(C5)=C5)</formula>
    </cfRule>
  </conditionalFormatting>
  <hyperlinks>
    <hyperlink ref="Z1" r:id="rId1" tooltip="설계예산시스템(STmate w25.07)으로 작성 하였으며,_x000a_엑셀 인쇄품질 600 dpi에 최적화 되어 있습니다._x000a_경영정보(주) http://www.stma.co.kr_x000a_Tel) 070-4350-0040_x000a_Fax) 0505-300-3948"/>
    <hyperlink ref="N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73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5" width="13.75" style="6" customWidth="1"/>
    <col min="6" max="6" width="10" style="6" customWidth="1"/>
    <col min="7" max="7" width="9.125" style="16" hidden="1" customWidth="1"/>
    <col min="8" max="8" width="9.125" style="18" customWidth="1"/>
    <col min="9" max="16384" width="9.125" style="6"/>
  </cols>
  <sheetData>
    <row r="1" spans="1:8" ht="24.95" customHeight="1" x14ac:dyDescent="0.3">
      <c r="A1" s="133" t="s">
        <v>405</v>
      </c>
      <c r="B1" s="132"/>
      <c r="C1" s="132"/>
      <c r="D1" s="132"/>
      <c r="E1" s="132"/>
      <c r="F1" s="132"/>
      <c r="G1" s="5" t="s">
        <v>133</v>
      </c>
      <c r="H1" s="19" t="s">
        <v>133</v>
      </c>
    </row>
    <row r="2" spans="1:8" ht="21.75" customHeight="1" x14ac:dyDescent="0.3">
      <c r="A2" s="1" t="s">
        <v>1</v>
      </c>
      <c r="G2" s="20" t="str">
        <f ca="1">MID(CELL("filename",$A$1),FIND("]",CELL("filename",$A$1))+1,LEN(CELL("filename",$A$1)))</f>
        <v>재료비목록표</v>
      </c>
    </row>
    <row r="3" spans="1:8" ht="21.7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406</v>
      </c>
      <c r="F3" s="14" t="s">
        <v>10</v>
      </c>
      <c r="H3" s="3" t="str">
        <f>HYPERLINK("#'〓 목 차 〓'!B2","목차 →")</f>
        <v>목차 →</v>
      </c>
    </row>
    <row r="4" spans="1:8" ht="21.75" customHeight="1" x14ac:dyDescent="0.3">
      <c r="A4" s="9" t="s">
        <v>299</v>
      </c>
      <c r="B4" s="10" t="s">
        <v>407</v>
      </c>
      <c r="C4" s="10" t="s">
        <v>408</v>
      </c>
      <c r="D4" s="9" t="s">
        <v>409</v>
      </c>
      <c r="E4" s="33">
        <f>자재단가대비표!O5</f>
        <v>767</v>
      </c>
      <c r="F4" s="23" t="s">
        <v>411</v>
      </c>
      <c r="G4" s="17" t="str">
        <f>"_x0007_`COD|M00011_x0005_`QTY1|1_x0005_`BQC|_x0005_`EQC|_x0005_`JDC|_x0005_`WQC|_x0005_`EDT|_x0005_`DET|"&amp;ROW(자재단가대비표!A5)&amp;"_x0005_`"</f>
        <v>_x0007_`COD|M00011_x0005_`QTY1|1_x0005_`BQC|_x0005_`EQC|_x0005_`JDC|_x0005_`WQC|_x0005_`EDT|_x0005_`DET|5_x0005_`</v>
      </c>
      <c r="H4" s="3" t="str">
        <f ca="1">HYPERLINK("#"&amp;자재단가대비표!R2&amp;"!A"&amp;ROW(자재단가대비표!A5),"M00011 →")</f>
        <v>M00011 →</v>
      </c>
    </row>
    <row r="5" spans="1:8" ht="21.75" customHeight="1" x14ac:dyDescent="0.3">
      <c r="A5" s="9" t="s">
        <v>305</v>
      </c>
      <c r="B5" s="10" t="s">
        <v>412</v>
      </c>
      <c r="C5" s="10" t="s">
        <v>413</v>
      </c>
      <c r="D5" s="9" t="s">
        <v>414</v>
      </c>
      <c r="E5" s="33">
        <f>자재단가대비표!O6</f>
        <v>142</v>
      </c>
      <c r="F5" s="23" t="s">
        <v>416</v>
      </c>
      <c r="G5" s="17" t="str">
        <f>"_x0007_`COD|M00026_x0005_`QTY1|1_x0005_`BQC|_x0005_`EQC|_x0005_`JDC|_x0005_`WQC|_x0005_`EDT|_x0005_`DET|"&amp;ROW(자재단가대비표!A6)&amp;"_x0005_`"</f>
        <v>_x0007_`COD|M00026_x0005_`QTY1|1_x0005_`BQC|_x0005_`EQC|_x0005_`JDC|_x0005_`WQC|_x0005_`EDT|_x0005_`DET|6_x0005_`</v>
      </c>
      <c r="H5" s="3" t="str">
        <f ca="1">HYPERLINK("#"&amp;자재단가대비표!R2&amp;"!A"&amp;ROW(자재단가대비표!A6),"M00026 →")</f>
        <v>M00026 →</v>
      </c>
    </row>
    <row r="6" spans="1:8" ht="21.75" customHeight="1" x14ac:dyDescent="0.3">
      <c r="A6" s="9" t="s">
        <v>309</v>
      </c>
      <c r="B6" s="10" t="s">
        <v>417</v>
      </c>
      <c r="C6" s="10" t="s">
        <v>418</v>
      </c>
      <c r="D6" s="9" t="s">
        <v>419</v>
      </c>
      <c r="E6" s="33">
        <f>자재단가대비표!O7</f>
        <v>3000</v>
      </c>
      <c r="F6" s="23" t="s">
        <v>421</v>
      </c>
      <c r="G6" s="17" t="str">
        <f>"_x0007_`COD|M00028_x0005_`QTY1|1_x0005_`BQC|_x0005_`EQC|_x0005_`JDC|_x0005_`WQC|_x0005_`EDT|_x0005_`DET|"&amp;ROW(자재단가대비표!A7)&amp;"_x0005_`"</f>
        <v>_x0007_`COD|M00028_x0005_`QTY1|1_x0005_`BQC|_x0005_`EQC|_x0005_`JDC|_x0005_`WQC|_x0005_`EDT|_x0005_`DET|7_x0005_`</v>
      </c>
      <c r="H6" s="3" t="str">
        <f ca="1">HYPERLINK("#"&amp;자재단가대비표!R2&amp;"!A"&amp;ROW(자재단가대비표!A7),"M00028 →")</f>
        <v>M00028 →</v>
      </c>
    </row>
    <row r="7" spans="1:8" ht="21.75" customHeight="1" x14ac:dyDescent="0.3">
      <c r="A7" s="9" t="s">
        <v>314</v>
      </c>
      <c r="B7" s="10" t="s">
        <v>422</v>
      </c>
      <c r="C7" s="10" t="s">
        <v>423</v>
      </c>
      <c r="D7" s="9" t="s">
        <v>424</v>
      </c>
      <c r="E7" s="33">
        <f>자재단가대비표!O8</f>
        <v>169800</v>
      </c>
      <c r="F7" s="23" t="s">
        <v>426</v>
      </c>
      <c r="G7" s="17" t="str">
        <f>"_x0007_`COD|M00029_x0005_`QTY1|1_x0005_`BQC|_x0005_`EQC|_x0005_`JDC|_x0005_`WQC|_x0005_`EDT|_x0005_`DET|"&amp;ROW(자재단가대비표!A8)&amp;"_x0005_`"</f>
        <v>_x0007_`COD|M00029_x0005_`QTY1|1_x0005_`BQC|_x0005_`EQC|_x0005_`JDC|_x0005_`WQC|_x0005_`EDT|_x0005_`DET|8_x0005_`</v>
      </c>
      <c r="H7" s="3" t="str">
        <f ca="1">HYPERLINK("#"&amp;자재단가대비표!R2&amp;"!A"&amp;ROW(자재단가대비표!A8),"M00029 →")</f>
        <v>M00029 →</v>
      </c>
    </row>
    <row r="8" spans="1:8" ht="21.75" customHeight="1" x14ac:dyDescent="0.3">
      <c r="A8" s="9" t="s">
        <v>319</v>
      </c>
      <c r="B8" s="10" t="s">
        <v>427</v>
      </c>
      <c r="C8" s="10" t="s">
        <v>428</v>
      </c>
      <c r="D8" s="9" t="s">
        <v>429</v>
      </c>
      <c r="E8" s="33">
        <f>자재단가대비표!O9</f>
        <v>1710</v>
      </c>
      <c r="F8" s="23" t="s">
        <v>431</v>
      </c>
      <c r="G8" s="17" t="str">
        <f>"_x0007_`COD|M00034_x0005_`QTY1|1_x0005_`BQC|_x0005_`EQC|_x0005_`JDC|_x0005_`WQC|_x0005_`EDT|_x0005_`DET|"&amp;ROW(자재단가대비표!A9)&amp;"_x0005_`"</f>
        <v>_x0007_`COD|M00034_x0005_`QTY1|1_x0005_`BQC|_x0005_`EQC|_x0005_`JDC|_x0005_`WQC|_x0005_`EDT|_x0005_`DET|9_x0005_`</v>
      </c>
      <c r="H8" s="3" t="str">
        <f ca="1">HYPERLINK("#"&amp;자재단가대비표!R2&amp;"!A"&amp;ROW(자재단가대비표!A9),"M00034 →")</f>
        <v>M00034 →</v>
      </c>
    </row>
    <row r="9" spans="1:8" ht="21.75" customHeight="1" x14ac:dyDescent="0.3">
      <c r="A9" s="9" t="s">
        <v>323</v>
      </c>
      <c r="B9" s="10" t="s">
        <v>432</v>
      </c>
      <c r="C9" s="10"/>
      <c r="D9" s="9" t="s">
        <v>429</v>
      </c>
      <c r="E9" s="33">
        <f>자재단가대비표!O10</f>
        <v>1300</v>
      </c>
      <c r="F9" s="23" t="s">
        <v>434</v>
      </c>
      <c r="G9" s="17" t="str">
        <f>"_x0007_`COD|M00056_x0005_`QTY1|1_x0005_`BQC|_x0005_`EQC|_x0005_`JDC|_x0005_`WQC|_x0005_`EDT|_x0005_`DET|"&amp;ROW(자재단가대비표!A10)&amp;"_x0005_`"</f>
        <v>_x0007_`COD|M00056_x0005_`QTY1|1_x0005_`BQC|_x0005_`EQC|_x0005_`JDC|_x0005_`WQC|_x0005_`EDT|_x0005_`DET|10_x0005_`</v>
      </c>
      <c r="H9" s="3" t="str">
        <f ca="1">HYPERLINK("#"&amp;자재단가대비표!R2&amp;"!A"&amp;ROW(자재단가대비표!A10),"M00056 →")</f>
        <v>M00056 →</v>
      </c>
    </row>
    <row r="10" spans="1:8" ht="21.75" customHeight="1" x14ac:dyDescent="0.3">
      <c r="A10" s="9" t="s">
        <v>327</v>
      </c>
      <c r="B10" s="10" t="s">
        <v>435</v>
      </c>
      <c r="C10" s="10" t="s">
        <v>436</v>
      </c>
      <c r="D10" s="9" t="s">
        <v>429</v>
      </c>
      <c r="E10" s="33">
        <f>자재단가대비표!O11</f>
        <v>1750</v>
      </c>
      <c r="F10" s="23" t="s">
        <v>438</v>
      </c>
      <c r="G10" s="17" t="str">
        <f>"_x0007_`COD|M00057_x0005_`QTY1|1_x0005_`BQC|_x0005_`EQC|_x0005_`JDC|_x0005_`WQC|_x0005_`EDT|_x0005_`DET|"&amp;ROW(자재단가대비표!A11)&amp;"_x0005_`"</f>
        <v>_x0007_`COD|M00057_x0005_`QTY1|1_x0005_`BQC|_x0005_`EQC|_x0005_`JDC|_x0005_`WQC|_x0005_`EDT|_x0005_`DET|11_x0005_`</v>
      </c>
      <c r="H10" s="3" t="str">
        <f ca="1">HYPERLINK("#"&amp;자재단가대비표!R2&amp;"!A"&amp;ROW(자재단가대비표!A11),"M00057 →")</f>
        <v>M00057 →</v>
      </c>
    </row>
    <row r="11" spans="1:8" ht="21.75" customHeight="1" x14ac:dyDescent="0.3">
      <c r="A11" s="9" t="s">
        <v>331</v>
      </c>
      <c r="B11" s="10" t="s">
        <v>439</v>
      </c>
      <c r="C11" s="10" t="s">
        <v>440</v>
      </c>
      <c r="D11" s="9" t="s">
        <v>441</v>
      </c>
      <c r="E11" s="33">
        <f>자재단가대비표!O12</f>
        <v>0</v>
      </c>
      <c r="F11" s="23" t="s">
        <v>443</v>
      </c>
      <c r="G11" s="17" t="str">
        <f>"_x0007_`COD|M00109_x0005_`QTY1|1_x0005_`UNT|M%_x0005_`BQC|_x0005_`EQC|_x0005_`JDC|_x0005_`WQC|_x0005_`EDT|_x0005_`DET|"&amp;ROW(자재단가대비표!A12)&amp;"_x0005_`"</f>
        <v>_x0007_`COD|M00109_x0005_`QTY1|1_x0005_`UNT|M%_x0005_`BQC|_x0005_`EQC|_x0005_`JDC|_x0005_`WQC|_x0005_`EDT|_x0005_`DET|12_x0005_`</v>
      </c>
      <c r="H11" s="3" t="str">
        <f ca="1">HYPERLINK("#"&amp;자재단가대비표!R2&amp;"!A"&amp;ROW(자재단가대비표!A12),"M00109 →")</f>
        <v>M00109 →</v>
      </c>
    </row>
    <row r="12" spans="1:8" ht="21.75" customHeight="1" x14ac:dyDescent="0.3">
      <c r="A12" s="9" t="s">
        <v>336</v>
      </c>
      <c r="B12" s="10" t="s">
        <v>444</v>
      </c>
      <c r="C12" s="10" t="s">
        <v>445</v>
      </c>
      <c r="D12" s="9" t="s">
        <v>429</v>
      </c>
      <c r="E12" s="33">
        <f>자재단가대비표!O13</f>
        <v>0</v>
      </c>
      <c r="F12" s="23" t="s">
        <v>447</v>
      </c>
      <c r="G12" s="17" t="str">
        <f>"_x0007_`COD|M00117_x0005_`QTY1|1_x0005_`BQC|_x0005_`EQC|_x0005_`JDC|_x0005_`WQC|_x0005_`EDT|_x0005_`DET|"&amp;ROW(자재단가대비표!A13)&amp;"_x0005_`"</f>
        <v>_x0007_`COD|M00117_x0005_`QTY1|1_x0005_`BQC|_x0005_`EQC|_x0005_`JDC|_x0005_`WQC|_x0005_`EDT|_x0005_`DET|13_x0005_`</v>
      </c>
      <c r="H12" s="3" t="str">
        <f ca="1">HYPERLINK("#"&amp;자재단가대비표!R2&amp;"!A"&amp;ROW(자재단가대비표!A13),"M00117 →")</f>
        <v>M00117 →</v>
      </c>
    </row>
    <row r="13" spans="1:8" ht="21.75" customHeight="1" x14ac:dyDescent="0.3">
      <c r="A13" s="9" t="s">
        <v>340</v>
      </c>
      <c r="B13" s="10" t="s">
        <v>448</v>
      </c>
      <c r="C13" s="10" t="s">
        <v>445</v>
      </c>
      <c r="D13" s="9" t="s">
        <v>449</v>
      </c>
      <c r="E13" s="33">
        <f>자재단가대비표!O14</f>
        <v>0</v>
      </c>
      <c r="F13" s="23" t="s">
        <v>451</v>
      </c>
      <c r="G13" s="17" t="str">
        <f>"_x0007_`COD|M00125_x0005_`QTY1|1_x0005_`BQC|_x0005_`EQC|_x0005_`JDC|_x0005_`WQC|_x0005_`EDT|_x0005_`DET|"&amp;ROW(자재단가대비표!A14)&amp;"_x0005_`"</f>
        <v>_x0007_`COD|M00125_x0005_`QTY1|1_x0005_`BQC|_x0005_`EQC|_x0005_`JDC|_x0005_`WQC|_x0005_`EDT|_x0005_`DET|14_x0005_`</v>
      </c>
      <c r="H13" s="3" t="str">
        <f ca="1">HYPERLINK("#"&amp;자재단가대비표!R2&amp;"!A"&amp;ROW(자재단가대비표!A14),"M00125 →")</f>
        <v>M00125 →</v>
      </c>
    </row>
    <row r="14" spans="1:8" ht="21.75" customHeight="1" x14ac:dyDescent="0.3">
      <c r="A14" s="9" t="s">
        <v>344</v>
      </c>
      <c r="B14" s="10" t="s">
        <v>452</v>
      </c>
      <c r="C14" s="10" t="s">
        <v>453</v>
      </c>
      <c r="D14" s="9" t="s">
        <v>419</v>
      </c>
      <c r="E14" s="33">
        <f>자재단가대비표!O15</f>
        <v>31000</v>
      </c>
      <c r="F14" s="23" t="s">
        <v>455</v>
      </c>
      <c r="G14" s="17" t="str">
        <f>"_x0007_`COD|M00131_x0005_`QTY1|1_x0005_`BQC|_x0005_`EQC|_x0005_`JDC|_x0005_`WQC|_x0005_`EDT|_x0005_`DET|"&amp;ROW(자재단가대비표!A15)&amp;"_x0005_`"</f>
        <v>_x0007_`COD|M00131_x0005_`QTY1|1_x0005_`BQC|_x0005_`EQC|_x0005_`JDC|_x0005_`WQC|_x0005_`EDT|_x0005_`DET|15_x0005_`</v>
      </c>
      <c r="H14" s="3" t="str">
        <f ca="1">HYPERLINK("#"&amp;자재단가대비표!R2&amp;"!A"&amp;ROW(자재단가대비표!A15),"M00131 →")</f>
        <v>M00131 →</v>
      </c>
    </row>
    <row r="15" spans="1:8" ht="21.75" customHeight="1" x14ac:dyDescent="0.3">
      <c r="A15" s="9" t="s">
        <v>348</v>
      </c>
      <c r="B15" s="10" t="s">
        <v>456</v>
      </c>
      <c r="C15" s="10" t="s">
        <v>457</v>
      </c>
      <c r="D15" s="9" t="s">
        <v>419</v>
      </c>
      <c r="E15" s="33">
        <f>자재단가대비표!O16</f>
        <v>20500</v>
      </c>
      <c r="F15" s="23" t="s">
        <v>459</v>
      </c>
      <c r="G15" s="17" t="str">
        <f>"_x0007_`COD|M00132_x0005_`QTY1|1_x0005_`BQC|_x0005_`EQC|_x0005_`JDC|_x0005_`WQC|_x0005_`EDT|_x0005_`DET|"&amp;ROW(자재단가대비표!A16)&amp;"_x0005_`"</f>
        <v>_x0007_`COD|M00132_x0005_`QTY1|1_x0005_`BQC|_x0005_`EQC|_x0005_`JDC|_x0005_`WQC|_x0005_`EDT|_x0005_`DET|16_x0005_`</v>
      </c>
      <c r="H15" s="3" t="str">
        <f ca="1">HYPERLINK("#"&amp;자재단가대비표!R2&amp;"!A"&amp;ROW(자재단가대비표!A16),"M00132 →")</f>
        <v>M00132 →</v>
      </c>
    </row>
    <row r="16" spans="1:8" ht="21.75" customHeight="1" x14ac:dyDescent="0.3">
      <c r="A16" s="9" t="s">
        <v>353</v>
      </c>
      <c r="B16" s="10" t="s">
        <v>460</v>
      </c>
      <c r="C16" s="10"/>
      <c r="D16" s="9" t="s">
        <v>429</v>
      </c>
      <c r="E16" s="33">
        <f>자재단가대비표!O17</f>
        <v>425</v>
      </c>
      <c r="F16" s="23" t="s">
        <v>462</v>
      </c>
      <c r="G16" s="17" t="str">
        <f>"_x0007_`COD|M00157_x0005_`QTY1|1_x0005_`BQC|_x0005_`EQC|_x0005_`JDC|_x0005_`WQC|_x0005_`EDT|_x0005_`DET|"&amp;ROW(자재단가대비표!A17)&amp;"_x0005_`"</f>
        <v>_x0007_`COD|M00157_x0005_`QTY1|1_x0005_`BQC|_x0005_`EQC|_x0005_`JDC|_x0005_`WQC|_x0005_`EDT|_x0005_`DET|17_x0005_`</v>
      </c>
      <c r="H16" s="3" t="str">
        <f ca="1">HYPERLINK("#"&amp;자재단가대비표!R2&amp;"!A"&amp;ROW(자재단가대비표!A17),"M00157 →")</f>
        <v>M00157 →</v>
      </c>
    </row>
    <row r="17" spans="1:8" ht="21.75" customHeight="1" x14ac:dyDescent="0.3">
      <c r="A17" s="9" t="s">
        <v>357</v>
      </c>
      <c r="B17" s="10" t="s">
        <v>463</v>
      </c>
      <c r="C17" s="10" t="s">
        <v>445</v>
      </c>
      <c r="D17" s="9" t="s">
        <v>414</v>
      </c>
      <c r="E17" s="33">
        <f>자재단가대비표!O18</f>
        <v>0</v>
      </c>
      <c r="F17" s="23" t="s">
        <v>465</v>
      </c>
      <c r="G17" s="17" t="str">
        <f>"_x0007_`COD|M00214_x0005_`QTY1|1_x0005_`BQC|_x0005_`EQC|_x0005_`JDC|_x0005_`WQC|_x0005_`EDT|_x0005_`DET|"&amp;ROW(자재단가대비표!A18)&amp;"_x0005_`"</f>
        <v>_x0007_`COD|M00214_x0005_`QTY1|1_x0005_`BQC|_x0005_`EQC|_x0005_`JDC|_x0005_`WQC|_x0005_`EDT|_x0005_`DET|18_x0005_`</v>
      </c>
      <c r="H17" s="3" t="str">
        <f ca="1">HYPERLINK("#"&amp;자재단가대비표!R2&amp;"!A"&amp;ROW(자재단가대비표!A18),"M00214 →")</f>
        <v>M00214 →</v>
      </c>
    </row>
    <row r="18" spans="1:8" ht="21.75" customHeight="1" x14ac:dyDescent="0.3">
      <c r="A18" s="9" t="s">
        <v>361</v>
      </c>
      <c r="B18" s="10" t="s">
        <v>466</v>
      </c>
      <c r="C18" s="10" t="s">
        <v>445</v>
      </c>
      <c r="D18" s="9" t="s">
        <v>467</v>
      </c>
      <c r="E18" s="33">
        <f>자재단가대비표!O19</f>
        <v>0</v>
      </c>
      <c r="F18" s="23" t="s">
        <v>469</v>
      </c>
      <c r="G18" s="17" t="str">
        <f>"_x0007_`COD|M00227_x0005_`QTY1|1_x0005_`BQC|_x0005_`EQC|_x0005_`JDC|_x0005_`WQC|_x0005_`EDT|_x0005_`DET|"&amp;ROW(자재단가대비표!A19)&amp;"_x0005_`"</f>
        <v>_x0007_`COD|M00227_x0005_`QTY1|1_x0005_`BQC|_x0005_`EQC|_x0005_`JDC|_x0005_`WQC|_x0005_`EDT|_x0005_`DET|19_x0005_`</v>
      </c>
      <c r="H18" s="3" t="str">
        <f ca="1">HYPERLINK("#"&amp;자재단가대비표!R2&amp;"!A"&amp;ROW(자재단가대비표!A19),"M00227 →")</f>
        <v>M00227 →</v>
      </c>
    </row>
    <row r="19" spans="1:8" ht="21.75" customHeight="1" x14ac:dyDescent="0.3">
      <c r="A19" s="9" t="s">
        <v>365</v>
      </c>
      <c r="B19" s="10" t="s">
        <v>470</v>
      </c>
      <c r="C19" s="10" t="s">
        <v>471</v>
      </c>
      <c r="D19" s="9" t="s">
        <v>409</v>
      </c>
      <c r="E19" s="33">
        <f>자재단가대비표!O20</f>
        <v>4418</v>
      </c>
      <c r="F19" s="23" t="s">
        <v>473</v>
      </c>
      <c r="G19" s="17" t="str">
        <f>"_x0007_`COD|M00231_x0005_`QTY1|1_x0005_`BQC|_x0005_`EQC|_x0005_`JDC|_x0005_`WQC|_x0005_`EDT|_x0005_`DET|"&amp;ROW(자재단가대비표!A20)&amp;"_x0005_`"</f>
        <v>_x0007_`COD|M00231_x0005_`QTY1|1_x0005_`BQC|_x0005_`EQC|_x0005_`JDC|_x0005_`WQC|_x0005_`EDT|_x0005_`DET|20_x0005_`</v>
      </c>
      <c r="H19" s="3" t="str">
        <f ca="1">HYPERLINK("#"&amp;자재단가대비표!R2&amp;"!A"&amp;ROW(자재단가대비표!A20),"M00231 →")</f>
        <v>M00231 →</v>
      </c>
    </row>
    <row r="20" spans="1:8" ht="21.75" customHeight="1" x14ac:dyDescent="0.3">
      <c r="A20" s="9" t="s">
        <v>369</v>
      </c>
      <c r="B20" s="10" t="s">
        <v>474</v>
      </c>
      <c r="C20" s="10" t="s">
        <v>475</v>
      </c>
      <c r="D20" s="9" t="s">
        <v>476</v>
      </c>
      <c r="E20" s="33">
        <f>자재단가대비표!O21</f>
        <v>1518</v>
      </c>
      <c r="F20" s="23" t="s">
        <v>478</v>
      </c>
      <c r="G20" s="17" t="str">
        <f>"_x0007_`COD|M00302_x0005_`QTY1|1_x0005_`BQC|_x0005_`EQC|_x0005_`JDC|1510150620282203_x0005_`WQC|_x0005_`EDT|2025.01.07_x0005_`DET|"&amp;ROW(자재단가대비표!A21)&amp;"_x0005_`"</f>
        <v>_x0007_`COD|M00302_x0005_`QTY1|1_x0005_`BQC|_x0005_`EQC|_x0005_`JDC|1510150620282203_x0005_`WQC|_x0005_`EDT|2025.01.07_x0005_`DET|21_x0005_`</v>
      </c>
      <c r="H20" s="3" t="str">
        <f ca="1">HYPERLINK("#"&amp;자재단가대비표!R2&amp;"!A"&amp;ROW(자재단가대비표!A21),"M00302 →")</f>
        <v>M00302 →</v>
      </c>
    </row>
    <row r="21" spans="1:8" ht="21.75" customHeight="1" x14ac:dyDescent="0.3">
      <c r="A21" s="9" t="s">
        <v>374</v>
      </c>
      <c r="B21" s="10" t="s">
        <v>479</v>
      </c>
      <c r="C21" s="10" t="s">
        <v>480</v>
      </c>
      <c r="D21" s="9" t="s">
        <v>476</v>
      </c>
      <c r="E21" s="33">
        <f>자재단가대비표!O22</f>
        <v>1359</v>
      </c>
      <c r="F21" s="23" t="s">
        <v>482</v>
      </c>
      <c r="G21" s="17" t="str">
        <f>"_x0007_`COD|M00303_x0005_`QTY1|1_x0005_`BQC|_x0005_`EQC|_x0005_`JDC|1510150520282163_x0005_`WQC|_x0005_`EDT|2025.01.07_x0005_`DET|"&amp;ROW(자재단가대비표!A22)&amp;"_x0005_`"</f>
        <v>_x0007_`COD|M00303_x0005_`QTY1|1_x0005_`BQC|_x0005_`EQC|_x0005_`JDC|1510150520282163_x0005_`WQC|_x0005_`EDT|2025.01.07_x0005_`DET|22_x0005_`</v>
      </c>
      <c r="H21" s="3" t="str">
        <f ca="1">HYPERLINK("#"&amp;자재단가대비표!R2&amp;"!A"&amp;ROW(자재단가대비표!A22),"M00303 →")</f>
        <v>M00303 →</v>
      </c>
    </row>
    <row r="22" spans="1:8" ht="21.75" customHeight="1" x14ac:dyDescent="0.3">
      <c r="A22" s="9" t="s">
        <v>378</v>
      </c>
      <c r="B22" s="10" t="s">
        <v>483</v>
      </c>
      <c r="C22" s="10" t="s">
        <v>484</v>
      </c>
      <c r="D22" s="9" t="s">
        <v>449</v>
      </c>
      <c r="E22" s="33">
        <f>자재단가대비표!O23</f>
        <v>107390</v>
      </c>
      <c r="F22" s="23" t="s">
        <v>486</v>
      </c>
      <c r="G22" s="17" t="str">
        <f>"_x0007_`COD|M00344_x0005_`QTY1|1_x0005_`BQC|_x0005_`EQC|_x0005_`JDC|_x0005_`WQC|_x0005_`EDT|_x0005_`DET|"&amp;ROW(자재단가대비표!A23)&amp;"_x0005_`"</f>
        <v>_x0007_`COD|M00344_x0005_`QTY1|1_x0005_`BQC|_x0005_`EQC|_x0005_`JDC|_x0005_`WQC|_x0005_`EDT|_x0005_`DET|23_x0005_`</v>
      </c>
      <c r="H22" s="3" t="str">
        <f ca="1">HYPERLINK("#"&amp;자재단가대비표!R2&amp;"!A"&amp;ROW(자재단가대비표!A23),"M00344 →")</f>
        <v>M00344 →</v>
      </c>
    </row>
    <row r="23" spans="1:8" ht="21.75" customHeight="1" x14ac:dyDescent="0.3">
      <c r="A23" s="9" t="s">
        <v>383</v>
      </c>
      <c r="B23" s="10" t="s">
        <v>483</v>
      </c>
      <c r="C23" s="10" t="s">
        <v>487</v>
      </c>
      <c r="D23" s="9" t="s">
        <v>449</v>
      </c>
      <c r="E23" s="33">
        <f>자재단가대비표!O24</f>
        <v>114700</v>
      </c>
      <c r="F23" s="23" t="s">
        <v>489</v>
      </c>
      <c r="G23" s="17" t="str">
        <f>"_x0007_`COD|M00424_x0005_`QTY1|1_x0005_`BQC|_x0005_`EQC|_x0005_`JDC|_x0005_`WQC|_x0005_`EDT|_x0005_`DET|"&amp;ROW(자재단가대비표!A24)&amp;"_x0005_`"</f>
        <v>_x0007_`COD|M00424_x0005_`QTY1|1_x0005_`BQC|_x0005_`EQC|_x0005_`JDC|_x0005_`WQC|_x0005_`EDT|_x0005_`DET|24_x0005_`</v>
      </c>
      <c r="H23" s="3" t="str">
        <f ca="1">HYPERLINK("#"&amp;자재단가대비표!R2&amp;"!A"&amp;ROW(자재단가대비표!A24),"M00424 →")</f>
        <v>M00424 →</v>
      </c>
    </row>
    <row r="24" spans="1:8" ht="21.75" customHeight="1" x14ac:dyDescent="0.3">
      <c r="A24" s="9" t="s">
        <v>388</v>
      </c>
      <c r="B24" s="10" t="s">
        <v>490</v>
      </c>
      <c r="C24" s="10" t="s">
        <v>491</v>
      </c>
      <c r="D24" s="9" t="s">
        <v>14</v>
      </c>
      <c r="E24" s="33">
        <f>자재단가대비표!O25</f>
        <v>0</v>
      </c>
      <c r="F24" s="23" t="s">
        <v>493</v>
      </c>
      <c r="G24" s="17" t="str">
        <f>"_x0007_`COD|M00453_x0005_`QTY1|1_x0005_`BQC|_x0005_`EQC|_x0005_`JDC|_x0005_`WQC|_x0005_`EDT|_x0005_`DET|"&amp;ROW(자재단가대비표!A25)&amp;"_x0005_`"</f>
        <v>_x0007_`COD|M00453_x0005_`QTY1|1_x0005_`BQC|_x0005_`EQC|_x0005_`JDC|_x0005_`WQC|_x0005_`EDT|_x0005_`DET|25_x0005_`</v>
      </c>
      <c r="H24" s="3" t="str">
        <f ca="1">HYPERLINK("#"&amp;자재단가대비표!R2&amp;"!A"&amp;ROW(자재단가대비표!A25),"M00453 →")</f>
        <v>M00453 →</v>
      </c>
    </row>
    <row r="25" spans="1:8" ht="21.75" customHeight="1" x14ac:dyDescent="0.3">
      <c r="A25" s="9" t="s">
        <v>392</v>
      </c>
      <c r="B25" s="10" t="s">
        <v>494</v>
      </c>
      <c r="C25" s="10" t="s">
        <v>445</v>
      </c>
      <c r="D25" s="9" t="s">
        <v>495</v>
      </c>
      <c r="E25" s="33">
        <f>자재단가대비표!O26</f>
        <v>0</v>
      </c>
      <c r="F25" s="23" t="s">
        <v>497</v>
      </c>
      <c r="G25" s="17" t="str">
        <f>"_x0007_`COD|M00488_x0005_`QTY1|1_x0005_`BQC|_x0005_`EQC|_x0005_`JDC|_x0005_`WQC|_x0005_`EDT|_x0005_`DET|"&amp;ROW(자재단가대비표!A26)&amp;"_x0005_`"</f>
        <v>_x0007_`COD|M00488_x0005_`QTY1|1_x0005_`BQC|_x0005_`EQC|_x0005_`JDC|_x0005_`WQC|_x0005_`EDT|_x0005_`DET|26_x0005_`</v>
      </c>
      <c r="H25" s="3" t="str">
        <f ca="1">HYPERLINK("#"&amp;자재단가대비표!R2&amp;"!A"&amp;ROW(자재단가대비표!A26),"M00488 →")</f>
        <v>M00488 →</v>
      </c>
    </row>
    <row r="26" spans="1:8" ht="21.75" customHeight="1" x14ac:dyDescent="0.3">
      <c r="A26" s="9" t="s">
        <v>396</v>
      </c>
      <c r="B26" s="10" t="s">
        <v>498</v>
      </c>
      <c r="C26" s="10"/>
      <c r="D26" s="9" t="s">
        <v>441</v>
      </c>
      <c r="E26" s="33">
        <f>자재단가대비표!O27</f>
        <v>0</v>
      </c>
      <c r="F26" s="23" t="s">
        <v>500</v>
      </c>
      <c r="G26" s="17" t="str">
        <f>"_x0007_`COD|M00918_x0005_`QTY1|1_x0005_`UNT|T%_x0005_`BQC|_x0005_`EQC|_x0005_`JDC|_x0005_`WQC|_x0005_`EDT|_x0005_`DET|"&amp;ROW(자재단가대비표!A27)&amp;"_x0005_`"</f>
        <v>_x0007_`COD|M00918_x0005_`QTY1|1_x0005_`UNT|T%_x0005_`BQC|_x0005_`EQC|_x0005_`JDC|_x0005_`WQC|_x0005_`EDT|_x0005_`DET|27_x0005_`</v>
      </c>
      <c r="H26" s="3" t="str">
        <f ca="1">HYPERLINK("#"&amp;자재단가대비표!R2&amp;"!A"&amp;ROW(자재단가대비표!A27),"M00918 →")</f>
        <v>M00918 →</v>
      </c>
    </row>
    <row r="27" spans="1:8" ht="21.75" customHeight="1" x14ac:dyDescent="0.3">
      <c r="A27" s="9" t="s">
        <v>400</v>
      </c>
      <c r="B27" s="10" t="s">
        <v>501</v>
      </c>
      <c r="C27" s="10"/>
      <c r="D27" s="9" t="s">
        <v>502</v>
      </c>
      <c r="E27" s="33">
        <f>자재단가대비표!O28</f>
        <v>1.27</v>
      </c>
      <c r="F27" s="23" t="s">
        <v>504</v>
      </c>
      <c r="G27" s="17" t="str">
        <f>"_x0007_`COD|M01054_x0005_`QTY1|1_x0005_`BQC|_x0005_`EQC|_x0005_`JDC|_x0005_`WQC|_x0005_`EDT|_x0005_`DET|"&amp;ROW(자재단가대비표!A28)&amp;"_x0005_`"</f>
        <v>_x0007_`COD|M01054_x0005_`QTY1|1_x0005_`BQC|_x0005_`EQC|_x0005_`JDC|_x0005_`WQC|_x0005_`EDT|_x0005_`DET|28_x0005_`</v>
      </c>
      <c r="H27" s="3" t="str">
        <f ca="1">HYPERLINK("#"&amp;자재단가대비표!R2&amp;"!A"&amp;ROW(자재단가대비표!A28),"M01054 →")</f>
        <v>M01054 →</v>
      </c>
    </row>
    <row r="28" spans="1:8" ht="21.75" customHeight="1" x14ac:dyDescent="0.3">
      <c r="A28" s="9" t="s">
        <v>505</v>
      </c>
      <c r="B28" s="10" t="s">
        <v>506</v>
      </c>
      <c r="C28" s="10"/>
      <c r="D28" s="9" t="s">
        <v>14</v>
      </c>
      <c r="E28" s="33">
        <f>자재단가대비표!O29</f>
        <v>6875</v>
      </c>
      <c r="F28" s="23" t="s">
        <v>508</v>
      </c>
      <c r="G28" s="17" t="str">
        <f>"_x0007_`COD|M01150_x0005_`QTY1|1_x0005_`BQC|_x0005_`EQC|_x0005_`JDC|_x0005_`WQC|_x0005_`EDT|_x0005_`DET|"&amp;ROW(자재단가대비표!A29)&amp;"_x0005_`"</f>
        <v>_x0007_`COD|M01150_x0005_`QTY1|1_x0005_`BQC|_x0005_`EQC|_x0005_`JDC|_x0005_`WQC|_x0005_`EDT|_x0005_`DET|29_x0005_`</v>
      </c>
      <c r="H28" s="3" t="str">
        <f ca="1">HYPERLINK("#"&amp;자재단가대비표!R2&amp;"!A"&amp;ROW(자재단가대비표!A29),"M01150 →")</f>
        <v>M01150 →</v>
      </c>
    </row>
    <row r="29" spans="1:8" ht="21.75" customHeight="1" x14ac:dyDescent="0.3">
      <c r="A29" s="9" t="s">
        <v>509</v>
      </c>
      <c r="B29" s="10" t="s">
        <v>510</v>
      </c>
      <c r="C29" s="10" t="s">
        <v>511</v>
      </c>
      <c r="D29" s="9" t="s">
        <v>429</v>
      </c>
      <c r="E29" s="33">
        <f>자재단가대비표!O30</f>
        <v>18000</v>
      </c>
      <c r="F29" s="23" t="s">
        <v>513</v>
      </c>
      <c r="G29" s="17" t="str">
        <f>"_x0007_`COD|M01225_x0005_`QTY1|1_x0005_`BQC|_x0005_`EQC|_x0005_`JDC|_x0005_`WQC|_x0005_`EDT|_x0005_`DET|"&amp;ROW(자재단가대비표!A30)&amp;"_x0005_`"</f>
        <v>_x0007_`COD|M01225_x0005_`QTY1|1_x0005_`BQC|_x0005_`EQC|_x0005_`JDC|_x0005_`WQC|_x0005_`EDT|_x0005_`DET|30_x0005_`</v>
      </c>
      <c r="H29" s="3" t="str">
        <f ca="1">HYPERLINK("#"&amp;자재단가대비표!R2&amp;"!A"&amp;ROW(자재단가대비표!A30),"M01225 →")</f>
        <v>M01225 →</v>
      </c>
    </row>
    <row r="30" spans="1:8" ht="21.75" customHeight="1" x14ac:dyDescent="0.3">
      <c r="A30" s="9" t="s">
        <v>514</v>
      </c>
      <c r="B30" s="10" t="s">
        <v>510</v>
      </c>
      <c r="C30" s="10" t="s">
        <v>515</v>
      </c>
      <c r="D30" s="9" t="s">
        <v>429</v>
      </c>
      <c r="E30" s="33">
        <f>자재단가대비표!O31</f>
        <v>35000</v>
      </c>
      <c r="F30" s="23" t="s">
        <v>517</v>
      </c>
      <c r="G30" s="17" t="str">
        <f>"_x0007_`COD|M01226_x0005_`QTY1|1_x0005_`BQC|_x0005_`EQC|_x0005_`JDC|_x0005_`WQC|_x0005_`EDT|_x0005_`DET|"&amp;ROW(자재단가대비표!A31)&amp;"_x0005_`"</f>
        <v>_x0007_`COD|M01226_x0005_`QTY1|1_x0005_`BQC|_x0005_`EQC|_x0005_`JDC|_x0005_`WQC|_x0005_`EDT|_x0005_`DET|31_x0005_`</v>
      </c>
      <c r="H30" s="3" t="str">
        <f ca="1">HYPERLINK("#"&amp;자재단가대비표!R2&amp;"!A"&amp;ROW(자재단가대비표!A31),"M01226 →")</f>
        <v>M01226 →</v>
      </c>
    </row>
    <row r="31" spans="1:8" ht="21.75" customHeight="1" x14ac:dyDescent="0.3">
      <c r="A31" s="9" t="s">
        <v>518</v>
      </c>
      <c r="B31" s="10" t="s">
        <v>519</v>
      </c>
      <c r="C31" s="10" t="s">
        <v>520</v>
      </c>
      <c r="D31" s="9" t="s">
        <v>256</v>
      </c>
      <c r="E31" s="33">
        <f>자재단가대비표!O32</f>
        <v>227000</v>
      </c>
      <c r="F31" s="23" t="s">
        <v>522</v>
      </c>
      <c r="G31" s="17" t="str">
        <f>"_x0007_`COD|M01324_x0005_`QTY1|1_x0005_`BQC|_x0005_`EQC|_x0005_`JDC|_x0005_`WQC|_x0005_`EDT|_x0005_`DET|"&amp;ROW(자재단가대비표!A32)&amp;"_x0005_`"</f>
        <v>_x0007_`COD|M01324_x0005_`QTY1|1_x0005_`BQC|_x0005_`EQC|_x0005_`JDC|_x0005_`WQC|_x0005_`EDT|_x0005_`DET|32_x0005_`</v>
      </c>
      <c r="H31" s="3" t="str">
        <f ca="1">HYPERLINK("#"&amp;자재단가대비표!R2&amp;"!A"&amp;ROW(자재단가대비표!A32),"M01324 →")</f>
        <v>M01324 →</v>
      </c>
    </row>
    <row r="32" spans="1:8" ht="21.75" customHeight="1" x14ac:dyDescent="0.3">
      <c r="A32" s="9" t="s">
        <v>523</v>
      </c>
      <c r="B32" s="10" t="s">
        <v>519</v>
      </c>
      <c r="C32" s="10" t="s">
        <v>524</v>
      </c>
      <c r="D32" s="9" t="s">
        <v>256</v>
      </c>
      <c r="E32" s="33">
        <f>자재단가대비표!O33</f>
        <v>866000</v>
      </c>
      <c r="F32" s="23" t="s">
        <v>526</v>
      </c>
      <c r="G32" s="17" t="str">
        <f>"_x0007_`COD|M01325_x0005_`QTY1|1_x0005_`BQC|_x0005_`EQC|_x0005_`JDC|_x0005_`WQC|_x0005_`EDT|_x0005_`DET|"&amp;ROW(자재단가대비표!A33)&amp;"_x0005_`"</f>
        <v>_x0007_`COD|M01325_x0005_`QTY1|1_x0005_`BQC|_x0005_`EQC|_x0005_`JDC|_x0005_`WQC|_x0005_`EDT|_x0005_`DET|33_x0005_`</v>
      </c>
      <c r="H32" s="3" t="str">
        <f ca="1">HYPERLINK("#"&amp;자재단가대비표!R2&amp;"!A"&amp;ROW(자재단가대비표!A33),"M01325 →")</f>
        <v>M01325 →</v>
      </c>
    </row>
    <row r="33" spans="1:8" ht="21.75" customHeight="1" x14ac:dyDescent="0.3">
      <c r="A33" s="9" t="s">
        <v>527</v>
      </c>
      <c r="B33" s="10" t="s">
        <v>528</v>
      </c>
      <c r="C33" s="10" t="s">
        <v>529</v>
      </c>
      <c r="D33" s="9" t="s">
        <v>414</v>
      </c>
      <c r="E33" s="33">
        <f>자재단가대비표!O34</f>
        <v>1912</v>
      </c>
      <c r="F33" s="23" t="s">
        <v>531</v>
      </c>
      <c r="G33" s="17" t="str">
        <f>"_x0007_`COD|M01436_x0005_`QTY1|1_x0005_`BQC|_x0005_`EQC|_x0005_`JDC|_x0005_`WQC|_x0005_`EDT|_x0005_`DET|"&amp;ROW(자재단가대비표!A34)&amp;"_x0005_`"</f>
        <v>_x0007_`COD|M01436_x0005_`QTY1|1_x0005_`BQC|_x0005_`EQC|_x0005_`JDC|_x0005_`WQC|_x0005_`EDT|_x0005_`DET|34_x0005_`</v>
      </c>
      <c r="H33" s="3" t="str">
        <f ca="1">HYPERLINK("#"&amp;자재단가대비표!R2&amp;"!A"&amp;ROW(자재단가대비표!A34),"M01436 →")</f>
        <v>M01436 →</v>
      </c>
    </row>
    <row r="34" spans="1:8" ht="21.75" customHeight="1" x14ac:dyDescent="0.3">
      <c r="A34" s="9" t="s">
        <v>532</v>
      </c>
      <c r="B34" s="10" t="s">
        <v>533</v>
      </c>
      <c r="C34" s="10" t="s">
        <v>534</v>
      </c>
      <c r="D34" s="9" t="s">
        <v>414</v>
      </c>
      <c r="E34" s="33">
        <f>자재단가대비표!O35</f>
        <v>126490</v>
      </c>
      <c r="F34" s="23" t="s">
        <v>536</v>
      </c>
      <c r="G34" s="17" t="str">
        <f>"_x0007_`COD|M01513_x0005_`QTY1|1_x0005_`BQC|영남_x0005_`EQC|_x0005_`JDC|_x0005_`WQC|_x0005_`EDT|_x0005_`DET|"&amp;ROW(자재단가대비표!A35)&amp;"_x0005_`"</f>
        <v>_x0007_`COD|M01513_x0005_`QTY1|1_x0005_`BQC|영남_x0005_`EQC|_x0005_`JDC|_x0005_`WQC|_x0005_`EDT|_x0005_`DET|35_x0005_`</v>
      </c>
      <c r="H34" s="3" t="str">
        <f ca="1">HYPERLINK("#"&amp;자재단가대비표!R2&amp;"!A"&amp;ROW(자재단가대비표!A35),"M01513 →")</f>
        <v>M01513 →</v>
      </c>
    </row>
    <row r="35" spans="1:8" ht="21.75" customHeight="1" x14ac:dyDescent="0.3">
      <c r="A35" s="9" t="s">
        <v>537</v>
      </c>
      <c r="B35" s="10" t="s">
        <v>494</v>
      </c>
      <c r="C35" s="10" t="s">
        <v>538</v>
      </c>
      <c r="D35" s="9" t="s">
        <v>449</v>
      </c>
      <c r="E35" s="33">
        <f>자재단가대비표!O36</f>
        <v>20181</v>
      </c>
      <c r="F35" s="23" t="s">
        <v>540</v>
      </c>
      <c r="G35" s="17" t="str">
        <f>"_x0007_`COD|M01514_x0005_`QTY1|1_x0005_`BQC|_x0005_`EQC|_x0005_`JDC|_x0005_`WQC|_x0005_`EDT|_x0005_`DET|"&amp;ROW(자재단가대비표!A36)&amp;"_x0005_`"</f>
        <v>_x0007_`COD|M01514_x0005_`QTY1|1_x0005_`BQC|_x0005_`EQC|_x0005_`JDC|_x0005_`WQC|_x0005_`EDT|_x0005_`DET|36_x0005_`</v>
      </c>
      <c r="H35" s="3" t="str">
        <f ca="1">HYPERLINK("#"&amp;자재단가대비표!R2&amp;"!A"&amp;ROW(자재단가대비표!A36),"M01514 →")</f>
        <v>M01514 →</v>
      </c>
    </row>
    <row r="36" spans="1:8" ht="21.75" customHeight="1" x14ac:dyDescent="0.3">
      <c r="A36" s="9" t="s">
        <v>541</v>
      </c>
      <c r="B36" s="10" t="s">
        <v>542</v>
      </c>
      <c r="C36" s="10" t="s">
        <v>543</v>
      </c>
      <c r="D36" s="9" t="s">
        <v>449</v>
      </c>
      <c r="E36" s="33">
        <f>자재단가대비표!O37</f>
        <v>15794</v>
      </c>
      <c r="F36" s="23" t="s">
        <v>545</v>
      </c>
      <c r="G36" s="17" t="str">
        <f>"_x0007_`COD|M01515_x0005_`QTY1|1_x0005_`BQC|_x0005_`EQC|_x0005_`JDC|_x0005_`WQC|_x0005_`EDT|_x0005_`DET|"&amp;ROW(자재단가대비표!A37)&amp;"_x0005_`"</f>
        <v>_x0007_`COD|M01515_x0005_`QTY1|1_x0005_`BQC|_x0005_`EQC|_x0005_`JDC|_x0005_`WQC|_x0005_`EDT|_x0005_`DET|37_x0005_`</v>
      </c>
      <c r="H36" s="3" t="str">
        <f ca="1">HYPERLINK("#"&amp;자재단가대비표!R2&amp;"!A"&amp;ROW(자재단가대비표!A37),"M01515 →")</f>
        <v>M01515 →</v>
      </c>
    </row>
    <row r="37" spans="1:8" ht="21.75" customHeight="1" x14ac:dyDescent="0.3">
      <c r="A37" s="9" t="s">
        <v>546</v>
      </c>
      <c r="B37" s="10" t="s">
        <v>547</v>
      </c>
      <c r="C37" s="10" t="s">
        <v>543</v>
      </c>
      <c r="D37" s="9" t="s">
        <v>449</v>
      </c>
      <c r="E37" s="33">
        <f>자재단가대비표!O38</f>
        <v>15794</v>
      </c>
      <c r="F37" s="23" t="s">
        <v>549</v>
      </c>
      <c r="G37" s="17" t="str">
        <f>"_x0007_`COD|M01516_x0005_`QTY1|1_x0005_`BQC|_x0005_`EQC|_x0005_`JDC|_x0005_`WQC|_x0005_`EDT|_x0005_`DET|"&amp;ROW(자재단가대비표!A38)&amp;"_x0005_`"</f>
        <v>_x0007_`COD|M01516_x0005_`QTY1|1_x0005_`BQC|_x0005_`EQC|_x0005_`JDC|_x0005_`WQC|_x0005_`EDT|_x0005_`DET|38_x0005_`</v>
      </c>
      <c r="H37" s="3" t="str">
        <f ca="1">HYPERLINK("#"&amp;자재단가대비표!R2&amp;"!A"&amp;ROW(자재단가대비표!A38),"M01516 →")</f>
        <v>M01516 →</v>
      </c>
    </row>
    <row r="38" spans="1:8" ht="21.75" customHeight="1" x14ac:dyDescent="0.3">
      <c r="A38" s="9" t="s">
        <v>550</v>
      </c>
      <c r="B38" s="10" t="s">
        <v>444</v>
      </c>
      <c r="C38" s="10" t="s">
        <v>551</v>
      </c>
      <c r="D38" s="9" t="s">
        <v>290</v>
      </c>
      <c r="E38" s="33">
        <f>자재단가대비표!O39</f>
        <v>4641</v>
      </c>
      <c r="F38" s="23" t="s">
        <v>553</v>
      </c>
      <c r="G38" s="17" t="str">
        <f>"_x0007_`COD|M01517_x0005_`QTY1|1_x0005_`BQC|_x0005_`EQC|_x0005_`JDC|_x0005_`WQC|_x0005_`EDT|_x0005_`DET|"&amp;ROW(자재단가대비표!A39)&amp;"_x0005_`"</f>
        <v>_x0007_`COD|M01517_x0005_`QTY1|1_x0005_`BQC|_x0005_`EQC|_x0005_`JDC|_x0005_`WQC|_x0005_`EDT|_x0005_`DET|39_x0005_`</v>
      </c>
      <c r="H38" s="3" t="str">
        <f ca="1">HYPERLINK("#"&amp;자재단가대비표!R2&amp;"!A"&amp;ROW(자재단가대비표!A39),"M01517 →")</f>
        <v>M01517 →</v>
      </c>
    </row>
    <row r="39" spans="1:8" ht="21.75" customHeight="1" x14ac:dyDescent="0.3">
      <c r="A39" s="9" t="s">
        <v>554</v>
      </c>
      <c r="B39" s="10" t="s">
        <v>555</v>
      </c>
      <c r="C39" s="10" t="s">
        <v>556</v>
      </c>
      <c r="D39" s="9" t="s">
        <v>467</v>
      </c>
      <c r="E39" s="33">
        <f>자재단가대비표!O40</f>
        <v>683126</v>
      </c>
      <c r="F39" s="23" t="s">
        <v>558</v>
      </c>
      <c r="G39" s="17" t="str">
        <f>"_x0007_`COD|M01518_x0005_`QTY1|1_x0005_`BQC|_x0005_`EQC|_x0005_`JDC|_x0005_`WQC|_x0005_`EDT|_x0005_`DET|"&amp;ROW(자재단가대비표!A40)&amp;"_x0005_`"</f>
        <v>_x0007_`COD|M01518_x0005_`QTY1|1_x0005_`BQC|_x0005_`EQC|_x0005_`JDC|_x0005_`WQC|_x0005_`EDT|_x0005_`DET|40_x0005_`</v>
      </c>
      <c r="H39" s="3" t="str">
        <f ca="1">HYPERLINK("#"&amp;자재단가대비표!R2&amp;"!A"&amp;ROW(자재단가대비표!A40),"M01518 →")</f>
        <v>M01518 →</v>
      </c>
    </row>
    <row r="40" spans="1:8" ht="21.75" customHeight="1" x14ac:dyDescent="0.3">
      <c r="A40" s="9" t="s">
        <v>559</v>
      </c>
      <c r="B40" s="10" t="s">
        <v>560</v>
      </c>
      <c r="C40" s="10" t="s">
        <v>543</v>
      </c>
      <c r="D40" s="9" t="s">
        <v>295</v>
      </c>
      <c r="E40" s="33">
        <f>자재단가대비표!O41</f>
        <v>32465</v>
      </c>
      <c r="F40" s="23" t="s">
        <v>562</v>
      </c>
      <c r="G40" s="17" t="str">
        <f>"_x0007_`COD|M01519_x0005_`QTY1|1_x0005_`BQC|_x0005_`EQC|_x0005_`JDC|_x0005_`WQC|_x0005_`EDT|_x0005_`DET|"&amp;ROW(자재단가대비표!A41)&amp;"_x0005_`"</f>
        <v>_x0007_`COD|M01519_x0005_`QTY1|1_x0005_`BQC|_x0005_`EQC|_x0005_`JDC|_x0005_`WQC|_x0005_`EDT|_x0005_`DET|41_x0005_`</v>
      </c>
      <c r="H40" s="3" t="str">
        <f ca="1">HYPERLINK("#"&amp;자재단가대비표!R2&amp;"!A"&amp;ROW(자재단가대비표!A41),"M01519 →")</f>
        <v>M01519 →</v>
      </c>
    </row>
  </sheetData>
  <mergeCells count="1">
    <mergeCell ref="A1:F1"/>
  </mergeCells>
  <phoneticPr fontId="23" type="noConversion"/>
  <hyperlinks>
    <hyperlink ref="H1" r:id="rId1" tooltip="설계예산시스템(STmate w25.07)으로 작성 하였으며,_x000a_엑셀 인쇄품질 600 dpi에 최적화 되어 있습니다._x000a_경영정보(주) http://www.stma.co.kr_x000a_Tel) 070-4350-0040_x000a_Fax) 0505-300-3948"/>
    <hyperlink ref="G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5" width="13.75" style="6" customWidth="1"/>
    <col min="6" max="6" width="10" style="6" customWidth="1"/>
    <col min="7" max="7" width="9.125" style="16" hidden="1" customWidth="1"/>
    <col min="8" max="8" width="9.125" style="18" customWidth="1"/>
    <col min="9" max="16384" width="9.125" style="6"/>
  </cols>
  <sheetData>
    <row r="1" spans="1:8" ht="24.95" customHeight="1" x14ac:dyDescent="0.3">
      <c r="A1" s="133" t="s">
        <v>563</v>
      </c>
      <c r="B1" s="132"/>
      <c r="C1" s="132"/>
      <c r="D1" s="132"/>
      <c r="E1" s="132"/>
      <c r="F1" s="132"/>
      <c r="G1" s="5" t="s">
        <v>133</v>
      </c>
      <c r="H1" s="19" t="s">
        <v>133</v>
      </c>
    </row>
    <row r="2" spans="1:8" ht="21.75" customHeight="1" x14ac:dyDescent="0.3">
      <c r="A2" s="1" t="s">
        <v>1</v>
      </c>
      <c r="G2" s="20" t="str">
        <f ca="1">MID(CELL("filename",$A$1),FIND("]",CELL("filename",$A$1))+1,LEN(CELL("filename",$A$1)))</f>
        <v>노무비목록표</v>
      </c>
    </row>
    <row r="3" spans="1:8" ht="21.7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406</v>
      </c>
      <c r="F3" s="14" t="s">
        <v>10</v>
      </c>
      <c r="H3" s="3" t="str">
        <f>HYPERLINK("#'〓 목 차 〓'!B2","목차 →")</f>
        <v>목차 →</v>
      </c>
    </row>
    <row r="4" spans="1:8" ht="21.75" customHeight="1" x14ac:dyDescent="0.3">
      <c r="A4" s="9" t="s">
        <v>299</v>
      </c>
      <c r="B4" s="10" t="s">
        <v>564</v>
      </c>
      <c r="C4" s="10"/>
      <c r="D4" s="9" t="s">
        <v>565</v>
      </c>
      <c r="E4" s="21">
        <v>272831</v>
      </c>
      <c r="F4" s="23" t="s">
        <v>567</v>
      </c>
      <c r="G4" s="17" t="s">
        <v>566</v>
      </c>
    </row>
    <row r="5" spans="1:8" ht="21.75" customHeight="1" x14ac:dyDescent="0.3">
      <c r="A5" s="9" t="s">
        <v>305</v>
      </c>
      <c r="B5" s="10" t="s">
        <v>568</v>
      </c>
      <c r="C5" s="10"/>
      <c r="D5" s="9" t="s">
        <v>565</v>
      </c>
      <c r="E5" s="21">
        <v>264104</v>
      </c>
      <c r="F5" s="23" t="s">
        <v>570</v>
      </c>
      <c r="G5" s="17" t="s">
        <v>569</v>
      </c>
    </row>
    <row r="6" spans="1:8" ht="21.75" customHeight="1" x14ac:dyDescent="0.3">
      <c r="A6" s="9" t="s">
        <v>309</v>
      </c>
      <c r="B6" s="10" t="s">
        <v>571</v>
      </c>
      <c r="C6" s="10"/>
      <c r="D6" s="9" t="s">
        <v>565</v>
      </c>
      <c r="E6" s="21">
        <v>266246</v>
      </c>
      <c r="F6" s="23" t="s">
        <v>573</v>
      </c>
      <c r="G6" s="17" t="s">
        <v>572</v>
      </c>
    </row>
    <row r="7" spans="1:8" ht="21.75" customHeight="1" x14ac:dyDescent="0.3">
      <c r="A7" s="9" t="s">
        <v>314</v>
      </c>
      <c r="B7" s="10" t="s">
        <v>574</v>
      </c>
      <c r="C7" s="10"/>
      <c r="D7" s="9" t="s">
        <v>565</v>
      </c>
      <c r="E7" s="21">
        <v>266361</v>
      </c>
      <c r="F7" s="23" t="s">
        <v>576</v>
      </c>
      <c r="G7" s="17" t="s">
        <v>575</v>
      </c>
    </row>
    <row r="8" spans="1:8" ht="21.75" customHeight="1" x14ac:dyDescent="0.3">
      <c r="A8" s="9" t="s">
        <v>319</v>
      </c>
      <c r="B8" s="10" t="s">
        <v>577</v>
      </c>
      <c r="C8" s="10"/>
      <c r="D8" s="9" t="s">
        <v>565</v>
      </c>
      <c r="E8" s="21">
        <v>224132</v>
      </c>
      <c r="F8" s="23" t="s">
        <v>579</v>
      </c>
      <c r="G8" s="17" t="s">
        <v>578</v>
      </c>
    </row>
    <row r="9" spans="1:8" ht="21.75" customHeight="1" x14ac:dyDescent="0.3">
      <c r="A9" s="9" t="s">
        <v>323</v>
      </c>
      <c r="B9" s="10" t="s">
        <v>580</v>
      </c>
      <c r="C9" s="10"/>
      <c r="D9" s="9" t="s">
        <v>565</v>
      </c>
      <c r="E9" s="21">
        <v>213033</v>
      </c>
      <c r="F9" s="23" t="s">
        <v>582</v>
      </c>
      <c r="G9" s="17" t="s">
        <v>581</v>
      </c>
    </row>
    <row r="10" spans="1:8" ht="21.75" customHeight="1" x14ac:dyDescent="0.3">
      <c r="A10" s="9" t="s">
        <v>327</v>
      </c>
      <c r="B10" s="10" t="s">
        <v>583</v>
      </c>
      <c r="C10" s="10"/>
      <c r="D10" s="9" t="s">
        <v>565</v>
      </c>
      <c r="E10" s="21">
        <v>221506</v>
      </c>
      <c r="F10" s="23" t="s">
        <v>585</v>
      </c>
      <c r="G10" s="17" t="s">
        <v>584</v>
      </c>
    </row>
    <row r="11" spans="1:8" ht="21.75" customHeight="1" x14ac:dyDescent="0.3">
      <c r="A11" s="9" t="s">
        <v>331</v>
      </c>
      <c r="B11" s="10" t="s">
        <v>586</v>
      </c>
      <c r="C11" s="10"/>
      <c r="D11" s="9" t="s">
        <v>565</v>
      </c>
      <c r="E11" s="21">
        <v>169804</v>
      </c>
      <c r="F11" s="23" t="s">
        <v>588</v>
      </c>
      <c r="G11" s="17" t="s">
        <v>587</v>
      </c>
    </row>
    <row r="12" spans="1:8" ht="21.75" customHeight="1" x14ac:dyDescent="0.3">
      <c r="A12" s="9" t="s">
        <v>336</v>
      </c>
      <c r="B12" s="10" t="s">
        <v>589</v>
      </c>
      <c r="C12" s="10"/>
      <c r="D12" s="9" t="s">
        <v>565</v>
      </c>
      <c r="E12" s="21">
        <v>278326</v>
      </c>
      <c r="F12" s="23" t="s">
        <v>591</v>
      </c>
      <c r="G12" s="17" t="s">
        <v>590</v>
      </c>
    </row>
    <row r="13" spans="1:8" ht="21.75" customHeight="1" x14ac:dyDescent="0.3">
      <c r="A13" s="9" t="s">
        <v>340</v>
      </c>
      <c r="B13" s="10" t="s">
        <v>592</v>
      </c>
      <c r="C13" s="10"/>
      <c r="D13" s="9" t="s">
        <v>565</v>
      </c>
      <c r="E13" s="21">
        <v>267989</v>
      </c>
      <c r="F13" s="23" t="s">
        <v>594</v>
      </c>
      <c r="G13" s="17" t="s">
        <v>593</v>
      </c>
    </row>
    <row r="14" spans="1:8" ht="21.75" customHeight="1" x14ac:dyDescent="0.3">
      <c r="A14" s="9" t="s">
        <v>344</v>
      </c>
      <c r="B14" s="10" t="s">
        <v>595</v>
      </c>
      <c r="C14" s="10"/>
      <c r="D14" s="9" t="s">
        <v>565</v>
      </c>
      <c r="E14" s="21">
        <v>273971</v>
      </c>
      <c r="F14" s="23" t="s">
        <v>597</v>
      </c>
      <c r="G14" s="17" t="s">
        <v>596</v>
      </c>
    </row>
    <row r="15" spans="1:8" ht="21.75" customHeight="1" x14ac:dyDescent="0.3">
      <c r="A15" s="9" t="s">
        <v>348</v>
      </c>
      <c r="B15" s="10" t="s">
        <v>598</v>
      </c>
      <c r="C15" s="10"/>
      <c r="D15" s="9" t="s">
        <v>565</v>
      </c>
      <c r="E15" s="21">
        <v>237500</v>
      </c>
      <c r="F15" s="23" t="s">
        <v>600</v>
      </c>
      <c r="G15" s="17" t="s">
        <v>599</v>
      </c>
    </row>
    <row r="16" spans="1:8" ht="21.75" customHeight="1" x14ac:dyDescent="0.3">
      <c r="A16" s="9" t="s">
        <v>353</v>
      </c>
      <c r="B16" s="10" t="s">
        <v>601</v>
      </c>
      <c r="C16" s="10"/>
      <c r="D16" s="9" t="s">
        <v>565</v>
      </c>
      <c r="E16" s="21">
        <v>170920</v>
      </c>
      <c r="F16" s="23" t="s">
        <v>603</v>
      </c>
      <c r="G16" s="17" t="s">
        <v>602</v>
      </c>
    </row>
    <row r="17" spans="1:7" ht="21.75" customHeight="1" x14ac:dyDescent="0.3">
      <c r="A17" s="9" t="s">
        <v>357</v>
      </c>
      <c r="B17" s="10" t="s">
        <v>604</v>
      </c>
      <c r="C17" s="10"/>
      <c r="D17" s="9" t="s">
        <v>565</v>
      </c>
      <c r="E17" s="21">
        <v>250572</v>
      </c>
      <c r="F17" s="23" t="s">
        <v>606</v>
      </c>
      <c r="G17" s="17" t="s">
        <v>605</v>
      </c>
    </row>
  </sheetData>
  <mergeCells count="1">
    <mergeCell ref="A1:F1"/>
  </mergeCells>
  <phoneticPr fontId="23" type="noConversion"/>
  <hyperlinks>
    <hyperlink ref="H1" r:id="rId1" tooltip="설계예산시스템(STmate w25.07)으로 작성 하였으며,_x000a_엑셀 인쇄품질 600 dpi에 최적화 되어 있습니다._x000a_경영정보(주) http://www.stma.co.kr_x000a_Tel) 070-4350-0040_x000a_Fax) 0505-300-3948"/>
    <hyperlink ref="G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5" width="13.75" style="6" customWidth="1"/>
    <col min="6" max="6" width="10" style="6" customWidth="1"/>
    <col min="7" max="7" width="9.125" style="16" hidden="1" customWidth="1"/>
    <col min="8" max="8" width="9.125" style="18" customWidth="1"/>
    <col min="9" max="16384" width="9.125" style="6"/>
  </cols>
  <sheetData>
    <row r="1" spans="1:8" ht="24.95" customHeight="1" x14ac:dyDescent="0.3">
      <c r="A1" s="133" t="s">
        <v>607</v>
      </c>
      <c r="B1" s="132"/>
      <c r="C1" s="132"/>
      <c r="D1" s="132"/>
      <c r="E1" s="132"/>
      <c r="F1" s="132"/>
      <c r="G1" s="5" t="s">
        <v>133</v>
      </c>
      <c r="H1" s="19" t="s">
        <v>133</v>
      </c>
    </row>
    <row r="2" spans="1:8" ht="21.75" customHeight="1" x14ac:dyDescent="0.3">
      <c r="A2" s="1" t="s">
        <v>1</v>
      </c>
      <c r="G2" s="20" t="str">
        <f ca="1">MID(CELL("filename",$A$1),FIND("]",CELL("filename",$A$1))+1,LEN(CELL("filename",$A$1)))</f>
        <v>경비목록표</v>
      </c>
    </row>
    <row r="3" spans="1:8" ht="21.7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406</v>
      </c>
      <c r="F3" s="14" t="s">
        <v>10</v>
      </c>
      <c r="H3" s="3" t="str">
        <f>HYPERLINK("#'〓 목 차 〓'!B2","목차 →")</f>
        <v>목차 →</v>
      </c>
    </row>
    <row r="4" spans="1:8" ht="21.75" customHeight="1" x14ac:dyDescent="0.3">
      <c r="A4" s="9" t="s">
        <v>299</v>
      </c>
      <c r="B4" s="10" t="s">
        <v>310</v>
      </c>
      <c r="C4" s="10" t="s">
        <v>311</v>
      </c>
      <c r="D4" s="9" t="s">
        <v>608</v>
      </c>
      <c r="E4" s="21">
        <v>189332</v>
      </c>
      <c r="F4" s="23" t="s">
        <v>610</v>
      </c>
      <c r="G4" s="17" t="s">
        <v>609</v>
      </c>
    </row>
    <row r="5" spans="1:8" ht="21.75" customHeight="1" x14ac:dyDescent="0.3">
      <c r="A5" s="9" t="s">
        <v>305</v>
      </c>
      <c r="B5" s="10" t="s">
        <v>332</v>
      </c>
      <c r="C5" s="10" t="s">
        <v>341</v>
      </c>
      <c r="D5" s="9" t="s">
        <v>608</v>
      </c>
      <c r="E5" s="21">
        <v>51844</v>
      </c>
      <c r="F5" s="23" t="s">
        <v>612</v>
      </c>
      <c r="G5" s="17" t="s">
        <v>611</v>
      </c>
    </row>
    <row r="6" spans="1:8" ht="21.75" customHeight="1" x14ac:dyDescent="0.3">
      <c r="A6" s="9" t="s">
        <v>309</v>
      </c>
      <c r="B6" s="10" t="s">
        <v>332</v>
      </c>
      <c r="C6" s="10" t="s">
        <v>345</v>
      </c>
      <c r="D6" s="9" t="s">
        <v>608</v>
      </c>
      <c r="E6" s="21">
        <v>88973</v>
      </c>
      <c r="F6" s="23" t="s">
        <v>614</v>
      </c>
      <c r="G6" s="17" t="s">
        <v>613</v>
      </c>
    </row>
    <row r="7" spans="1:8" ht="21.75" customHeight="1" x14ac:dyDescent="0.3">
      <c r="A7" s="9" t="s">
        <v>314</v>
      </c>
      <c r="B7" s="10" t="s">
        <v>324</v>
      </c>
      <c r="C7" s="10" t="s">
        <v>320</v>
      </c>
      <c r="D7" s="9" t="s">
        <v>608</v>
      </c>
      <c r="E7" s="21">
        <v>16817</v>
      </c>
      <c r="F7" s="23" t="s">
        <v>616</v>
      </c>
      <c r="G7" s="17" t="s">
        <v>615</v>
      </c>
    </row>
    <row r="8" spans="1:8" ht="21.75" customHeight="1" x14ac:dyDescent="0.3">
      <c r="A8" s="9" t="s">
        <v>319</v>
      </c>
      <c r="B8" s="10" t="s">
        <v>379</v>
      </c>
      <c r="C8" s="10" t="s">
        <v>380</v>
      </c>
      <c r="D8" s="9" t="s">
        <v>608</v>
      </c>
      <c r="E8" s="21">
        <v>5638</v>
      </c>
      <c r="F8" s="23" t="s">
        <v>618</v>
      </c>
      <c r="G8" s="17" t="s">
        <v>617</v>
      </c>
    </row>
    <row r="9" spans="1:8" ht="21.75" customHeight="1" x14ac:dyDescent="0.3">
      <c r="A9" s="9" t="s">
        <v>323</v>
      </c>
      <c r="B9" s="10" t="s">
        <v>619</v>
      </c>
      <c r="C9" s="10"/>
      <c r="D9" s="9" t="s">
        <v>608</v>
      </c>
      <c r="E9" s="21">
        <v>200</v>
      </c>
      <c r="F9" s="23" t="s">
        <v>621</v>
      </c>
      <c r="G9" s="17" t="s">
        <v>620</v>
      </c>
    </row>
    <row r="10" spans="1:8" ht="21.75" customHeight="1" x14ac:dyDescent="0.3">
      <c r="A10" s="9" t="s">
        <v>327</v>
      </c>
      <c r="B10" s="10" t="s">
        <v>332</v>
      </c>
      <c r="C10" s="10" t="s">
        <v>337</v>
      </c>
      <c r="D10" s="9" t="s">
        <v>608</v>
      </c>
      <c r="E10" s="21">
        <v>25185</v>
      </c>
      <c r="F10" s="23" t="s">
        <v>623</v>
      </c>
      <c r="G10" s="17" t="s">
        <v>622</v>
      </c>
    </row>
    <row r="11" spans="1:8" ht="21.75" customHeight="1" x14ac:dyDescent="0.3">
      <c r="A11" s="9" t="s">
        <v>331</v>
      </c>
      <c r="B11" s="10" t="s">
        <v>300</v>
      </c>
      <c r="C11" s="10" t="s">
        <v>301</v>
      </c>
      <c r="D11" s="9" t="s">
        <v>608</v>
      </c>
      <c r="E11" s="21">
        <v>39750</v>
      </c>
      <c r="F11" s="23" t="s">
        <v>625</v>
      </c>
      <c r="G11" s="17" t="s">
        <v>624</v>
      </c>
    </row>
    <row r="12" spans="1:8" ht="21.75" customHeight="1" x14ac:dyDescent="0.3">
      <c r="A12" s="9" t="s">
        <v>336</v>
      </c>
      <c r="B12" s="10" t="s">
        <v>315</v>
      </c>
      <c r="C12" s="10" t="s">
        <v>626</v>
      </c>
      <c r="D12" s="9" t="s">
        <v>608</v>
      </c>
      <c r="E12" s="21">
        <v>64267</v>
      </c>
      <c r="F12" s="23" t="s">
        <v>628</v>
      </c>
      <c r="G12" s="17" t="s">
        <v>627</v>
      </c>
    </row>
    <row r="13" spans="1:8" ht="21.75" customHeight="1" x14ac:dyDescent="0.3">
      <c r="A13" s="9" t="s">
        <v>340</v>
      </c>
      <c r="B13" s="10" t="s">
        <v>315</v>
      </c>
      <c r="C13" s="10" t="s">
        <v>316</v>
      </c>
      <c r="D13" s="9" t="s">
        <v>608</v>
      </c>
      <c r="E13" s="21">
        <v>82625</v>
      </c>
      <c r="F13" s="23" t="s">
        <v>630</v>
      </c>
      <c r="G13" s="17" t="s">
        <v>629</v>
      </c>
    </row>
    <row r="14" spans="1:8" ht="21.75" customHeight="1" x14ac:dyDescent="0.3">
      <c r="A14" s="9" t="s">
        <v>344</v>
      </c>
      <c r="B14" s="10" t="s">
        <v>315</v>
      </c>
      <c r="C14" s="10" t="s">
        <v>320</v>
      </c>
      <c r="D14" s="9" t="s">
        <v>608</v>
      </c>
      <c r="E14" s="21">
        <v>115116</v>
      </c>
      <c r="F14" s="23" t="s">
        <v>632</v>
      </c>
      <c r="G14" s="17" t="s">
        <v>631</v>
      </c>
    </row>
    <row r="15" spans="1:8" ht="21.75" customHeight="1" x14ac:dyDescent="0.3">
      <c r="A15" s="9" t="s">
        <v>348</v>
      </c>
      <c r="B15" s="10" t="s">
        <v>633</v>
      </c>
      <c r="C15" s="10" t="s">
        <v>320</v>
      </c>
      <c r="D15" s="9" t="s">
        <v>608</v>
      </c>
      <c r="E15" s="21">
        <v>223</v>
      </c>
      <c r="F15" s="23" t="s">
        <v>635</v>
      </c>
      <c r="G15" s="17" t="s">
        <v>634</v>
      </c>
    </row>
    <row r="16" spans="1:8" ht="21.75" customHeight="1" x14ac:dyDescent="0.3">
      <c r="A16" s="9" t="s">
        <v>353</v>
      </c>
      <c r="B16" s="10" t="s">
        <v>328</v>
      </c>
      <c r="C16" s="10" t="s">
        <v>320</v>
      </c>
      <c r="D16" s="9" t="s">
        <v>608</v>
      </c>
      <c r="E16" s="21">
        <v>11386</v>
      </c>
      <c r="F16" s="23" t="s">
        <v>637</v>
      </c>
      <c r="G16" s="17" t="s">
        <v>636</v>
      </c>
    </row>
    <row r="17" spans="1:7" ht="21.75" customHeight="1" x14ac:dyDescent="0.3">
      <c r="A17" s="9" t="s">
        <v>357</v>
      </c>
      <c r="B17" s="10" t="s">
        <v>332</v>
      </c>
      <c r="C17" s="10" t="s">
        <v>333</v>
      </c>
      <c r="D17" s="9" t="s">
        <v>608</v>
      </c>
      <c r="E17" s="21">
        <v>21572</v>
      </c>
      <c r="F17" s="23" t="s">
        <v>639</v>
      </c>
      <c r="G17" s="17" t="s">
        <v>638</v>
      </c>
    </row>
    <row r="18" spans="1:7" ht="21.75" customHeight="1" x14ac:dyDescent="0.3">
      <c r="A18" s="9" t="s">
        <v>361</v>
      </c>
      <c r="B18" s="10" t="s">
        <v>300</v>
      </c>
      <c r="C18" s="10" t="s">
        <v>389</v>
      </c>
      <c r="D18" s="9" t="s">
        <v>608</v>
      </c>
      <c r="E18" s="21">
        <v>86757</v>
      </c>
      <c r="F18" s="23" t="s">
        <v>641</v>
      </c>
      <c r="G18" s="17" t="s">
        <v>640</v>
      </c>
    </row>
    <row r="19" spans="1:7" ht="21.75" customHeight="1" x14ac:dyDescent="0.3">
      <c r="A19" s="9" t="s">
        <v>365</v>
      </c>
      <c r="B19" s="10" t="s">
        <v>642</v>
      </c>
      <c r="C19" s="10" t="s">
        <v>350</v>
      </c>
      <c r="D19" s="9" t="s">
        <v>643</v>
      </c>
      <c r="E19" s="21">
        <v>49594</v>
      </c>
      <c r="F19" s="23" t="s">
        <v>645</v>
      </c>
      <c r="G19" s="17" t="s">
        <v>644</v>
      </c>
    </row>
    <row r="20" spans="1:7" ht="21.75" customHeight="1" x14ac:dyDescent="0.3">
      <c r="A20" s="9" t="s">
        <v>369</v>
      </c>
      <c r="B20" s="10" t="s">
        <v>384</v>
      </c>
      <c r="C20" s="10" t="s">
        <v>385</v>
      </c>
      <c r="D20" s="9" t="s">
        <v>608</v>
      </c>
      <c r="E20" s="21">
        <v>3118</v>
      </c>
      <c r="F20" s="23" t="s">
        <v>647</v>
      </c>
      <c r="G20" s="17" t="s">
        <v>646</v>
      </c>
    </row>
    <row r="21" spans="1:7" ht="21.75" customHeight="1" x14ac:dyDescent="0.3">
      <c r="A21" s="9" t="s">
        <v>374</v>
      </c>
      <c r="B21" s="10" t="s">
        <v>332</v>
      </c>
      <c r="C21" s="10" t="s">
        <v>375</v>
      </c>
      <c r="D21" s="9" t="s">
        <v>608</v>
      </c>
      <c r="E21" s="21">
        <v>145014</v>
      </c>
      <c r="F21" s="23" t="s">
        <v>649</v>
      </c>
      <c r="G21" s="17" t="s">
        <v>648</v>
      </c>
    </row>
    <row r="22" spans="1:7" ht="21.75" customHeight="1" x14ac:dyDescent="0.3">
      <c r="A22" s="9" t="s">
        <v>378</v>
      </c>
      <c r="B22" s="10" t="s">
        <v>650</v>
      </c>
      <c r="C22" s="10"/>
      <c r="D22" s="9" t="s">
        <v>441</v>
      </c>
      <c r="E22" s="22">
        <v>0</v>
      </c>
      <c r="F22" s="23" t="s">
        <v>652</v>
      </c>
      <c r="G22" s="17" t="s">
        <v>651</v>
      </c>
    </row>
    <row r="23" spans="1:7" ht="21.75" customHeight="1" x14ac:dyDescent="0.3">
      <c r="A23" s="9" t="s">
        <v>383</v>
      </c>
      <c r="B23" s="10" t="s">
        <v>370</v>
      </c>
      <c r="C23" s="10" t="s">
        <v>371</v>
      </c>
      <c r="D23" s="9" t="s">
        <v>608</v>
      </c>
      <c r="E23" s="21">
        <v>116118</v>
      </c>
      <c r="F23" s="23" t="s">
        <v>654</v>
      </c>
      <c r="G23" s="17" t="s">
        <v>653</v>
      </c>
    </row>
    <row r="24" spans="1:7" ht="21.75" customHeight="1" x14ac:dyDescent="0.3">
      <c r="A24" s="9" t="s">
        <v>388</v>
      </c>
      <c r="B24" s="10" t="s">
        <v>655</v>
      </c>
      <c r="C24" s="10" t="s">
        <v>656</v>
      </c>
      <c r="D24" s="9" t="s">
        <v>441</v>
      </c>
      <c r="E24" s="22">
        <v>0</v>
      </c>
      <c r="F24" s="23" t="s">
        <v>658</v>
      </c>
      <c r="G24" s="17" t="s">
        <v>657</v>
      </c>
    </row>
    <row r="25" spans="1:7" ht="21.75" customHeight="1" x14ac:dyDescent="0.3">
      <c r="A25" s="9" t="s">
        <v>392</v>
      </c>
      <c r="B25" s="10" t="s">
        <v>659</v>
      </c>
      <c r="C25" s="10" t="s">
        <v>660</v>
      </c>
      <c r="D25" s="9" t="s">
        <v>608</v>
      </c>
      <c r="E25" s="21">
        <v>7610</v>
      </c>
      <c r="F25" s="23" t="s">
        <v>662</v>
      </c>
      <c r="G25" s="17" t="s">
        <v>661</v>
      </c>
    </row>
    <row r="26" spans="1:7" ht="21.75" customHeight="1" x14ac:dyDescent="0.3">
      <c r="A26" s="9" t="s">
        <v>396</v>
      </c>
      <c r="B26" s="10" t="s">
        <v>401</v>
      </c>
      <c r="C26" s="10" t="s">
        <v>402</v>
      </c>
      <c r="D26" s="9" t="s">
        <v>608</v>
      </c>
      <c r="E26" s="21">
        <v>902</v>
      </c>
      <c r="F26" s="23" t="s">
        <v>664</v>
      </c>
      <c r="G26" s="17" t="s">
        <v>663</v>
      </c>
    </row>
  </sheetData>
  <mergeCells count="1">
    <mergeCell ref="A1:F1"/>
  </mergeCells>
  <phoneticPr fontId="23" type="noConversion"/>
  <hyperlinks>
    <hyperlink ref="H1" r:id="rId1" tooltip="설계예산시스템(STmate w25.07)으로 작성 하였으며,_x000a_엑셀 인쇄품질 600 dpi에 최적화 되어 있습니다._x000a_경영정보(주) http://www.stma.co.kr_x000a_Tel) 070-4350-0040_x000a_Fax) 0505-300-3948"/>
    <hyperlink ref="G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8" width="11.5" style="6" customWidth="1"/>
    <col min="9" max="9" width="10" style="6" customWidth="1"/>
    <col min="10" max="10" width="9.125" style="16" hidden="1" customWidth="1"/>
    <col min="11" max="11" width="9.125" style="18" customWidth="1"/>
    <col min="12" max="16384" width="9.125" style="6"/>
  </cols>
  <sheetData>
    <row r="1" spans="1:11" ht="24.95" customHeight="1" x14ac:dyDescent="0.3">
      <c r="A1" s="133" t="s">
        <v>665</v>
      </c>
      <c r="B1" s="132"/>
      <c r="C1" s="132"/>
      <c r="D1" s="132"/>
      <c r="E1" s="132"/>
      <c r="F1" s="132"/>
      <c r="G1" s="132"/>
      <c r="H1" s="132"/>
      <c r="I1" s="132"/>
      <c r="J1" s="5" t="s">
        <v>133</v>
      </c>
      <c r="K1" s="19" t="s">
        <v>133</v>
      </c>
    </row>
    <row r="2" spans="1:11" ht="22.35" customHeight="1" x14ac:dyDescent="0.3">
      <c r="A2" s="1" t="s">
        <v>1</v>
      </c>
      <c r="J2" s="20" t="str">
        <f ca="1">MID(CELL("filename",$A$1),FIND("]",CELL("filename",$A$1))+1,LEN(CELL("filename",$A$1)))</f>
        <v>일식견적목록표</v>
      </c>
    </row>
    <row r="3" spans="1:11" ht="22.3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K3" s="3" t="str">
        <f>HYPERLINK("#'〓 목 차 〓'!B2","목차 →")</f>
        <v>목차 →</v>
      </c>
    </row>
    <row r="4" spans="1:11" ht="22.35" customHeight="1" x14ac:dyDescent="0.3">
      <c r="A4" s="9" t="s">
        <v>299</v>
      </c>
      <c r="B4" s="10" t="s">
        <v>666</v>
      </c>
      <c r="C4" s="10" t="s">
        <v>667</v>
      </c>
      <c r="D4" s="9" t="s">
        <v>467</v>
      </c>
      <c r="E4" s="11">
        <f>G4+F4+H4</f>
        <v>28516</v>
      </c>
      <c r="F4" s="12">
        <v>0</v>
      </c>
      <c r="G4" s="13">
        <v>0</v>
      </c>
      <c r="H4" s="11">
        <v>28516</v>
      </c>
      <c r="I4" s="15" t="s">
        <v>668</v>
      </c>
      <c r="J4" s="17" t="s">
        <v>669</v>
      </c>
    </row>
    <row r="5" spans="1:11" ht="22.35" customHeight="1" x14ac:dyDescent="0.3">
      <c r="A5" s="9" t="s">
        <v>305</v>
      </c>
      <c r="B5" s="10" t="s">
        <v>670</v>
      </c>
      <c r="C5" s="10" t="s">
        <v>671</v>
      </c>
      <c r="D5" s="9" t="s">
        <v>467</v>
      </c>
      <c r="E5" s="11">
        <f>G5+F5+H5</f>
        <v>19510</v>
      </c>
      <c r="F5" s="12">
        <v>0</v>
      </c>
      <c r="G5" s="13">
        <v>0</v>
      </c>
      <c r="H5" s="11">
        <v>19510</v>
      </c>
      <c r="I5" s="15" t="s">
        <v>672</v>
      </c>
      <c r="J5" s="17" t="s">
        <v>673</v>
      </c>
    </row>
    <row r="6" spans="1:11" ht="22.35" customHeight="1" x14ac:dyDescent="0.3">
      <c r="A6" s="9" t="s">
        <v>309</v>
      </c>
      <c r="B6" s="10" t="s">
        <v>490</v>
      </c>
      <c r="C6" s="10" t="s">
        <v>674</v>
      </c>
      <c r="D6" s="9" t="s">
        <v>14</v>
      </c>
      <c r="E6" s="11">
        <f>G6+F6+H6</f>
        <v>0</v>
      </c>
      <c r="F6" s="12">
        <v>0</v>
      </c>
      <c r="G6" s="13">
        <v>0</v>
      </c>
      <c r="H6" s="11">
        <v>0</v>
      </c>
      <c r="I6" s="15" t="s">
        <v>675</v>
      </c>
      <c r="J6" s="17" t="s">
        <v>676</v>
      </c>
    </row>
    <row r="7" spans="1:11" ht="22.35" customHeight="1" x14ac:dyDescent="0.3">
      <c r="A7" s="9" t="s">
        <v>314</v>
      </c>
      <c r="B7" s="10" t="s">
        <v>490</v>
      </c>
      <c r="C7" s="10" t="s">
        <v>674</v>
      </c>
      <c r="D7" s="9" t="s">
        <v>677</v>
      </c>
      <c r="E7" s="11">
        <f>G7+F7+H7</f>
        <v>0</v>
      </c>
      <c r="F7" s="12">
        <v>0</v>
      </c>
      <c r="G7" s="13">
        <v>0</v>
      </c>
      <c r="H7" s="11">
        <v>0</v>
      </c>
      <c r="I7" s="15" t="s">
        <v>678</v>
      </c>
      <c r="J7" s="17" t="s">
        <v>679</v>
      </c>
    </row>
    <row r="8" spans="1:11" ht="22.35" customHeight="1" x14ac:dyDescent="0.3">
      <c r="A8" s="9" t="s">
        <v>319</v>
      </c>
      <c r="B8" s="10" t="s">
        <v>680</v>
      </c>
      <c r="C8" s="10"/>
      <c r="D8" s="9" t="s">
        <v>26</v>
      </c>
      <c r="E8" s="11">
        <f>G8+F8+H8</f>
        <v>0</v>
      </c>
      <c r="F8" s="12">
        <v>0</v>
      </c>
      <c r="G8" s="13">
        <v>0</v>
      </c>
      <c r="H8" s="11">
        <v>0</v>
      </c>
      <c r="I8" s="15" t="s">
        <v>681</v>
      </c>
      <c r="J8" s="17" t="s">
        <v>682</v>
      </c>
    </row>
  </sheetData>
  <mergeCells count="1">
    <mergeCell ref="A1:I1"/>
  </mergeCells>
  <phoneticPr fontId="23" type="noConversion"/>
  <hyperlinks>
    <hyperlink ref="K1" r:id="rId1" tooltip="설계예산시스템(STmate w25.07)으로 작성 하였으며,_x000a_엑셀 인쇄품질 600 dpi에 최적화 되어 있습니다._x000a_경영정보(주) http://www.stma.co.kr_x000a_Tel) 070-4350-0040_x000a_Fax) 0505-300-3948"/>
    <hyperlink ref="J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1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17" width="10" style="6" customWidth="1"/>
    <col min="18" max="18" width="9.125" style="16" hidden="1" customWidth="1"/>
    <col min="19" max="19" width="9.125" style="18" customWidth="1"/>
    <col min="20" max="20" width="10" style="6" customWidth="1"/>
    <col min="21" max="21" width="2.5" style="6" customWidth="1"/>
    <col min="22" max="22" width="10" style="6" customWidth="1"/>
    <col min="23" max="23" width="8.5" style="6" customWidth="1"/>
    <col min="24" max="16384" width="9.125" style="6"/>
  </cols>
  <sheetData>
    <row r="1" spans="1:25" ht="24.95" customHeight="1" x14ac:dyDescent="0.3">
      <c r="A1" s="133" t="s">
        <v>695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5" t="s">
        <v>133</v>
      </c>
      <c r="S1" s="19" t="s">
        <v>133</v>
      </c>
    </row>
    <row r="2" spans="1:25" ht="34.700000000000003" customHeight="1" x14ac:dyDescent="0.3">
      <c r="A2" s="1" t="s">
        <v>1</v>
      </c>
      <c r="R2" s="20" t="str">
        <f ca="1">MID(CELL("filename",$A$1),FIND("]",CELL("filename",$A$1))+1,LEN(CELL("filename",$A$1)))</f>
        <v>자재단가대비표</v>
      </c>
    </row>
    <row r="3" spans="1:25" ht="34.700000000000003" customHeight="1" x14ac:dyDescent="0.3">
      <c r="A3" s="149" t="s">
        <v>2</v>
      </c>
      <c r="B3" s="149" t="s">
        <v>3</v>
      </c>
      <c r="C3" s="149" t="s">
        <v>4</v>
      </c>
      <c r="D3" s="149" t="s">
        <v>5</v>
      </c>
      <c r="E3" s="136" t="s">
        <v>696</v>
      </c>
      <c r="F3" s="142"/>
      <c r="G3" s="136" t="s">
        <v>698</v>
      </c>
      <c r="H3" s="142"/>
      <c r="I3" s="136" t="s">
        <v>699</v>
      </c>
      <c r="J3" s="142"/>
      <c r="K3" s="136" t="s">
        <v>700</v>
      </c>
      <c r="L3" s="142"/>
      <c r="M3" s="136" t="s">
        <v>701</v>
      </c>
      <c r="N3" s="142"/>
      <c r="O3" s="136" t="s">
        <v>702</v>
      </c>
      <c r="P3" s="142"/>
      <c r="Q3" s="136" t="s">
        <v>10</v>
      </c>
      <c r="U3" s="157" t="s">
        <v>704</v>
      </c>
      <c r="V3" s="132"/>
      <c r="W3" s="132"/>
    </row>
    <row r="4" spans="1:25" ht="34.700000000000003" customHeight="1" x14ac:dyDescent="0.3">
      <c r="A4" s="142"/>
      <c r="B4" s="142"/>
      <c r="C4" s="142"/>
      <c r="D4" s="142"/>
      <c r="E4" s="9" t="s">
        <v>406</v>
      </c>
      <c r="F4" s="9" t="s">
        <v>697</v>
      </c>
      <c r="G4" s="9" t="s">
        <v>406</v>
      </c>
      <c r="H4" s="9" t="s">
        <v>697</v>
      </c>
      <c r="I4" s="9" t="s">
        <v>406</v>
      </c>
      <c r="J4" s="9" t="s">
        <v>697</v>
      </c>
      <c r="K4" s="9" t="s">
        <v>406</v>
      </c>
      <c r="L4" s="9" t="s">
        <v>697</v>
      </c>
      <c r="M4" s="9" t="s">
        <v>406</v>
      </c>
      <c r="N4" s="9" t="s">
        <v>697</v>
      </c>
      <c r="O4" s="9" t="s">
        <v>406</v>
      </c>
      <c r="P4" s="9" t="s">
        <v>697</v>
      </c>
      <c r="Q4" s="137"/>
      <c r="S4" s="3" t="str">
        <f>HYPERLINK("#'〓 목 차 〓'!B2","목차 →")</f>
        <v>목차 →</v>
      </c>
      <c r="T4" s="35" t="s">
        <v>703</v>
      </c>
      <c r="U4" s="35" t="s">
        <v>705</v>
      </c>
      <c r="V4" s="35" t="s">
        <v>406</v>
      </c>
      <c r="W4" s="35" t="s">
        <v>697</v>
      </c>
      <c r="X4" s="35" t="s">
        <v>706</v>
      </c>
      <c r="Y4" s="35" t="s">
        <v>707</v>
      </c>
    </row>
    <row r="5" spans="1:25" ht="34.700000000000003" customHeight="1" x14ac:dyDescent="0.3">
      <c r="A5" s="9" t="s">
        <v>299</v>
      </c>
      <c r="B5" s="10" t="s">
        <v>407</v>
      </c>
      <c r="C5" s="10" t="s">
        <v>408</v>
      </c>
      <c r="D5" s="9" t="s">
        <v>409</v>
      </c>
      <c r="E5" s="22">
        <v>0</v>
      </c>
      <c r="F5" s="9"/>
      <c r="G5" s="22">
        <v>0</v>
      </c>
      <c r="H5" s="9"/>
      <c r="I5" s="22">
        <v>767</v>
      </c>
      <c r="J5" s="9" t="s">
        <v>713</v>
      </c>
      <c r="K5" s="22">
        <v>0</v>
      </c>
      <c r="L5" s="9"/>
      <c r="M5" s="22">
        <v>0</v>
      </c>
      <c r="N5" s="9"/>
      <c r="O5" s="22">
        <v>767</v>
      </c>
      <c r="P5" s="23" t="s">
        <v>710</v>
      </c>
      <c r="Q5" s="15" t="s">
        <v>411</v>
      </c>
      <c r="R5" s="17" t="s">
        <v>410</v>
      </c>
      <c r="S5" s="3" t="str">
        <f ca="1">HYPERLINK("#"&amp;재료비목록표!G2&amp;"!A"&amp;ROW(재료비목록표!A4),"M00011 →")</f>
        <v>M00011 →</v>
      </c>
      <c r="T5" s="36">
        <v>767</v>
      </c>
      <c r="U5" s="38" t="str">
        <f t="shared" ref="U5:U41" si="0">IF(OR(V5=0,ISERROR(MATCH(V5,E5:M5,0))),"",CHOOSE(TRUNC((MATCH(V5,E5:M5,0)/2+1)),1,2,3,4,5))</f>
        <v/>
      </c>
      <c r="V5" s="39">
        <f t="shared" ref="V5:V41" si="1">IF(AND(E5=0,G5=0,I5=0,K5=0,M5=0),T5,MIN(IF(E5=0,MAX(E5:M5),E5),IF(G5=0,MAX(E5:M5),G5),IF(I5=0,MAX(E5:M5),I5),IF(K5=0,MAX(E5:M5),K5),IF(M5=0,MAX(E5:M5),M5)))</f>
        <v>0</v>
      </c>
      <c r="W5" s="40" t="str">
        <f t="shared" ref="W5:W41" si="2">IF(OR(O5=0,U5=""),"",CHOOSE(U5,Y$5,Y$6,Y$7,Y$8,Y$9))</f>
        <v/>
      </c>
      <c r="X5" s="35" t="s">
        <v>696</v>
      </c>
      <c r="Y5" s="35" t="s">
        <v>708</v>
      </c>
    </row>
    <row r="6" spans="1:25" ht="34.700000000000003" customHeight="1" x14ac:dyDescent="0.3">
      <c r="A6" s="9" t="s">
        <v>305</v>
      </c>
      <c r="B6" s="10" t="s">
        <v>412</v>
      </c>
      <c r="C6" s="10" t="s">
        <v>413</v>
      </c>
      <c r="D6" s="9" t="s">
        <v>414</v>
      </c>
      <c r="E6" s="22">
        <v>0</v>
      </c>
      <c r="F6" s="9"/>
      <c r="G6" s="22">
        <v>0</v>
      </c>
      <c r="H6" s="9"/>
      <c r="I6" s="22">
        <v>0</v>
      </c>
      <c r="J6" s="9"/>
      <c r="K6" s="22">
        <v>0</v>
      </c>
      <c r="L6" s="9"/>
      <c r="M6" s="22">
        <v>142</v>
      </c>
      <c r="N6" s="9" t="s">
        <v>714</v>
      </c>
      <c r="O6" s="22">
        <v>142</v>
      </c>
      <c r="P6" s="23" t="s">
        <v>712</v>
      </c>
      <c r="Q6" s="15" t="s">
        <v>416</v>
      </c>
      <c r="R6" s="17" t="s">
        <v>415</v>
      </c>
      <c r="S6" s="3" t="str">
        <f ca="1">HYPERLINK("#"&amp;재료비목록표!G2&amp;"!A"&amp;ROW(재료비목록표!A5),"M00026 →")</f>
        <v>M00026 →</v>
      </c>
      <c r="T6" s="36">
        <v>142</v>
      </c>
      <c r="U6" s="38" t="str">
        <f t="shared" si="0"/>
        <v/>
      </c>
      <c r="V6" s="39">
        <f t="shared" si="1"/>
        <v>0</v>
      </c>
      <c r="W6" s="40" t="str">
        <f t="shared" si="2"/>
        <v/>
      </c>
      <c r="X6" s="35" t="s">
        <v>698</v>
      </c>
      <c r="Y6" s="35" t="s">
        <v>709</v>
      </c>
    </row>
    <row r="7" spans="1:25" ht="34.700000000000003" customHeight="1" x14ac:dyDescent="0.3">
      <c r="A7" s="9" t="s">
        <v>309</v>
      </c>
      <c r="B7" s="10" t="s">
        <v>417</v>
      </c>
      <c r="C7" s="10" t="s">
        <v>418</v>
      </c>
      <c r="D7" s="9" t="s">
        <v>419</v>
      </c>
      <c r="E7" s="22">
        <v>0</v>
      </c>
      <c r="F7" s="9"/>
      <c r="G7" s="22">
        <v>3000</v>
      </c>
      <c r="H7" s="9" t="s">
        <v>715</v>
      </c>
      <c r="I7" s="22">
        <v>3000</v>
      </c>
      <c r="J7" s="9" t="s">
        <v>716</v>
      </c>
      <c r="K7" s="22">
        <v>0</v>
      </c>
      <c r="L7" s="9"/>
      <c r="M7" s="22">
        <v>0</v>
      </c>
      <c r="N7" s="9"/>
      <c r="O7" s="22">
        <v>3000</v>
      </c>
      <c r="P7" s="23" t="s">
        <v>709</v>
      </c>
      <c r="Q7" s="15" t="s">
        <v>421</v>
      </c>
      <c r="R7" s="17" t="s">
        <v>420</v>
      </c>
      <c r="S7" s="3" t="str">
        <f ca="1">HYPERLINK("#"&amp;재료비목록표!G2&amp;"!A"&amp;ROW(재료비목록표!A6),"M00028 →")</f>
        <v>M00028 →</v>
      </c>
      <c r="T7" s="36">
        <v>3000</v>
      </c>
      <c r="U7" s="38" t="str">
        <f t="shared" si="0"/>
        <v/>
      </c>
      <c r="V7" s="39">
        <f t="shared" si="1"/>
        <v>0</v>
      </c>
      <c r="W7" s="40" t="str">
        <f t="shared" si="2"/>
        <v/>
      </c>
      <c r="X7" s="35" t="s">
        <v>699</v>
      </c>
      <c r="Y7" s="35" t="s">
        <v>710</v>
      </c>
    </row>
    <row r="8" spans="1:25" ht="34.700000000000003" customHeight="1" x14ac:dyDescent="0.3">
      <c r="A8" s="9" t="s">
        <v>314</v>
      </c>
      <c r="B8" s="10" t="s">
        <v>422</v>
      </c>
      <c r="C8" s="10" t="s">
        <v>423</v>
      </c>
      <c r="D8" s="9" t="s">
        <v>424</v>
      </c>
      <c r="E8" s="22">
        <v>0</v>
      </c>
      <c r="F8" s="9"/>
      <c r="G8" s="22">
        <v>169800</v>
      </c>
      <c r="H8" s="9" t="s">
        <v>717</v>
      </c>
      <c r="I8" s="22">
        <v>196000</v>
      </c>
      <c r="J8" s="9" t="s">
        <v>718</v>
      </c>
      <c r="K8" s="22">
        <v>0</v>
      </c>
      <c r="L8" s="9"/>
      <c r="M8" s="22">
        <v>0</v>
      </c>
      <c r="N8" s="9"/>
      <c r="O8" s="22">
        <v>169800</v>
      </c>
      <c r="P8" s="23" t="s">
        <v>709</v>
      </c>
      <c r="Q8" s="15" t="s">
        <v>426</v>
      </c>
      <c r="R8" s="17" t="s">
        <v>425</v>
      </c>
      <c r="S8" s="3" t="str">
        <f ca="1">HYPERLINK("#"&amp;재료비목록표!G2&amp;"!A"&amp;ROW(재료비목록표!A7),"M00029 →")</f>
        <v>M00029 →</v>
      </c>
      <c r="T8" s="36">
        <v>169800</v>
      </c>
      <c r="U8" s="38" t="str">
        <f t="shared" si="0"/>
        <v/>
      </c>
      <c r="V8" s="39">
        <f t="shared" si="1"/>
        <v>0</v>
      </c>
      <c r="W8" s="40" t="str">
        <f t="shared" si="2"/>
        <v/>
      </c>
      <c r="X8" s="35" t="s">
        <v>700</v>
      </c>
      <c r="Y8" s="35" t="s">
        <v>711</v>
      </c>
    </row>
    <row r="9" spans="1:25" ht="34.700000000000003" customHeight="1" x14ac:dyDescent="0.3">
      <c r="A9" s="9" t="s">
        <v>319</v>
      </c>
      <c r="B9" s="10" t="s">
        <v>427</v>
      </c>
      <c r="C9" s="10" t="s">
        <v>428</v>
      </c>
      <c r="D9" s="9" t="s">
        <v>429</v>
      </c>
      <c r="E9" s="22">
        <v>0</v>
      </c>
      <c r="F9" s="9"/>
      <c r="G9" s="22">
        <v>2380</v>
      </c>
      <c r="H9" s="9" t="s">
        <v>554</v>
      </c>
      <c r="I9" s="22">
        <v>1710</v>
      </c>
      <c r="J9" s="9" t="s">
        <v>514</v>
      </c>
      <c r="K9" s="22">
        <v>0</v>
      </c>
      <c r="L9" s="9"/>
      <c r="M9" s="22">
        <v>0</v>
      </c>
      <c r="N9" s="9"/>
      <c r="O9" s="22">
        <v>1710</v>
      </c>
      <c r="P9" s="23" t="s">
        <v>710</v>
      </c>
      <c r="Q9" s="15" t="s">
        <v>431</v>
      </c>
      <c r="R9" s="17" t="s">
        <v>430</v>
      </c>
      <c r="S9" s="3" t="str">
        <f ca="1">HYPERLINK("#"&amp;재료비목록표!G2&amp;"!A"&amp;ROW(재료비목록표!A8),"M00034 →")</f>
        <v>M00034 →</v>
      </c>
      <c r="T9" s="36">
        <v>1710</v>
      </c>
      <c r="U9" s="38" t="str">
        <f t="shared" si="0"/>
        <v/>
      </c>
      <c r="V9" s="39">
        <f t="shared" si="1"/>
        <v>0</v>
      </c>
      <c r="W9" s="40" t="str">
        <f t="shared" si="2"/>
        <v/>
      </c>
      <c r="X9" s="35" t="s">
        <v>701</v>
      </c>
      <c r="Y9" s="35" t="s">
        <v>712</v>
      </c>
    </row>
    <row r="10" spans="1:25" ht="34.700000000000003" customHeight="1" x14ac:dyDescent="0.3">
      <c r="A10" s="9" t="s">
        <v>323</v>
      </c>
      <c r="B10" s="10" t="s">
        <v>432</v>
      </c>
      <c r="C10" s="10"/>
      <c r="D10" s="9" t="s">
        <v>429</v>
      </c>
      <c r="E10" s="22">
        <v>0</v>
      </c>
      <c r="F10" s="9"/>
      <c r="G10" s="22">
        <v>1300</v>
      </c>
      <c r="H10" s="9" t="s">
        <v>719</v>
      </c>
      <c r="I10" s="22">
        <v>1300</v>
      </c>
      <c r="J10" s="9" t="s">
        <v>720</v>
      </c>
      <c r="K10" s="22">
        <v>0</v>
      </c>
      <c r="L10" s="9"/>
      <c r="M10" s="22">
        <v>0</v>
      </c>
      <c r="N10" s="9"/>
      <c r="O10" s="22">
        <v>1300</v>
      </c>
      <c r="P10" s="23" t="s">
        <v>709</v>
      </c>
      <c r="Q10" s="15" t="s">
        <v>434</v>
      </c>
      <c r="R10" s="17" t="s">
        <v>433</v>
      </c>
      <c r="S10" s="3" t="str">
        <f ca="1">HYPERLINK("#"&amp;재료비목록표!G2&amp;"!A"&amp;ROW(재료비목록표!A9),"M00056 →")</f>
        <v>M00056 →</v>
      </c>
      <c r="T10" s="36">
        <v>1300</v>
      </c>
      <c r="U10" s="38" t="str">
        <f t="shared" si="0"/>
        <v/>
      </c>
      <c r="V10" s="39">
        <f t="shared" si="1"/>
        <v>0</v>
      </c>
      <c r="W10" s="40" t="str">
        <f t="shared" si="2"/>
        <v/>
      </c>
      <c r="X10" s="35" t="s">
        <v>702</v>
      </c>
      <c r="Y10" s="35"/>
    </row>
    <row r="11" spans="1:25" ht="34.700000000000003" customHeight="1" x14ac:dyDescent="0.3">
      <c r="A11" s="9" t="s">
        <v>327</v>
      </c>
      <c r="B11" s="10" t="s">
        <v>435</v>
      </c>
      <c r="C11" s="10" t="s">
        <v>436</v>
      </c>
      <c r="D11" s="9" t="s">
        <v>429</v>
      </c>
      <c r="E11" s="22">
        <v>0</v>
      </c>
      <c r="F11" s="9"/>
      <c r="G11" s="22">
        <v>0</v>
      </c>
      <c r="H11" s="9"/>
      <c r="I11" s="22">
        <v>1750</v>
      </c>
      <c r="J11" s="9" t="s">
        <v>720</v>
      </c>
      <c r="K11" s="22">
        <v>0</v>
      </c>
      <c r="L11" s="9"/>
      <c r="M11" s="22">
        <v>0</v>
      </c>
      <c r="N11" s="9"/>
      <c r="O11" s="22">
        <v>1750</v>
      </c>
      <c r="P11" s="23" t="s">
        <v>710</v>
      </c>
      <c r="Q11" s="15" t="s">
        <v>438</v>
      </c>
      <c r="R11" s="17" t="s">
        <v>437</v>
      </c>
      <c r="S11" s="3" t="str">
        <f ca="1">HYPERLINK("#"&amp;재료비목록표!G2&amp;"!A"&amp;ROW(재료비목록표!A10),"M00057 →")</f>
        <v>M00057 →</v>
      </c>
      <c r="T11" s="36">
        <v>1750</v>
      </c>
      <c r="U11" s="38" t="str">
        <f t="shared" si="0"/>
        <v/>
      </c>
      <c r="V11" s="39">
        <f t="shared" si="1"/>
        <v>0</v>
      </c>
      <c r="W11" s="40" t="str">
        <f t="shared" si="2"/>
        <v/>
      </c>
    </row>
    <row r="12" spans="1:25" ht="34.700000000000003" customHeight="1" x14ac:dyDescent="0.3">
      <c r="A12" s="9" t="s">
        <v>331</v>
      </c>
      <c r="B12" s="10" t="s">
        <v>439</v>
      </c>
      <c r="C12" s="10" t="s">
        <v>440</v>
      </c>
      <c r="D12" s="9" t="s">
        <v>441</v>
      </c>
      <c r="E12" s="22">
        <v>0</v>
      </c>
      <c r="F12" s="9"/>
      <c r="G12" s="22">
        <v>0</v>
      </c>
      <c r="H12" s="9"/>
      <c r="I12" s="22">
        <v>0</v>
      </c>
      <c r="J12" s="9"/>
      <c r="K12" s="22">
        <v>0</v>
      </c>
      <c r="L12" s="9"/>
      <c r="M12" s="22">
        <v>0</v>
      </c>
      <c r="N12" s="9"/>
      <c r="O12" s="22">
        <v>0</v>
      </c>
      <c r="P12" s="23"/>
      <c r="Q12" s="15" t="s">
        <v>443</v>
      </c>
      <c r="R12" s="17" t="s">
        <v>442</v>
      </c>
      <c r="S12" s="3" t="str">
        <f ca="1">HYPERLINK("#"&amp;재료비목록표!G2&amp;"!A"&amp;ROW(재료비목록표!A11),"M00109 →")</f>
        <v>M00109 →</v>
      </c>
      <c r="T12" s="36">
        <v>0</v>
      </c>
      <c r="U12" s="38" t="str">
        <f t="shared" si="0"/>
        <v/>
      </c>
      <c r="V12" s="39">
        <f t="shared" si="1"/>
        <v>0</v>
      </c>
      <c r="W12" s="40" t="str">
        <f t="shared" si="2"/>
        <v/>
      </c>
    </row>
    <row r="13" spans="1:25" ht="34.700000000000003" customHeight="1" x14ac:dyDescent="0.3">
      <c r="A13" s="9" t="s">
        <v>336</v>
      </c>
      <c r="B13" s="10" t="s">
        <v>444</v>
      </c>
      <c r="C13" s="10" t="s">
        <v>445</v>
      </c>
      <c r="D13" s="9" t="s">
        <v>429</v>
      </c>
      <c r="E13" s="22">
        <v>0</v>
      </c>
      <c r="F13" s="9"/>
      <c r="G13" s="22">
        <v>0</v>
      </c>
      <c r="H13" s="9"/>
      <c r="I13" s="22">
        <v>0</v>
      </c>
      <c r="J13" s="9"/>
      <c r="K13" s="22">
        <v>0</v>
      </c>
      <c r="L13" s="9"/>
      <c r="M13" s="22">
        <v>0</v>
      </c>
      <c r="N13" s="9"/>
      <c r="O13" s="22">
        <v>0</v>
      </c>
      <c r="P13" s="23"/>
      <c r="Q13" s="15" t="s">
        <v>447</v>
      </c>
      <c r="R13" s="17" t="s">
        <v>446</v>
      </c>
      <c r="S13" s="3" t="str">
        <f ca="1">HYPERLINK("#"&amp;재료비목록표!G2&amp;"!A"&amp;ROW(재료비목록표!A12),"M00117 →")</f>
        <v>M00117 →</v>
      </c>
      <c r="T13" s="36">
        <v>0</v>
      </c>
      <c r="U13" s="38" t="str">
        <f t="shared" si="0"/>
        <v/>
      </c>
      <c r="V13" s="39">
        <f t="shared" si="1"/>
        <v>0</v>
      </c>
      <c r="W13" s="40" t="str">
        <f t="shared" si="2"/>
        <v/>
      </c>
    </row>
    <row r="14" spans="1:25" ht="34.700000000000003" customHeight="1" x14ac:dyDescent="0.3">
      <c r="A14" s="9" t="s">
        <v>340</v>
      </c>
      <c r="B14" s="10" t="s">
        <v>448</v>
      </c>
      <c r="C14" s="10" t="s">
        <v>445</v>
      </c>
      <c r="D14" s="9" t="s">
        <v>449</v>
      </c>
      <c r="E14" s="22">
        <v>0</v>
      </c>
      <c r="F14" s="9"/>
      <c r="G14" s="22">
        <v>0</v>
      </c>
      <c r="H14" s="9"/>
      <c r="I14" s="22">
        <v>0</v>
      </c>
      <c r="J14" s="9"/>
      <c r="K14" s="22">
        <v>0</v>
      </c>
      <c r="L14" s="9"/>
      <c r="M14" s="22">
        <v>0</v>
      </c>
      <c r="N14" s="9"/>
      <c r="O14" s="22">
        <v>0</v>
      </c>
      <c r="P14" s="23"/>
      <c r="Q14" s="15" t="s">
        <v>451</v>
      </c>
      <c r="R14" s="17" t="s">
        <v>450</v>
      </c>
      <c r="S14" s="3" t="str">
        <f ca="1">HYPERLINK("#"&amp;재료비목록표!G2&amp;"!A"&amp;ROW(재료비목록표!A13),"M00125 →")</f>
        <v>M00125 →</v>
      </c>
      <c r="T14" s="36">
        <v>0</v>
      </c>
      <c r="U14" s="38" t="str">
        <f t="shared" si="0"/>
        <v/>
      </c>
      <c r="V14" s="39">
        <f t="shared" si="1"/>
        <v>0</v>
      </c>
      <c r="W14" s="40" t="str">
        <f t="shared" si="2"/>
        <v/>
      </c>
    </row>
    <row r="15" spans="1:25" ht="34.700000000000003" customHeight="1" x14ac:dyDescent="0.3">
      <c r="A15" s="9" t="s">
        <v>344</v>
      </c>
      <c r="B15" s="10" t="s">
        <v>452</v>
      </c>
      <c r="C15" s="10" t="s">
        <v>453</v>
      </c>
      <c r="D15" s="9" t="s">
        <v>419</v>
      </c>
      <c r="E15" s="22">
        <v>0</v>
      </c>
      <c r="F15" s="9"/>
      <c r="G15" s="22">
        <v>33000</v>
      </c>
      <c r="H15" s="9" t="s">
        <v>721</v>
      </c>
      <c r="I15" s="22">
        <v>31000</v>
      </c>
      <c r="J15" s="9" t="s">
        <v>722</v>
      </c>
      <c r="K15" s="22">
        <v>0</v>
      </c>
      <c r="L15" s="9"/>
      <c r="M15" s="22">
        <v>0</v>
      </c>
      <c r="N15" s="9"/>
      <c r="O15" s="22">
        <v>31000</v>
      </c>
      <c r="P15" s="23" t="s">
        <v>710</v>
      </c>
      <c r="Q15" s="15" t="s">
        <v>455</v>
      </c>
      <c r="R15" s="17" t="s">
        <v>454</v>
      </c>
      <c r="S15" s="3" t="str">
        <f ca="1">HYPERLINK("#"&amp;재료비목록표!G2&amp;"!A"&amp;ROW(재료비목록표!A14),"M00131 →")</f>
        <v>M00131 →</v>
      </c>
      <c r="T15" s="36">
        <v>31000</v>
      </c>
      <c r="U15" s="38" t="str">
        <f t="shared" si="0"/>
        <v/>
      </c>
      <c r="V15" s="39">
        <f t="shared" si="1"/>
        <v>0</v>
      </c>
      <c r="W15" s="40" t="str">
        <f t="shared" si="2"/>
        <v/>
      </c>
    </row>
    <row r="16" spans="1:25" ht="34.700000000000003" customHeight="1" x14ac:dyDescent="0.3">
      <c r="A16" s="9" t="s">
        <v>348</v>
      </c>
      <c r="B16" s="10" t="s">
        <v>456</v>
      </c>
      <c r="C16" s="10" t="s">
        <v>457</v>
      </c>
      <c r="D16" s="9" t="s">
        <v>419</v>
      </c>
      <c r="E16" s="22">
        <v>0</v>
      </c>
      <c r="F16" s="9"/>
      <c r="G16" s="22">
        <v>24000</v>
      </c>
      <c r="H16" s="9" t="s">
        <v>723</v>
      </c>
      <c r="I16" s="22">
        <v>20500</v>
      </c>
      <c r="J16" s="9" t="s">
        <v>722</v>
      </c>
      <c r="K16" s="22">
        <v>0</v>
      </c>
      <c r="L16" s="9"/>
      <c r="M16" s="22">
        <v>0</v>
      </c>
      <c r="N16" s="9"/>
      <c r="O16" s="22">
        <v>20500</v>
      </c>
      <c r="P16" s="23" t="s">
        <v>710</v>
      </c>
      <c r="Q16" s="15" t="s">
        <v>459</v>
      </c>
      <c r="R16" s="17" t="s">
        <v>458</v>
      </c>
      <c r="S16" s="3" t="str">
        <f ca="1">HYPERLINK("#"&amp;재료비목록표!G2&amp;"!A"&amp;ROW(재료비목록표!A15),"M00132 →")</f>
        <v>M00132 →</v>
      </c>
      <c r="T16" s="36">
        <v>20500</v>
      </c>
      <c r="U16" s="38" t="str">
        <f t="shared" si="0"/>
        <v/>
      </c>
      <c r="V16" s="39">
        <f t="shared" si="1"/>
        <v>0</v>
      </c>
      <c r="W16" s="40" t="str">
        <f t="shared" si="2"/>
        <v/>
      </c>
    </row>
    <row r="17" spans="1:23" ht="34.700000000000003" customHeight="1" x14ac:dyDescent="0.3">
      <c r="A17" s="9" t="s">
        <v>353</v>
      </c>
      <c r="B17" s="10" t="s">
        <v>460</v>
      </c>
      <c r="C17" s="10"/>
      <c r="D17" s="9" t="s">
        <v>429</v>
      </c>
      <c r="E17" s="22">
        <v>0</v>
      </c>
      <c r="F17" s="9"/>
      <c r="G17" s="22">
        <v>425</v>
      </c>
      <c r="H17" s="9" t="s">
        <v>724</v>
      </c>
      <c r="I17" s="22">
        <v>425</v>
      </c>
      <c r="J17" s="9" t="s">
        <v>719</v>
      </c>
      <c r="K17" s="22">
        <v>0</v>
      </c>
      <c r="L17" s="9"/>
      <c r="M17" s="22">
        <v>0</v>
      </c>
      <c r="N17" s="9"/>
      <c r="O17" s="22">
        <v>425</v>
      </c>
      <c r="P17" s="23" t="s">
        <v>709</v>
      </c>
      <c r="Q17" s="15" t="s">
        <v>462</v>
      </c>
      <c r="R17" s="17" t="s">
        <v>461</v>
      </c>
      <c r="S17" s="3" t="str">
        <f ca="1">HYPERLINK("#"&amp;재료비목록표!G2&amp;"!A"&amp;ROW(재료비목록표!A16),"M00157 →")</f>
        <v>M00157 →</v>
      </c>
      <c r="T17" s="36">
        <v>425</v>
      </c>
      <c r="U17" s="38" t="str">
        <f t="shared" si="0"/>
        <v/>
      </c>
      <c r="V17" s="39">
        <f t="shared" si="1"/>
        <v>0</v>
      </c>
      <c r="W17" s="40" t="str">
        <f t="shared" si="2"/>
        <v/>
      </c>
    </row>
    <row r="18" spans="1:23" ht="34.700000000000003" customHeight="1" x14ac:dyDescent="0.3">
      <c r="A18" s="9" t="s">
        <v>357</v>
      </c>
      <c r="B18" s="10" t="s">
        <v>463</v>
      </c>
      <c r="C18" s="10" t="s">
        <v>445</v>
      </c>
      <c r="D18" s="9" t="s">
        <v>414</v>
      </c>
      <c r="E18" s="22">
        <v>0</v>
      </c>
      <c r="F18" s="9"/>
      <c r="G18" s="22">
        <v>0</v>
      </c>
      <c r="H18" s="9"/>
      <c r="I18" s="22">
        <v>0</v>
      </c>
      <c r="J18" s="9"/>
      <c r="K18" s="22">
        <v>0</v>
      </c>
      <c r="L18" s="9"/>
      <c r="M18" s="22">
        <v>0</v>
      </c>
      <c r="N18" s="9"/>
      <c r="O18" s="22">
        <v>0</v>
      </c>
      <c r="P18" s="23"/>
      <c r="Q18" s="15" t="s">
        <v>465</v>
      </c>
      <c r="R18" s="17" t="s">
        <v>464</v>
      </c>
      <c r="S18" s="3" t="str">
        <f ca="1">HYPERLINK("#"&amp;재료비목록표!G2&amp;"!A"&amp;ROW(재료비목록표!A17),"M00214 →")</f>
        <v>M00214 →</v>
      </c>
      <c r="T18" s="36">
        <v>0</v>
      </c>
      <c r="U18" s="38" t="str">
        <f t="shared" si="0"/>
        <v/>
      </c>
      <c r="V18" s="39">
        <f t="shared" si="1"/>
        <v>0</v>
      </c>
      <c r="W18" s="40" t="str">
        <f t="shared" si="2"/>
        <v/>
      </c>
    </row>
    <row r="19" spans="1:23" ht="34.700000000000003" customHeight="1" x14ac:dyDescent="0.3">
      <c r="A19" s="9" t="s">
        <v>361</v>
      </c>
      <c r="B19" s="10" t="s">
        <v>466</v>
      </c>
      <c r="C19" s="10" t="s">
        <v>445</v>
      </c>
      <c r="D19" s="9" t="s">
        <v>467</v>
      </c>
      <c r="E19" s="22">
        <v>0</v>
      </c>
      <c r="F19" s="9"/>
      <c r="G19" s="22">
        <v>0</v>
      </c>
      <c r="H19" s="9"/>
      <c r="I19" s="22">
        <v>0</v>
      </c>
      <c r="J19" s="9"/>
      <c r="K19" s="22">
        <v>0</v>
      </c>
      <c r="L19" s="9"/>
      <c r="M19" s="22">
        <v>0</v>
      </c>
      <c r="N19" s="9"/>
      <c r="O19" s="22">
        <v>0</v>
      </c>
      <c r="P19" s="23"/>
      <c r="Q19" s="15" t="s">
        <v>469</v>
      </c>
      <c r="R19" s="17" t="s">
        <v>468</v>
      </c>
      <c r="S19" s="3" t="str">
        <f ca="1">HYPERLINK("#"&amp;재료비목록표!G2&amp;"!A"&amp;ROW(재료비목록표!A18),"M00227 →")</f>
        <v>M00227 →</v>
      </c>
      <c r="T19" s="36">
        <v>0</v>
      </c>
      <c r="U19" s="38" t="str">
        <f t="shared" si="0"/>
        <v/>
      </c>
      <c r="V19" s="39">
        <f t="shared" si="1"/>
        <v>0</v>
      </c>
      <c r="W19" s="40" t="str">
        <f t="shared" si="2"/>
        <v/>
      </c>
    </row>
    <row r="20" spans="1:23" ht="34.700000000000003" customHeight="1" x14ac:dyDescent="0.3">
      <c r="A20" s="9" t="s">
        <v>365</v>
      </c>
      <c r="B20" s="10" t="s">
        <v>470</v>
      </c>
      <c r="C20" s="10" t="s">
        <v>471</v>
      </c>
      <c r="D20" s="9" t="s">
        <v>409</v>
      </c>
      <c r="E20" s="22">
        <v>4418</v>
      </c>
      <c r="F20" s="9"/>
      <c r="G20" s="22">
        <v>5510</v>
      </c>
      <c r="H20" s="9" t="s">
        <v>725</v>
      </c>
      <c r="I20" s="22">
        <v>4680</v>
      </c>
      <c r="J20" s="9" t="s">
        <v>726</v>
      </c>
      <c r="K20" s="22">
        <v>0</v>
      </c>
      <c r="L20" s="9"/>
      <c r="M20" s="22">
        <v>0</v>
      </c>
      <c r="N20" s="9"/>
      <c r="O20" s="22">
        <v>4418</v>
      </c>
      <c r="P20" s="23" t="s">
        <v>708</v>
      </c>
      <c r="Q20" s="15" t="s">
        <v>473</v>
      </c>
      <c r="R20" s="17" t="s">
        <v>472</v>
      </c>
      <c r="S20" s="3" t="str">
        <f ca="1">HYPERLINK("#"&amp;재료비목록표!G2&amp;"!A"&amp;ROW(재료비목록표!A19),"M00231 →")</f>
        <v>M00231 →</v>
      </c>
      <c r="T20" s="36">
        <v>4418</v>
      </c>
      <c r="U20" s="38" t="str">
        <f t="shared" si="0"/>
        <v/>
      </c>
      <c r="V20" s="39">
        <f t="shared" si="1"/>
        <v>0</v>
      </c>
      <c r="W20" s="40" t="str">
        <f t="shared" si="2"/>
        <v/>
      </c>
    </row>
    <row r="21" spans="1:23" ht="34.700000000000003" customHeight="1" x14ac:dyDescent="0.3">
      <c r="A21" s="9" t="s">
        <v>369</v>
      </c>
      <c r="B21" s="10" t="s">
        <v>474</v>
      </c>
      <c r="C21" s="10" t="s">
        <v>475</v>
      </c>
      <c r="D21" s="9" t="s">
        <v>476</v>
      </c>
      <c r="E21" s="22">
        <v>0</v>
      </c>
      <c r="F21" s="9"/>
      <c r="G21" s="22">
        <v>0</v>
      </c>
      <c r="H21" s="9"/>
      <c r="I21" s="22">
        <v>0</v>
      </c>
      <c r="J21" s="9"/>
      <c r="K21" s="22">
        <v>0</v>
      </c>
      <c r="L21" s="9"/>
      <c r="M21" s="22">
        <v>0</v>
      </c>
      <c r="N21" s="9"/>
      <c r="O21" s="22">
        <v>1518</v>
      </c>
      <c r="P21" s="23"/>
      <c r="Q21" s="15" t="s">
        <v>478</v>
      </c>
      <c r="R21" s="17" t="s">
        <v>477</v>
      </c>
      <c r="S21" s="3" t="str">
        <f ca="1">HYPERLINK("#"&amp;재료비목록표!G2&amp;"!A"&amp;ROW(재료비목록표!A20),"M00302 →")</f>
        <v>M00302 →</v>
      </c>
      <c r="T21" s="36">
        <v>1518</v>
      </c>
      <c r="U21" s="38" t="str">
        <f t="shared" si="0"/>
        <v/>
      </c>
      <c r="V21" s="39">
        <f t="shared" si="1"/>
        <v>1518</v>
      </c>
      <c r="W21" s="40" t="str">
        <f t="shared" si="2"/>
        <v/>
      </c>
    </row>
    <row r="22" spans="1:23" ht="34.700000000000003" customHeight="1" x14ac:dyDescent="0.3">
      <c r="A22" s="9" t="s">
        <v>374</v>
      </c>
      <c r="B22" s="10" t="s">
        <v>479</v>
      </c>
      <c r="C22" s="10" t="s">
        <v>480</v>
      </c>
      <c r="D22" s="9" t="s">
        <v>476</v>
      </c>
      <c r="E22" s="22">
        <v>0</v>
      </c>
      <c r="F22" s="9"/>
      <c r="G22" s="22">
        <v>0</v>
      </c>
      <c r="H22" s="9"/>
      <c r="I22" s="22">
        <v>0</v>
      </c>
      <c r="J22" s="9"/>
      <c r="K22" s="22">
        <v>0</v>
      </c>
      <c r="L22" s="9"/>
      <c r="M22" s="22">
        <v>0</v>
      </c>
      <c r="N22" s="9"/>
      <c r="O22" s="22">
        <v>1359</v>
      </c>
      <c r="P22" s="23"/>
      <c r="Q22" s="15" t="s">
        <v>482</v>
      </c>
      <c r="R22" s="17" t="s">
        <v>481</v>
      </c>
      <c r="S22" s="3" t="str">
        <f ca="1">HYPERLINK("#"&amp;재료비목록표!G2&amp;"!A"&amp;ROW(재료비목록표!A21),"M00303 →")</f>
        <v>M00303 →</v>
      </c>
      <c r="T22" s="36">
        <v>1359</v>
      </c>
      <c r="U22" s="38" t="str">
        <f t="shared" si="0"/>
        <v/>
      </c>
      <c r="V22" s="39">
        <f t="shared" si="1"/>
        <v>1359</v>
      </c>
      <c r="W22" s="40" t="str">
        <f t="shared" si="2"/>
        <v/>
      </c>
    </row>
    <row r="23" spans="1:23" ht="34.700000000000003" customHeight="1" x14ac:dyDescent="0.3">
      <c r="A23" s="9" t="s">
        <v>378</v>
      </c>
      <c r="B23" s="10" t="s">
        <v>483</v>
      </c>
      <c r="C23" s="10" t="s">
        <v>484</v>
      </c>
      <c r="D23" s="9" t="s">
        <v>449</v>
      </c>
      <c r="E23" s="22">
        <v>107390</v>
      </c>
      <c r="F23" s="9"/>
      <c r="G23" s="22">
        <v>0</v>
      </c>
      <c r="H23" s="9"/>
      <c r="I23" s="22">
        <v>0</v>
      </c>
      <c r="J23" s="9"/>
      <c r="K23" s="22">
        <v>0</v>
      </c>
      <c r="L23" s="9"/>
      <c r="M23" s="22">
        <v>0</v>
      </c>
      <c r="N23" s="9"/>
      <c r="O23" s="22">
        <v>107390</v>
      </c>
      <c r="P23" s="23" t="s">
        <v>708</v>
      </c>
      <c r="Q23" s="15" t="s">
        <v>486</v>
      </c>
      <c r="R23" s="17" t="s">
        <v>485</v>
      </c>
      <c r="S23" s="3" t="str">
        <f ca="1">HYPERLINK("#"&amp;재료비목록표!G2&amp;"!A"&amp;ROW(재료비목록표!A22),"M00344 →")</f>
        <v>M00344 →</v>
      </c>
      <c r="T23" s="36">
        <v>107390</v>
      </c>
      <c r="U23" s="38" t="str">
        <f t="shared" si="0"/>
        <v/>
      </c>
      <c r="V23" s="39">
        <f t="shared" si="1"/>
        <v>0</v>
      </c>
      <c r="W23" s="40" t="str">
        <f t="shared" si="2"/>
        <v/>
      </c>
    </row>
    <row r="24" spans="1:23" ht="34.700000000000003" customHeight="1" x14ac:dyDescent="0.3">
      <c r="A24" s="9" t="s">
        <v>383</v>
      </c>
      <c r="B24" s="10" t="s">
        <v>483</v>
      </c>
      <c r="C24" s="10" t="s">
        <v>487</v>
      </c>
      <c r="D24" s="9" t="s">
        <v>449</v>
      </c>
      <c r="E24" s="22">
        <v>114700</v>
      </c>
      <c r="F24" s="9"/>
      <c r="G24" s="22">
        <v>0</v>
      </c>
      <c r="H24" s="9"/>
      <c r="I24" s="22">
        <v>0</v>
      </c>
      <c r="J24" s="9"/>
      <c r="K24" s="22">
        <v>0</v>
      </c>
      <c r="L24" s="9"/>
      <c r="M24" s="22">
        <v>0</v>
      </c>
      <c r="N24" s="9"/>
      <c r="O24" s="22">
        <v>114700</v>
      </c>
      <c r="P24" s="23" t="s">
        <v>708</v>
      </c>
      <c r="Q24" s="15" t="s">
        <v>489</v>
      </c>
      <c r="R24" s="17" t="s">
        <v>488</v>
      </c>
      <c r="S24" s="3" t="str">
        <f ca="1">HYPERLINK("#"&amp;재료비목록표!G2&amp;"!A"&amp;ROW(재료비목록표!A23),"M00424 →")</f>
        <v>M00424 →</v>
      </c>
      <c r="T24" s="36">
        <v>114700</v>
      </c>
      <c r="U24" s="38" t="str">
        <f t="shared" si="0"/>
        <v/>
      </c>
      <c r="V24" s="39">
        <f t="shared" si="1"/>
        <v>0</v>
      </c>
      <c r="W24" s="40" t="str">
        <f t="shared" si="2"/>
        <v/>
      </c>
    </row>
    <row r="25" spans="1:23" ht="34.700000000000003" customHeight="1" x14ac:dyDescent="0.3">
      <c r="A25" s="9" t="s">
        <v>388</v>
      </c>
      <c r="B25" s="10" t="s">
        <v>490</v>
      </c>
      <c r="C25" s="10" t="s">
        <v>491</v>
      </c>
      <c r="D25" s="9" t="s">
        <v>14</v>
      </c>
      <c r="E25" s="22">
        <v>0</v>
      </c>
      <c r="F25" s="9"/>
      <c r="G25" s="22">
        <v>0</v>
      </c>
      <c r="H25" s="9"/>
      <c r="I25" s="22">
        <v>0</v>
      </c>
      <c r="J25" s="9"/>
      <c r="K25" s="22">
        <v>0</v>
      </c>
      <c r="L25" s="9"/>
      <c r="M25" s="22">
        <v>0</v>
      </c>
      <c r="N25" s="9"/>
      <c r="O25" s="22">
        <v>0</v>
      </c>
      <c r="P25" s="23"/>
      <c r="Q25" s="15" t="s">
        <v>493</v>
      </c>
      <c r="R25" s="17" t="s">
        <v>492</v>
      </c>
      <c r="S25" s="3" t="str">
        <f ca="1">HYPERLINK("#"&amp;재료비목록표!G2&amp;"!A"&amp;ROW(재료비목록표!A24),"M00453 →")</f>
        <v>M00453 →</v>
      </c>
      <c r="T25" s="36">
        <v>0</v>
      </c>
      <c r="U25" s="38" t="str">
        <f t="shared" si="0"/>
        <v/>
      </c>
      <c r="V25" s="39">
        <f t="shared" si="1"/>
        <v>0</v>
      </c>
      <c r="W25" s="40" t="str">
        <f t="shared" si="2"/>
        <v/>
      </c>
    </row>
    <row r="26" spans="1:23" ht="34.700000000000003" customHeight="1" x14ac:dyDescent="0.3">
      <c r="A26" s="9" t="s">
        <v>392</v>
      </c>
      <c r="B26" s="10" t="s">
        <v>494</v>
      </c>
      <c r="C26" s="10" t="s">
        <v>445</v>
      </c>
      <c r="D26" s="9" t="s">
        <v>495</v>
      </c>
      <c r="E26" s="22">
        <v>0</v>
      </c>
      <c r="F26" s="9"/>
      <c r="G26" s="22">
        <v>0</v>
      </c>
      <c r="H26" s="9"/>
      <c r="I26" s="22">
        <v>0</v>
      </c>
      <c r="J26" s="9"/>
      <c r="K26" s="22">
        <v>0</v>
      </c>
      <c r="L26" s="9"/>
      <c r="M26" s="22">
        <v>0</v>
      </c>
      <c r="N26" s="9"/>
      <c r="O26" s="22">
        <v>0</v>
      </c>
      <c r="P26" s="23"/>
      <c r="Q26" s="15" t="s">
        <v>497</v>
      </c>
      <c r="R26" s="17" t="s">
        <v>496</v>
      </c>
      <c r="S26" s="3" t="str">
        <f ca="1">HYPERLINK("#"&amp;재료비목록표!G2&amp;"!A"&amp;ROW(재료비목록표!A25),"M00488 →")</f>
        <v>M00488 →</v>
      </c>
      <c r="T26" s="36">
        <v>0</v>
      </c>
      <c r="U26" s="38" t="str">
        <f t="shared" si="0"/>
        <v/>
      </c>
      <c r="V26" s="39">
        <f t="shared" si="1"/>
        <v>0</v>
      </c>
      <c r="W26" s="40" t="str">
        <f t="shared" si="2"/>
        <v/>
      </c>
    </row>
    <row r="27" spans="1:23" ht="34.700000000000003" customHeight="1" x14ac:dyDescent="0.3">
      <c r="A27" s="9" t="s">
        <v>396</v>
      </c>
      <c r="B27" s="10" t="s">
        <v>498</v>
      </c>
      <c r="C27" s="10"/>
      <c r="D27" s="9" t="s">
        <v>441</v>
      </c>
      <c r="E27" s="22">
        <v>0</v>
      </c>
      <c r="F27" s="9"/>
      <c r="G27" s="22">
        <v>0</v>
      </c>
      <c r="H27" s="9"/>
      <c r="I27" s="22">
        <v>0</v>
      </c>
      <c r="J27" s="9"/>
      <c r="K27" s="22">
        <v>0</v>
      </c>
      <c r="L27" s="9"/>
      <c r="M27" s="22">
        <v>0</v>
      </c>
      <c r="N27" s="9"/>
      <c r="O27" s="22">
        <v>0</v>
      </c>
      <c r="P27" s="23"/>
      <c r="Q27" s="15" t="s">
        <v>500</v>
      </c>
      <c r="R27" s="17" t="s">
        <v>499</v>
      </c>
      <c r="S27" s="3" t="str">
        <f ca="1">HYPERLINK("#"&amp;재료비목록표!G2&amp;"!A"&amp;ROW(재료비목록표!A26),"M00918 →")</f>
        <v>M00918 →</v>
      </c>
      <c r="T27" s="36">
        <v>0</v>
      </c>
      <c r="U27" s="38" t="str">
        <f t="shared" si="0"/>
        <v/>
      </c>
      <c r="V27" s="39">
        <f t="shared" si="1"/>
        <v>0</v>
      </c>
      <c r="W27" s="40" t="str">
        <f t="shared" si="2"/>
        <v/>
      </c>
    </row>
    <row r="28" spans="1:23" ht="34.700000000000003" customHeight="1" x14ac:dyDescent="0.3">
      <c r="A28" s="9" t="s">
        <v>400</v>
      </c>
      <c r="B28" s="10" t="s">
        <v>501</v>
      </c>
      <c r="C28" s="10"/>
      <c r="D28" s="9" t="s">
        <v>502</v>
      </c>
      <c r="E28" s="22">
        <v>0</v>
      </c>
      <c r="F28" s="9"/>
      <c r="G28" s="34">
        <v>1.27</v>
      </c>
      <c r="H28" s="9" t="s">
        <v>727</v>
      </c>
      <c r="I28" s="22">
        <v>0</v>
      </c>
      <c r="J28" s="9"/>
      <c r="K28" s="22">
        <v>0</v>
      </c>
      <c r="L28" s="9"/>
      <c r="M28" s="22">
        <v>0</v>
      </c>
      <c r="N28" s="9"/>
      <c r="O28" s="34">
        <v>1.27</v>
      </c>
      <c r="P28" s="23" t="s">
        <v>709</v>
      </c>
      <c r="Q28" s="15" t="s">
        <v>504</v>
      </c>
      <c r="R28" s="17" t="s">
        <v>503</v>
      </c>
      <c r="S28" s="3" t="str">
        <f ca="1">HYPERLINK("#"&amp;재료비목록표!G2&amp;"!A"&amp;ROW(재료비목록표!A27),"M01054 →")</f>
        <v>M01054 →</v>
      </c>
      <c r="T28" s="37">
        <v>1.27</v>
      </c>
      <c r="U28" s="38" t="str">
        <f t="shared" si="0"/>
        <v/>
      </c>
      <c r="V28" s="39">
        <f t="shared" si="1"/>
        <v>0</v>
      </c>
      <c r="W28" s="40" t="str">
        <f t="shared" si="2"/>
        <v/>
      </c>
    </row>
    <row r="29" spans="1:23" ht="34.700000000000003" customHeight="1" x14ac:dyDescent="0.3">
      <c r="A29" s="9" t="s">
        <v>505</v>
      </c>
      <c r="B29" s="10" t="s">
        <v>506</v>
      </c>
      <c r="C29" s="10"/>
      <c r="D29" s="9" t="s">
        <v>14</v>
      </c>
      <c r="E29" s="22">
        <v>0</v>
      </c>
      <c r="F29" s="9"/>
      <c r="G29" s="22">
        <v>0</v>
      </c>
      <c r="H29" s="9"/>
      <c r="I29" s="22">
        <v>6875</v>
      </c>
      <c r="J29" s="9" t="s">
        <v>728</v>
      </c>
      <c r="K29" s="22">
        <v>0</v>
      </c>
      <c r="L29" s="9"/>
      <c r="M29" s="22">
        <v>0</v>
      </c>
      <c r="N29" s="9"/>
      <c r="O29" s="22">
        <v>6875</v>
      </c>
      <c r="P29" s="23" t="s">
        <v>710</v>
      </c>
      <c r="Q29" s="15" t="s">
        <v>508</v>
      </c>
      <c r="R29" s="17" t="s">
        <v>507</v>
      </c>
      <c r="S29" s="3" t="str">
        <f ca="1">HYPERLINK("#"&amp;재료비목록표!G2&amp;"!A"&amp;ROW(재료비목록표!A28),"M01150 →")</f>
        <v>M01150 →</v>
      </c>
      <c r="T29" s="36">
        <v>6875</v>
      </c>
      <c r="U29" s="38" t="str">
        <f t="shared" si="0"/>
        <v/>
      </c>
      <c r="V29" s="39">
        <f t="shared" si="1"/>
        <v>0</v>
      </c>
      <c r="W29" s="40" t="str">
        <f t="shared" si="2"/>
        <v/>
      </c>
    </row>
    <row r="30" spans="1:23" ht="34.700000000000003" customHeight="1" x14ac:dyDescent="0.3">
      <c r="A30" s="9" t="s">
        <v>509</v>
      </c>
      <c r="B30" s="10" t="s">
        <v>510</v>
      </c>
      <c r="C30" s="10" t="s">
        <v>511</v>
      </c>
      <c r="D30" s="9" t="s">
        <v>429</v>
      </c>
      <c r="E30" s="22">
        <v>0</v>
      </c>
      <c r="F30" s="9"/>
      <c r="G30" s="22">
        <v>0</v>
      </c>
      <c r="H30" s="9"/>
      <c r="I30" s="22">
        <v>18000</v>
      </c>
      <c r="J30" s="9" t="s">
        <v>729</v>
      </c>
      <c r="K30" s="22">
        <v>0</v>
      </c>
      <c r="L30" s="9"/>
      <c r="M30" s="22">
        <v>0</v>
      </c>
      <c r="N30" s="9"/>
      <c r="O30" s="22">
        <v>18000</v>
      </c>
      <c r="P30" s="23" t="s">
        <v>710</v>
      </c>
      <c r="Q30" s="15" t="s">
        <v>513</v>
      </c>
      <c r="R30" s="17" t="s">
        <v>512</v>
      </c>
      <c r="S30" s="3" t="str">
        <f ca="1">HYPERLINK("#"&amp;재료비목록표!G2&amp;"!A"&amp;ROW(재료비목록표!A29),"M01225 →")</f>
        <v>M01225 →</v>
      </c>
      <c r="T30" s="36">
        <v>18000</v>
      </c>
      <c r="U30" s="38" t="str">
        <f t="shared" si="0"/>
        <v/>
      </c>
      <c r="V30" s="39">
        <f t="shared" si="1"/>
        <v>0</v>
      </c>
      <c r="W30" s="40" t="str">
        <f t="shared" si="2"/>
        <v/>
      </c>
    </row>
    <row r="31" spans="1:23" ht="34.700000000000003" customHeight="1" x14ac:dyDescent="0.3">
      <c r="A31" s="9" t="s">
        <v>514</v>
      </c>
      <c r="B31" s="10" t="s">
        <v>510</v>
      </c>
      <c r="C31" s="10" t="s">
        <v>515</v>
      </c>
      <c r="D31" s="9" t="s">
        <v>429</v>
      </c>
      <c r="E31" s="22">
        <v>0</v>
      </c>
      <c r="F31" s="9"/>
      <c r="G31" s="22">
        <v>0</v>
      </c>
      <c r="H31" s="9"/>
      <c r="I31" s="22">
        <v>35000</v>
      </c>
      <c r="J31" s="9" t="s">
        <v>729</v>
      </c>
      <c r="K31" s="22">
        <v>0</v>
      </c>
      <c r="L31" s="9"/>
      <c r="M31" s="22">
        <v>0</v>
      </c>
      <c r="N31" s="9"/>
      <c r="O31" s="22">
        <v>35000</v>
      </c>
      <c r="P31" s="23" t="s">
        <v>710</v>
      </c>
      <c r="Q31" s="15" t="s">
        <v>517</v>
      </c>
      <c r="R31" s="17" t="s">
        <v>516</v>
      </c>
      <c r="S31" s="3" t="str">
        <f ca="1">HYPERLINK("#"&amp;재료비목록표!G2&amp;"!A"&amp;ROW(재료비목록표!A30),"M01226 →")</f>
        <v>M01226 →</v>
      </c>
      <c r="T31" s="36">
        <v>35000</v>
      </c>
      <c r="U31" s="38" t="str">
        <f t="shared" si="0"/>
        <v/>
      </c>
      <c r="V31" s="39">
        <f t="shared" si="1"/>
        <v>0</v>
      </c>
      <c r="W31" s="40" t="str">
        <f t="shared" si="2"/>
        <v/>
      </c>
    </row>
    <row r="32" spans="1:23" ht="34.700000000000003" customHeight="1" x14ac:dyDescent="0.3">
      <c r="A32" s="9" t="s">
        <v>518</v>
      </c>
      <c r="B32" s="10" t="s">
        <v>519</v>
      </c>
      <c r="C32" s="10" t="s">
        <v>520</v>
      </c>
      <c r="D32" s="9" t="s">
        <v>256</v>
      </c>
      <c r="E32" s="22">
        <v>0</v>
      </c>
      <c r="F32" s="9"/>
      <c r="G32" s="22">
        <v>0</v>
      </c>
      <c r="H32" s="9"/>
      <c r="I32" s="22">
        <v>227000</v>
      </c>
      <c r="J32" s="9" t="s">
        <v>730</v>
      </c>
      <c r="K32" s="22">
        <v>0</v>
      </c>
      <c r="L32" s="9"/>
      <c r="M32" s="22">
        <v>0</v>
      </c>
      <c r="N32" s="9"/>
      <c r="O32" s="22">
        <v>227000</v>
      </c>
      <c r="P32" s="23" t="s">
        <v>710</v>
      </c>
      <c r="Q32" s="15" t="s">
        <v>522</v>
      </c>
      <c r="R32" s="17" t="s">
        <v>521</v>
      </c>
      <c r="S32" s="3" t="str">
        <f ca="1">HYPERLINK("#"&amp;재료비목록표!G2&amp;"!A"&amp;ROW(재료비목록표!A31),"M01324 →")</f>
        <v>M01324 →</v>
      </c>
      <c r="T32" s="36">
        <v>227000</v>
      </c>
      <c r="U32" s="38" t="str">
        <f t="shared" si="0"/>
        <v/>
      </c>
      <c r="V32" s="39">
        <f t="shared" si="1"/>
        <v>0</v>
      </c>
      <c r="W32" s="40" t="str">
        <f t="shared" si="2"/>
        <v/>
      </c>
    </row>
    <row r="33" spans="1:23" ht="34.700000000000003" customHeight="1" x14ac:dyDescent="0.3">
      <c r="A33" s="9" t="s">
        <v>523</v>
      </c>
      <c r="B33" s="10" t="s">
        <v>519</v>
      </c>
      <c r="C33" s="10" t="s">
        <v>524</v>
      </c>
      <c r="D33" s="9" t="s">
        <v>256</v>
      </c>
      <c r="E33" s="22">
        <v>0</v>
      </c>
      <c r="F33" s="9"/>
      <c r="G33" s="22">
        <v>0</v>
      </c>
      <c r="H33" s="9"/>
      <c r="I33" s="22">
        <v>866000</v>
      </c>
      <c r="J33" s="9" t="s">
        <v>730</v>
      </c>
      <c r="K33" s="22">
        <v>0</v>
      </c>
      <c r="L33" s="9"/>
      <c r="M33" s="22">
        <v>0</v>
      </c>
      <c r="N33" s="9"/>
      <c r="O33" s="22">
        <v>866000</v>
      </c>
      <c r="P33" s="23" t="s">
        <v>710</v>
      </c>
      <c r="Q33" s="15" t="s">
        <v>526</v>
      </c>
      <c r="R33" s="17" t="s">
        <v>525</v>
      </c>
      <c r="S33" s="3" t="str">
        <f ca="1">HYPERLINK("#"&amp;재료비목록표!G2&amp;"!A"&amp;ROW(재료비목록표!A32),"M01325 →")</f>
        <v>M01325 →</v>
      </c>
      <c r="T33" s="36">
        <v>866000</v>
      </c>
      <c r="U33" s="38" t="str">
        <f t="shared" si="0"/>
        <v/>
      </c>
      <c r="V33" s="39">
        <f t="shared" si="1"/>
        <v>0</v>
      </c>
      <c r="W33" s="40" t="str">
        <f t="shared" si="2"/>
        <v/>
      </c>
    </row>
    <row r="34" spans="1:23" ht="34.700000000000003" customHeight="1" x14ac:dyDescent="0.3">
      <c r="A34" s="9" t="s">
        <v>527</v>
      </c>
      <c r="B34" s="10" t="s">
        <v>528</v>
      </c>
      <c r="C34" s="10" t="s">
        <v>529</v>
      </c>
      <c r="D34" s="9" t="s">
        <v>414</v>
      </c>
      <c r="E34" s="22">
        <v>0</v>
      </c>
      <c r="F34" s="9"/>
      <c r="G34" s="22">
        <v>2075</v>
      </c>
      <c r="H34" s="9" t="s">
        <v>731</v>
      </c>
      <c r="I34" s="22">
        <v>1912</v>
      </c>
      <c r="J34" s="9" t="s">
        <v>732</v>
      </c>
      <c r="K34" s="22">
        <v>0</v>
      </c>
      <c r="L34" s="9"/>
      <c r="M34" s="22">
        <v>0</v>
      </c>
      <c r="N34" s="9"/>
      <c r="O34" s="22">
        <v>1912</v>
      </c>
      <c r="P34" s="23" t="s">
        <v>710</v>
      </c>
      <c r="Q34" s="15" t="s">
        <v>531</v>
      </c>
      <c r="R34" s="17" t="s">
        <v>530</v>
      </c>
      <c r="S34" s="3" t="str">
        <f ca="1">HYPERLINK("#"&amp;재료비목록표!G2&amp;"!A"&amp;ROW(재료비목록표!A33),"M01436 →")</f>
        <v>M01436 →</v>
      </c>
      <c r="T34" s="36">
        <v>1912</v>
      </c>
      <c r="U34" s="38" t="str">
        <f t="shared" si="0"/>
        <v/>
      </c>
      <c r="V34" s="39">
        <f t="shared" si="1"/>
        <v>0</v>
      </c>
      <c r="W34" s="40" t="str">
        <f t="shared" si="2"/>
        <v/>
      </c>
    </row>
    <row r="35" spans="1:23" ht="34.700000000000003" customHeight="1" x14ac:dyDescent="0.3">
      <c r="A35" s="9" t="s">
        <v>532</v>
      </c>
      <c r="B35" s="10" t="s">
        <v>533</v>
      </c>
      <c r="C35" s="10" t="s">
        <v>534</v>
      </c>
      <c r="D35" s="9" t="s">
        <v>414</v>
      </c>
      <c r="E35" s="22">
        <v>126490</v>
      </c>
      <c r="F35" s="9"/>
      <c r="G35" s="22">
        <v>0</v>
      </c>
      <c r="H35" s="9"/>
      <c r="I35" s="22">
        <v>0</v>
      </c>
      <c r="J35" s="9"/>
      <c r="K35" s="22">
        <v>0</v>
      </c>
      <c r="L35" s="9"/>
      <c r="M35" s="22">
        <v>0</v>
      </c>
      <c r="N35" s="9"/>
      <c r="O35" s="22">
        <v>126490</v>
      </c>
      <c r="P35" s="23" t="s">
        <v>708</v>
      </c>
      <c r="Q35" s="15" t="s">
        <v>536</v>
      </c>
      <c r="R35" s="17" t="s">
        <v>535</v>
      </c>
      <c r="S35" s="3" t="str">
        <f ca="1">HYPERLINK("#"&amp;재료비목록표!G2&amp;"!A"&amp;ROW(재료비목록표!A34),"M01513 →")</f>
        <v>M01513 →</v>
      </c>
      <c r="T35" s="36">
        <v>126490</v>
      </c>
      <c r="U35" s="38" t="str">
        <f t="shared" si="0"/>
        <v/>
      </c>
      <c r="V35" s="39">
        <f t="shared" si="1"/>
        <v>0</v>
      </c>
      <c r="W35" s="40" t="str">
        <f t="shared" si="2"/>
        <v/>
      </c>
    </row>
    <row r="36" spans="1:23" ht="34.700000000000003" customHeight="1" x14ac:dyDescent="0.3">
      <c r="A36" s="9" t="s">
        <v>537</v>
      </c>
      <c r="B36" s="10" t="s">
        <v>494</v>
      </c>
      <c r="C36" s="10" t="s">
        <v>538</v>
      </c>
      <c r="D36" s="9" t="s">
        <v>449</v>
      </c>
      <c r="E36" s="22">
        <v>0</v>
      </c>
      <c r="F36" s="9"/>
      <c r="G36" s="22">
        <v>0</v>
      </c>
      <c r="H36" s="9"/>
      <c r="I36" s="22">
        <v>0</v>
      </c>
      <c r="J36" s="9"/>
      <c r="K36" s="22">
        <v>0</v>
      </c>
      <c r="L36" s="9"/>
      <c r="M36" s="22">
        <v>0</v>
      </c>
      <c r="N36" s="9"/>
      <c r="O36" s="22">
        <v>20181</v>
      </c>
      <c r="P36" s="23"/>
      <c r="Q36" s="15" t="s">
        <v>540</v>
      </c>
      <c r="R36" s="17" t="s">
        <v>539</v>
      </c>
      <c r="S36" s="3" t="str">
        <f ca="1">HYPERLINK("#"&amp;재료비목록표!G2&amp;"!A"&amp;ROW(재료비목록표!A35),"M01514 →")</f>
        <v>M01514 →</v>
      </c>
      <c r="T36" s="36">
        <v>20181</v>
      </c>
      <c r="U36" s="38" t="str">
        <f t="shared" si="0"/>
        <v/>
      </c>
      <c r="V36" s="39">
        <f t="shared" si="1"/>
        <v>20181</v>
      </c>
      <c r="W36" s="40" t="str">
        <f t="shared" si="2"/>
        <v/>
      </c>
    </row>
    <row r="37" spans="1:23" ht="34.700000000000003" customHeight="1" x14ac:dyDescent="0.3">
      <c r="A37" s="9" t="s">
        <v>541</v>
      </c>
      <c r="B37" s="10" t="s">
        <v>542</v>
      </c>
      <c r="C37" s="10" t="s">
        <v>543</v>
      </c>
      <c r="D37" s="9" t="s">
        <v>449</v>
      </c>
      <c r="E37" s="22">
        <v>0</v>
      </c>
      <c r="F37" s="9"/>
      <c r="G37" s="22">
        <v>0</v>
      </c>
      <c r="H37" s="9"/>
      <c r="I37" s="22">
        <v>0</v>
      </c>
      <c r="J37" s="9"/>
      <c r="K37" s="22">
        <v>0</v>
      </c>
      <c r="L37" s="9"/>
      <c r="M37" s="22">
        <v>0</v>
      </c>
      <c r="N37" s="9"/>
      <c r="O37" s="22">
        <v>15794</v>
      </c>
      <c r="P37" s="23"/>
      <c r="Q37" s="15" t="s">
        <v>545</v>
      </c>
      <c r="R37" s="17" t="s">
        <v>544</v>
      </c>
      <c r="S37" s="3" t="str">
        <f ca="1">HYPERLINK("#"&amp;재료비목록표!G2&amp;"!A"&amp;ROW(재료비목록표!A36),"M01515 →")</f>
        <v>M01515 →</v>
      </c>
      <c r="T37" s="36">
        <v>15794</v>
      </c>
      <c r="U37" s="38" t="str">
        <f t="shared" si="0"/>
        <v/>
      </c>
      <c r="V37" s="39">
        <f t="shared" si="1"/>
        <v>15794</v>
      </c>
      <c r="W37" s="40" t="str">
        <f t="shared" si="2"/>
        <v/>
      </c>
    </row>
    <row r="38" spans="1:23" ht="34.700000000000003" customHeight="1" x14ac:dyDescent="0.3">
      <c r="A38" s="9" t="s">
        <v>546</v>
      </c>
      <c r="B38" s="10" t="s">
        <v>547</v>
      </c>
      <c r="C38" s="10" t="s">
        <v>543</v>
      </c>
      <c r="D38" s="9" t="s">
        <v>449</v>
      </c>
      <c r="E38" s="22">
        <v>0</v>
      </c>
      <c r="F38" s="9"/>
      <c r="G38" s="22">
        <v>0</v>
      </c>
      <c r="H38" s="9"/>
      <c r="I38" s="22">
        <v>0</v>
      </c>
      <c r="J38" s="9"/>
      <c r="K38" s="22">
        <v>0</v>
      </c>
      <c r="L38" s="9"/>
      <c r="M38" s="22">
        <v>0</v>
      </c>
      <c r="N38" s="9"/>
      <c r="O38" s="22">
        <v>15794</v>
      </c>
      <c r="P38" s="23"/>
      <c r="Q38" s="15" t="s">
        <v>549</v>
      </c>
      <c r="R38" s="17" t="s">
        <v>548</v>
      </c>
      <c r="S38" s="3" t="str">
        <f ca="1">HYPERLINK("#"&amp;재료비목록표!G2&amp;"!A"&amp;ROW(재료비목록표!A37),"M01516 →")</f>
        <v>M01516 →</v>
      </c>
      <c r="T38" s="36">
        <v>15794</v>
      </c>
      <c r="U38" s="38" t="str">
        <f t="shared" si="0"/>
        <v/>
      </c>
      <c r="V38" s="39">
        <f t="shared" si="1"/>
        <v>15794</v>
      </c>
      <c r="W38" s="40" t="str">
        <f t="shared" si="2"/>
        <v/>
      </c>
    </row>
    <row r="39" spans="1:23" ht="34.700000000000003" customHeight="1" x14ac:dyDescent="0.3">
      <c r="A39" s="9" t="s">
        <v>550</v>
      </c>
      <c r="B39" s="10" t="s">
        <v>444</v>
      </c>
      <c r="C39" s="10" t="s">
        <v>551</v>
      </c>
      <c r="D39" s="9" t="s">
        <v>290</v>
      </c>
      <c r="E39" s="22">
        <v>0</v>
      </c>
      <c r="F39" s="9"/>
      <c r="G39" s="22">
        <v>0</v>
      </c>
      <c r="H39" s="9"/>
      <c r="I39" s="22">
        <v>0</v>
      </c>
      <c r="J39" s="9"/>
      <c r="K39" s="22">
        <v>0</v>
      </c>
      <c r="L39" s="9"/>
      <c r="M39" s="22">
        <v>0</v>
      </c>
      <c r="N39" s="9"/>
      <c r="O39" s="22">
        <v>4641</v>
      </c>
      <c r="P39" s="23"/>
      <c r="Q39" s="15" t="s">
        <v>553</v>
      </c>
      <c r="R39" s="17" t="s">
        <v>552</v>
      </c>
      <c r="S39" s="3" t="str">
        <f ca="1">HYPERLINK("#"&amp;재료비목록표!G2&amp;"!A"&amp;ROW(재료비목록표!A38),"M01517 →")</f>
        <v>M01517 →</v>
      </c>
      <c r="T39" s="36">
        <v>4641</v>
      </c>
      <c r="U39" s="38" t="str">
        <f t="shared" si="0"/>
        <v/>
      </c>
      <c r="V39" s="39">
        <f t="shared" si="1"/>
        <v>4641</v>
      </c>
      <c r="W39" s="40" t="str">
        <f t="shared" si="2"/>
        <v/>
      </c>
    </row>
    <row r="40" spans="1:23" ht="34.700000000000003" customHeight="1" x14ac:dyDescent="0.3">
      <c r="A40" s="9" t="s">
        <v>554</v>
      </c>
      <c r="B40" s="10" t="s">
        <v>555</v>
      </c>
      <c r="C40" s="10" t="s">
        <v>556</v>
      </c>
      <c r="D40" s="9" t="s">
        <v>467</v>
      </c>
      <c r="E40" s="22">
        <v>0</v>
      </c>
      <c r="F40" s="9"/>
      <c r="G40" s="22">
        <v>0</v>
      </c>
      <c r="H40" s="9"/>
      <c r="I40" s="22">
        <v>0</v>
      </c>
      <c r="J40" s="9"/>
      <c r="K40" s="22">
        <v>0</v>
      </c>
      <c r="L40" s="9"/>
      <c r="M40" s="22">
        <v>0</v>
      </c>
      <c r="N40" s="9"/>
      <c r="O40" s="22">
        <v>683126</v>
      </c>
      <c r="P40" s="23"/>
      <c r="Q40" s="15" t="s">
        <v>558</v>
      </c>
      <c r="R40" s="17" t="s">
        <v>557</v>
      </c>
      <c r="S40" s="3" t="str">
        <f ca="1">HYPERLINK("#"&amp;재료비목록표!G2&amp;"!A"&amp;ROW(재료비목록표!A39),"M01518 →")</f>
        <v>M01518 →</v>
      </c>
      <c r="T40" s="36">
        <v>683126</v>
      </c>
      <c r="U40" s="38" t="str">
        <f t="shared" si="0"/>
        <v/>
      </c>
      <c r="V40" s="39">
        <f t="shared" si="1"/>
        <v>683126</v>
      </c>
      <c r="W40" s="40" t="str">
        <f t="shared" si="2"/>
        <v/>
      </c>
    </row>
    <row r="41" spans="1:23" ht="34.700000000000003" customHeight="1" x14ac:dyDescent="0.3">
      <c r="A41" s="9" t="s">
        <v>559</v>
      </c>
      <c r="B41" s="10" t="s">
        <v>560</v>
      </c>
      <c r="C41" s="10" t="s">
        <v>543</v>
      </c>
      <c r="D41" s="9" t="s">
        <v>295</v>
      </c>
      <c r="E41" s="22">
        <v>0</v>
      </c>
      <c r="F41" s="9"/>
      <c r="G41" s="22">
        <v>0</v>
      </c>
      <c r="H41" s="9"/>
      <c r="I41" s="22">
        <v>0</v>
      </c>
      <c r="J41" s="9"/>
      <c r="K41" s="22">
        <v>0</v>
      </c>
      <c r="L41" s="9"/>
      <c r="M41" s="22">
        <v>0</v>
      </c>
      <c r="N41" s="9"/>
      <c r="O41" s="22">
        <v>32465</v>
      </c>
      <c r="P41" s="23"/>
      <c r="Q41" s="15" t="s">
        <v>562</v>
      </c>
      <c r="R41" s="17" t="s">
        <v>561</v>
      </c>
      <c r="S41" s="3" t="str">
        <f ca="1">HYPERLINK("#"&amp;재료비목록표!G2&amp;"!A"&amp;ROW(재료비목록표!A40),"M01519 →")</f>
        <v>M01519 →</v>
      </c>
      <c r="T41" s="36">
        <v>32465</v>
      </c>
      <c r="U41" s="38" t="str">
        <f t="shared" si="0"/>
        <v/>
      </c>
      <c r="V41" s="39">
        <f t="shared" si="1"/>
        <v>32465</v>
      </c>
      <c r="W41" s="40" t="str">
        <f t="shared" si="2"/>
        <v/>
      </c>
    </row>
  </sheetData>
  <mergeCells count="13">
    <mergeCell ref="O3:P3"/>
    <mergeCell ref="Q3:Q4"/>
    <mergeCell ref="U3:W3"/>
    <mergeCell ref="A1:Q1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honeticPr fontId="23" type="noConversion"/>
  <conditionalFormatting sqref="V5:V41">
    <cfRule type="expression" dxfId="7" priority="1" stopIfTrue="1">
      <formula>$O5&lt;&gt;$V5</formula>
    </cfRule>
  </conditionalFormatting>
  <hyperlinks>
    <hyperlink ref="S1" r:id="rId1" tooltip="설계예산시스템(STmate w25.07)으로 작성 하였으며,_x000a_엑셀 인쇄품질 600 dpi에 최적화 되어 있습니다._x000a_경영정보(주) http://www.stma.co.kr_x000a_Tel) 070-4350-0040_x000a_Fax) 0505-300-3948"/>
    <hyperlink ref="R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61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I25"/>
  <sheetViews>
    <sheetView workbookViewId="0"/>
  </sheetViews>
  <sheetFormatPr defaultRowHeight="16.5" x14ac:dyDescent="0.3"/>
  <cols>
    <col min="1" max="1" width="9.125" style="4" customWidth="1"/>
    <col min="2" max="2" width="4.75" customWidth="1"/>
  </cols>
  <sheetData>
    <row r="2" spans="1:9" x14ac:dyDescent="0.3">
      <c r="A2" s="3" t="str">
        <f>HYPERLINK("#'〓 목 차 〓'!B2","목차 →")</f>
        <v>목차 →</v>
      </c>
      <c r="B2" s="112" t="s">
        <v>2381</v>
      </c>
    </row>
    <row r="4" spans="1:9" ht="18.75" x14ac:dyDescent="0.3">
      <c r="B4" s="113" t="s">
        <v>2382</v>
      </c>
    </row>
    <row r="6" spans="1:9" x14ac:dyDescent="0.3">
      <c r="B6" s="99" t="s">
        <v>2383</v>
      </c>
    </row>
    <row r="7" spans="1:9" x14ac:dyDescent="0.3">
      <c r="B7" s="99" t="s">
        <v>2384</v>
      </c>
    </row>
    <row r="8" spans="1:9" x14ac:dyDescent="0.3">
      <c r="B8" s="114" t="s">
        <v>2385</v>
      </c>
    </row>
    <row r="9" spans="1:9" x14ac:dyDescent="0.3">
      <c r="B9" s="99" t="s">
        <v>2386</v>
      </c>
    </row>
    <row r="10" spans="1:9" x14ac:dyDescent="0.3">
      <c r="B10" s="99" t="s">
        <v>2387</v>
      </c>
    </row>
    <row r="11" spans="1:9" x14ac:dyDescent="0.3">
      <c r="B11" s="99" t="s">
        <v>2388</v>
      </c>
    </row>
    <row r="12" spans="1:9" x14ac:dyDescent="0.3">
      <c r="B12" s="131" t="s">
        <v>2389</v>
      </c>
      <c r="C12" s="132"/>
      <c r="D12" s="132"/>
      <c r="E12" s="132"/>
      <c r="F12" s="132"/>
      <c r="G12" s="132"/>
      <c r="H12" s="132"/>
      <c r="I12" s="132"/>
    </row>
    <row r="13" spans="1:9" x14ac:dyDescent="0.3">
      <c r="B13" s="99" t="s">
        <v>2390</v>
      </c>
    </row>
    <row r="15" spans="1:9" x14ac:dyDescent="0.3">
      <c r="B15" s="115" t="s">
        <v>2391</v>
      </c>
    </row>
    <row r="16" spans="1:9" x14ac:dyDescent="0.3">
      <c r="B16" s="2" t="str">
        <f ca="1">HYPERLINK("#"&amp;착공내역서!O2&amp;"!A"&amp;ROW(착공내역서!A75)," → ")</f>
        <v xml:space="preserve"> → </v>
      </c>
      <c r="C16" s="1" t="s">
        <v>2392</v>
      </c>
    </row>
    <row r="17" spans="2:3" x14ac:dyDescent="0.3">
      <c r="B17" s="2" t="str">
        <f ca="1">HYPERLINK("#"&amp;총괄설계내역서!H2&amp;"!I"&amp;ROW(총괄설계내역서!I26)," → ")</f>
        <v xml:space="preserve"> → </v>
      </c>
      <c r="C17" s="116" t="s">
        <v>2393</v>
      </c>
    </row>
    <row r="18" spans="2:3" x14ac:dyDescent="0.3">
      <c r="B18" s="2" t="str">
        <f ca="1">HYPERLINK("#"&amp;총괄설계내역서!H2&amp;"!D"&amp;ROW(총괄설계내역서!D32)," → ")</f>
        <v xml:space="preserve"> → </v>
      </c>
      <c r="C18" s="1" t="s">
        <v>2394</v>
      </c>
    </row>
    <row r="19" spans="2:3" x14ac:dyDescent="0.3">
      <c r="B19" s="2" t="str">
        <f ca="1">HYPERLINK("#"&amp;단가산출근거!G2&amp;"!B"&amp;ROW(단가산출근거!B1627)," → ")</f>
        <v xml:space="preserve"> → </v>
      </c>
      <c r="C19" s="1" t="s">
        <v>2395</v>
      </c>
    </row>
    <row r="20" spans="2:3" x14ac:dyDescent="0.3">
      <c r="B20" s="2" t="str">
        <f ca="1">HYPERLINK("#"&amp;단가산출근거!G2&amp;"!B"&amp;ROW(단가산출근거!B1693)," → ")</f>
        <v xml:space="preserve"> → </v>
      </c>
      <c r="C20" s="1" t="s">
        <v>2396</v>
      </c>
    </row>
    <row r="21" spans="2:3" x14ac:dyDescent="0.3">
      <c r="B21" s="2" t="str">
        <f ca="1">HYPERLINK("#"&amp;단가산출근거!G2&amp;"!B"&amp;ROW(단가산출근거!B1914)," → ")</f>
        <v xml:space="preserve"> → </v>
      </c>
      <c r="C21" s="1" t="s">
        <v>2397</v>
      </c>
    </row>
    <row r="22" spans="2:3" x14ac:dyDescent="0.3">
      <c r="B22" s="2" t="str">
        <f ca="1">HYPERLINK("#"&amp;단가산출근거!G2&amp;"!B"&amp;ROW(단가산출근거!B2002)," → ")</f>
        <v xml:space="preserve"> → </v>
      </c>
      <c r="C22" s="1" t="s">
        <v>2398</v>
      </c>
    </row>
    <row r="23" spans="2:3" x14ac:dyDescent="0.3">
      <c r="B23" s="2" t="str">
        <f ca="1">HYPERLINK("#"&amp;단가산출근거!G2&amp;"!B"&amp;ROW(단가산출근거!B2071)," → ")</f>
        <v xml:space="preserve"> → </v>
      </c>
      <c r="C23" s="1" t="s">
        <v>2399</v>
      </c>
    </row>
    <row r="24" spans="2:3" x14ac:dyDescent="0.3">
      <c r="B24" s="2" t="str">
        <f ca="1">HYPERLINK("#"&amp;단가산출근거!G2&amp;"!B"&amp;ROW(단가산출근거!B2162)," → ")</f>
        <v xml:space="preserve"> → </v>
      </c>
      <c r="C24" s="1" t="s">
        <v>2400</v>
      </c>
    </row>
    <row r="25" spans="2:3" x14ac:dyDescent="0.3">
      <c r="B25" s="2" t="str">
        <f ca="1">HYPERLINK("#"&amp;단가산출근거!G2&amp;"!B"&amp;ROW(단가산출근거!B2237)," → ")</f>
        <v xml:space="preserve"> → </v>
      </c>
      <c r="C25" s="1" t="s">
        <v>2401</v>
      </c>
    </row>
  </sheetData>
  <mergeCells count="1">
    <mergeCell ref="B12:I12"/>
  </mergeCells>
  <phoneticPr fontId="23" type="noConversion"/>
  <printOptions horizontalCentered="1"/>
  <pageMargins left="0.59055118110236215" right="0.59055118110236215" top="0.78740157480314965" bottom="1" header="0" footer="0.5"/>
  <pageSetup paperSize="9" fitToWidth="0" fitToHeight="0" orientation="portrait"/>
  <headerFooter alignWithMargins="0">
    <oddFooter xml:space="preserve">&amp;C&amp;"굴림체,"&amp;9 - &amp;P -&amp;R&amp;"굴림체,"&amp;9 </oddFooter>
  </headerFooter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6" width="10" style="6" customWidth="1"/>
    <col min="7" max="8" width="11.5" style="6" customWidth="1"/>
    <col min="9" max="9" width="9.125" style="6" hidden="1" customWidth="1"/>
    <col min="10" max="10" width="9.125" style="18" customWidth="1"/>
    <col min="11" max="16384" width="9.125" style="6"/>
  </cols>
  <sheetData>
    <row r="1" spans="1:10" ht="24.95" customHeight="1" x14ac:dyDescent="0.3">
      <c r="A1" s="133" t="s">
        <v>404</v>
      </c>
      <c r="B1" s="132"/>
      <c r="C1" s="132"/>
      <c r="D1" s="132"/>
      <c r="E1" s="132"/>
      <c r="F1" s="132"/>
      <c r="G1" s="132"/>
      <c r="H1" s="132"/>
      <c r="I1" s="5" t="s">
        <v>133</v>
      </c>
      <c r="J1" s="19" t="s">
        <v>133</v>
      </c>
    </row>
    <row r="2" spans="1:10" ht="21.75" customHeight="1" x14ac:dyDescent="0.3">
      <c r="A2" s="1" t="s">
        <v>1</v>
      </c>
      <c r="I2" s="20" t="str">
        <f ca="1">MID(CELL("filename",$A$1),FIND("]",CELL("filename",$A$1))+1,LEN(CELL("filename",$A$1)))</f>
        <v>재료비수량금액집계표</v>
      </c>
    </row>
    <row r="3" spans="1:10" ht="21.75" customHeight="1" x14ac:dyDescent="0.3">
      <c r="A3" s="8" t="s">
        <v>2</v>
      </c>
      <c r="B3" s="8" t="s">
        <v>3</v>
      </c>
      <c r="C3" s="8" t="s">
        <v>4</v>
      </c>
      <c r="D3" s="8" t="s">
        <v>735</v>
      </c>
      <c r="E3" s="8" t="s">
        <v>5</v>
      </c>
      <c r="F3" s="8" t="s">
        <v>406</v>
      </c>
      <c r="G3" s="8" t="s">
        <v>736</v>
      </c>
      <c r="H3" s="14" t="s">
        <v>10</v>
      </c>
      <c r="J3" s="3" t="str">
        <f>HYPERLINK("#'〓 목 차 〓'!B2","목차 →")</f>
        <v>목차 →</v>
      </c>
    </row>
    <row r="4" spans="1:10" ht="21.75" customHeight="1" x14ac:dyDescent="0.3">
      <c r="A4" s="9" t="s">
        <v>299</v>
      </c>
      <c r="B4" s="10" t="s">
        <v>407</v>
      </c>
      <c r="C4" s="10" t="s">
        <v>408</v>
      </c>
      <c r="D4" s="98">
        <v>3881.04</v>
      </c>
      <c r="E4" s="32" t="s">
        <v>409</v>
      </c>
      <c r="F4" s="33">
        <f>재료비목록표!E4</f>
        <v>767</v>
      </c>
      <c r="G4" s="54">
        <f t="shared" ref="G4:G33" si="0">ROUND(D4*F4,0)</f>
        <v>2976758</v>
      </c>
      <c r="H4" s="15" t="s">
        <v>411</v>
      </c>
      <c r="J4" s="3" t="str">
        <f ca="1">HYPERLINK("#"&amp;재료비목록표!G2&amp;"!A"&amp;ROW(재료비목록표!A4),"M00011 →")</f>
        <v>M00011 →</v>
      </c>
    </row>
    <row r="5" spans="1:10" ht="21.75" customHeight="1" x14ac:dyDescent="0.3">
      <c r="A5" s="9" t="s">
        <v>305</v>
      </c>
      <c r="B5" s="10" t="s">
        <v>412</v>
      </c>
      <c r="C5" s="10" t="s">
        <v>413</v>
      </c>
      <c r="D5" s="98">
        <v>1128</v>
      </c>
      <c r="E5" s="32" t="s">
        <v>414</v>
      </c>
      <c r="F5" s="33">
        <f>재료비목록표!E5</f>
        <v>142</v>
      </c>
      <c r="G5" s="54">
        <f t="shared" si="0"/>
        <v>160176</v>
      </c>
      <c r="H5" s="15" t="s">
        <v>416</v>
      </c>
      <c r="J5" s="3" t="str">
        <f ca="1">HYPERLINK("#"&amp;재료비목록표!G2&amp;"!A"&amp;ROW(재료비목록표!A5),"M00026 →")</f>
        <v>M00026 →</v>
      </c>
    </row>
    <row r="6" spans="1:10" ht="21.75" customHeight="1" x14ac:dyDescent="0.3">
      <c r="A6" s="9" t="s">
        <v>309</v>
      </c>
      <c r="B6" s="10" t="s">
        <v>417</v>
      </c>
      <c r="C6" s="10" t="s">
        <v>418</v>
      </c>
      <c r="D6" s="98">
        <v>62.31</v>
      </c>
      <c r="E6" s="32" t="s">
        <v>419</v>
      </c>
      <c r="F6" s="33">
        <f>재료비목록표!E6</f>
        <v>3000</v>
      </c>
      <c r="G6" s="54">
        <f t="shared" si="0"/>
        <v>186930</v>
      </c>
      <c r="H6" s="15" t="s">
        <v>421</v>
      </c>
      <c r="J6" s="3" t="str">
        <f ca="1">HYPERLINK("#"&amp;재료비목록표!G2&amp;"!A"&amp;ROW(재료비목록표!A6),"M00028 →")</f>
        <v>M00028 →</v>
      </c>
    </row>
    <row r="7" spans="1:10" ht="21.75" customHeight="1" x14ac:dyDescent="0.3">
      <c r="A7" s="9" t="s">
        <v>314</v>
      </c>
      <c r="B7" s="10" t="s">
        <v>422</v>
      </c>
      <c r="C7" s="10" t="s">
        <v>423</v>
      </c>
      <c r="D7" s="98">
        <v>0.96</v>
      </c>
      <c r="E7" s="32" t="s">
        <v>424</v>
      </c>
      <c r="F7" s="33">
        <f>재료비목록표!E7</f>
        <v>169800</v>
      </c>
      <c r="G7" s="54">
        <f t="shared" si="0"/>
        <v>163008</v>
      </c>
      <c r="H7" s="15" t="s">
        <v>426</v>
      </c>
      <c r="J7" s="3" t="str">
        <f ca="1">HYPERLINK("#"&amp;재료비목록표!G2&amp;"!A"&amp;ROW(재료비목록표!A7),"M00029 →")</f>
        <v>M00029 →</v>
      </c>
    </row>
    <row r="8" spans="1:10" ht="21.75" customHeight="1" x14ac:dyDescent="0.3">
      <c r="A8" s="9" t="s">
        <v>319</v>
      </c>
      <c r="B8" s="10" t="s">
        <v>427</v>
      </c>
      <c r="C8" s="10" t="s">
        <v>428</v>
      </c>
      <c r="D8" s="98">
        <v>0.87</v>
      </c>
      <c r="E8" s="32" t="s">
        <v>429</v>
      </c>
      <c r="F8" s="33">
        <f>재료비목록표!E8</f>
        <v>1710</v>
      </c>
      <c r="G8" s="54">
        <f t="shared" si="0"/>
        <v>1488</v>
      </c>
      <c r="H8" s="15" t="s">
        <v>431</v>
      </c>
      <c r="J8" s="3" t="str">
        <f ca="1">HYPERLINK("#"&amp;재료비목록표!G2&amp;"!A"&amp;ROW(재료비목록표!A8),"M00034 →")</f>
        <v>M00034 →</v>
      </c>
    </row>
    <row r="9" spans="1:10" ht="21.75" customHeight="1" x14ac:dyDescent="0.3">
      <c r="A9" s="9" t="s">
        <v>323</v>
      </c>
      <c r="B9" s="10" t="s">
        <v>432</v>
      </c>
      <c r="C9" s="10"/>
      <c r="D9" s="98">
        <v>5</v>
      </c>
      <c r="E9" s="32" t="s">
        <v>429</v>
      </c>
      <c r="F9" s="33">
        <f>재료비목록표!E9</f>
        <v>1300</v>
      </c>
      <c r="G9" s="54">
        <f t="shared" si="0"/>
        <v>6500</v>
      </c>
      <c r="H9" s="15" t="s">
        <v>434</v>
      </c>
      <c r="J9" s="3" t="str">
        <f ca="1">HYPERLINK("#"&amp;재료비목록표!G2&amp;"!A"&amp;ROW(재료비목록표!A9),"M00056 →")</f>
        <v>M00056 →</v>
      </c>
    </row>
    <row r="10" spans="1:10" ht="21.75" customHeight="1" x14ac:dyDescent="0.3">
      <c r="A10" s="9" t="s">
        <v>327</v>
      </c>
      <c r="B10" s="10" t="s">
        <v>435</v>
      </c>
      <c r="C10" s="10" t="s">
        <v>436</v>
      </c>
      <c r="D10" s="98">
        <v>31.63</v>
      </c>
      <c r="E10" s="32" t="s">
        <v>429</v>
      </c>
      <c r="F10" s="33">
        <f>재료비목록표!E10</f>
        <v>1750</v>
      </c>
      <c r="G10" s="54">
        <f t="shared" si="0"/>
        <v>55353</v>
      </c>
      <c r="H10" s="15" t="s">
        <v>438</v>
      </c>
      <c r="J10" s="3" t="str">
        <f ca="1">HYPERLINK("#"&amp;재료비목록표!G2&amp;"!A"&amp;ROW(재료비목록표!A10),"M00057 →")</f>
        <v>M00057 →</v>
      </c>
    </row>
    <row r="11" spans="1:10" ht="21.75" customHeight="1" x14ac:dyDescent="0.3">
      <c r="A11" s="9" t="s">
        <v>331</v>
      </c>
      <c r="B11" s="10" t="s">
        <v>444</v>
      </c>
      <c r="C11" s="10" t="s">
        <v>445</v>
      </c>
      <c r="D11" s="98">
        <v>632.4</v>
      </c>
      <c r="E11" s="32" t="s">
        <v>429</v>
      </c>
      <c r="F11" s="33">
        <f>재료비목록표!E12</f>
        <v>0</v>
      </c>
      <c r="G11" s="54">
        <f t="shared" si="0"/>
        <v>0</v>
      </c>
      <c r="H11" s="15" t="s">
        <v>447</v>
      </c>
      <c r="J11" s="3" t="str">
        <f ca="1">HYPERLINK("#"&amp;재료비목록표!G2&amp;"!A"&amp;ROW(재료비목록표!A12),"M00117 →")</f>
        <v>M00117 →</v>
      </c>
    </row>
    <row r="12" spans="1:10" ht="21.75" customHeight="1" x14ac:dyDescent="0.3">
      <c r="A12" s="9" t="s">
        <v>336</v>
      </c>
      <c r="B12" s="10" t="s">
        <v>448</v>
      </c>
      <c r="C12" s="10" t="s">
        <v>445</v>
      </c>
      <c r="D12" s="98">
        <v>376.8</v>
      </c>
      <c r="E12" s="32" t="s">
        <v>449</v>
      </c>
      <c r="F12" s="33">
        <f>재료비목록표!E13</f>
        <v>0</v>
      </c>
      <c r="G12" s="54">
        <f t="shared" si="0"/>
        <v>0</v>
      </c>
      <c r="H12" s="15" t="s">
        <v>451</v>
      </c>
      <c r="J12" s="3" t="str">
        <f ca="1">HYPERLINK("#"&amp;재료비목록표!G2&amp;"!A"&amp;ROW(재료비목록표!A13),"M00125 →")</f>
        <v>M00125 →</v>
      </c>
    </row>
    <row r="13" spans="1:10" ht="21.75" customHeight="1" x14ac:dyDescent="0.3">
      <c r="A13" s="9" t="s">
        <v>340</v>
      </c>
      <c r="B13" s="10" t="s">
        <v>452</v>
      </c>
      <c r="C13" s="10" t="s">
        <v>453</v>
      </c>
      <c r="D13" s="98">
        <v>28.4</v>
      </c>
      <c r="E13" s="32" t="s">
        <v>419</v>
      </c>
      <c r="F13" s="33">
        <f>재료비목록표!E14</f>
        <v>31000</v>
      </c>
      <c r="G13" s="54">
        <f t="shared" si="0"/>
        <v>880400</v>
      </c>
      <c r="H13" s="15" t="s">
        <v>455</v>
      </c>
      <c r="J13" s="3" t="str">
        <f ca="1">HYPERLINK("#"&amp;재료비목록표!G2&amp;"!A"&amp;ROW(재료비목록표!A14),"M00131 →")</f>
        <v>M00131 →</v>
      </c>
    </row>
    <row r="14" spans="1:10" ht="21.75" customHeight="1" x14ac:dyDescent="0.3">
      <c r="A14" s="9" t="s">
        <v>344</v>
      </c>
      <c r="B14" s="10" t="s">
        <v>456</v>
      </c>
      <c r="C14" s="10" t="s">
        <v>457</v>
      </c>
      <c r="D14" s="98">
        <v>0.96</v>
      </c>
      <c r="E14" s="32" t="s">
        <v>419</v>
      </c>
      <c r="F14" s="33">
        <f>재료비목록표!E15</f>
        <v>20500</v>
      </c>
      <c r="G14" s="54">
        <f t="shared" si="0"/>
        <v>19680</v>
      </c>
      <c r="H14" s="15" t="s">
        <v>459</v>
      </c>
      <c r="J14" s="3" t="str">
        <f ca="1">HYPERLINK("#"&amp;재료비목록표!G2&amp;"!A"&amp;ROW(재료비목록표!A15),"M00132 →")</f>
        <v>M00132 →</v>
      </c>
    </row>
    <row r="15" spans="1:10" ht="21.75" customHeight="1" x14ac:dyDescent="0.3">
      <c r="A15" s="9" t="s">
        <v>348</v>
      </c>
      <c r="B15" s="10" t="s">
        <v>460</v>
      </c>
      <c r="C15" s="10"/>
      <c r="D15" s="98">
        <v>600</v>
      </c>
      <c r="E15" s="32" t="s">
        <v>429</v>
      </c>
      <c r="F15" s="33">
        <f>재료비목록표!E16</f>
        <v>425</v>
      </c>
      <c r="G15" s="54">
        <f t="shared" si="0"/>
        <v>255000</v>
      </c>
      <c r="H15" s="15" t="s">
        <v>462</v>
      </c>
      <c r="J15" s="3" t="str">
        <f ca="1">HYPERLINK("#"&amp;재료비목록표!G2&amp;"!A"&amp;ROW(재료비목록표!A16),"M00157 →")</f>
        <v>M00157 →</v>
      </c>
    </row>
    <row r="16" spans="1:10" ht="21.75" customHeight="1" x14ac:dyDescent="0.3">
      <c r="A16" s="9" t="s">
        <v>353</v>
      </c>
      <c r="B16" s="10" t="s">
        <v>463</v>
      </c>
      <c r="C16" s="10" t="s">
        <v>445</v>
      </c>
      <c r="D16" s="98">
        <v>12</v>
      </c>
      <c r="E16" s="32" t="s">
        <v>414</v>
      </c>
      <c r="F16" s="33">
        <f>재료비목록표!E17</f>
        <v>0</v>
      </c>
      <c r="G16" s="54">
        <f t="shared" si="0"/>
        <v>0</v>
      </c>
      <c r="H16" s="15" t="s">
        <v>465</v>
      </c>
      <c r="J16" s="3" t="str">
        <f ca="1">HYPERLINK("#"&amp;재료비목록표!G2&amp;"!A"&amp;ROW(재료비목록표!A17),"M00214 →")</f>
        <v>M00214 →</v>
      </c>
    </row>
    <row r="17" spans="1:10" ht="21.75" customHeight="1" x14ac:dyDescent="0.3">
      <c r="A17" s="9" t="s">
        <v>357</v>
      </c>
      <c r="B17" s="10" t="s">
        <v>466</v>
      </c>
      <c r="C17" s="10" t="s">
        <v>445</v>
      </c>
      <c r="D17" s="98">
        <v>0.13</v>
      </c>
      <c r="E17" s="32" t="s">
        <v>467</v>
      </c>
      <c r="F17" s="33">
        <f>재료비목록표!E18</f>
        <v>0</v>
      </c>
      <c r="G17" s="54">
        <f t="shared" si="0"/>
        <v>0</v>
      </c>
      <c r="H17" s="15" t="s">
        <v>469</v>
      </c>
      <c r="J17" s="3" t="str">
        <f ca="1">HYPERLINK("#"&amp;재료비목록표!G2&amp;"!A"&amp;ROW(재료비목록표!A18),"M00227 →")</f>
        <v>M00227 →</v>
      </c>
    </row>
    <row r="18" spans="1:10" ht="21.75" customHeight="1" x14ac:dyDescent="0.3">
      <c r="A18" s="9" t="s">
        <v>361</v>
      </c>
      <c r="B18" s="10" t="s">
        <v>470</v>
      </c>
      <c r="C18" s="10" t="s">
        <v>471</v>
      </c>
      <c r="D18" s="98">
        <v>2185.44</v>
      </c>
      <c r="E18" s="32" t="s">
        <v>409</v>
      </c>
      <c r="F18" s="33">
        <f>재료비목록표!E19</f>
        <v>4418</v>
      </c>
      <c r="G18" s="54">
        <f t="shared" si="0"/>
        <v>9655274</v>
      </c>
      <c r="H18" s="15" t="s">
        <v>473</v>
      </c>
      <c r="J18" s="3" t="str">
        <f ca="1">HYPERLINK("#"&amp;재료비목록표!G2&amp;"!A"&amp;ROW(재료비목록표!A19),"M00231 →")</f>
        <v>M00231 →</v>
      </c>
    </row>
    <row r="19" spans="1:10" ht="21.75" customHeight="1" x14ac:dyDescent="0.3">
      <c r="A19" s="9" t="s">
        <v>365</v>
      </c>
      <c r="B19" s="10" t="s">
        <v>490</v>
      </c>
      <c r="C19" s="10" t="s">
        <v>491</v>
      </c>
      <c r="D19" s="98">
        <v>11</v>
      </c>
      <c r="E19" s="32" t="s">
        <v>14</v>
      </c>
      <c r="F19" s="33">
        <f>재료비목록표!E24</f>
        <v>0</v>
      </c>
      <c r="G19" s="54">
        <f t="shared" si="0"/>
        <v>0</v>
      </c>
      <c r="H19" s="15" t="s">
        <v>493</v>
      </c>
      <c r="J19" s="3" t="str">
        <f ca="1">HYPERLINK("#"&amp;재료비목록표!G2&amp;"!A"&amp;ROW(재료비목록표!A24),"M00453 →")</f>
        <v>M00453 →</v>
      </c>
    </row>
    <row r="20" spans="1:10" ht="21.75" customHeight="1" x14ac:dyDescent="0.3">
      <c r="A20" s="9" t="s">
        <v>369</v>
      </c>
      <c r="B20" s="10" t="s">
        <v>494</v>
      </c>
      <c r="C20" s="10" t="s">
        <v>445</v>
      </c>
      <c r="D20" s="98">
        <v>1.36</v>
      </c>
      <c r="E20" s="32" t="s">
        <v>495</v>
      </c>
      <c r="F20" s="33">
        <f>재료비목록표!E25</f>
        <v>0</v>
      </c>
      <c r="G20" s="54">
        <f t="shared" si="0"/>
        <v>0</v>
      </c>
      <c r="H20" s="15" t="s">
        <v>497</v>
      </c>
      <c r="J20" s="3" t="str">
        <f ca="1">HYPERLINK("#"&amp;재료비목록표!G2&amp;"!A"&amp;ROW(재료비목록표!A25),"M00488 →")</f>
        <v>M00488 →</v>
      </c>
    </row>
    <row r="21" spans="1:10" ht="21.75" customHeight="1" x14ac:dyDescent="0.3">
      <c r="A21" s="9" t="s">
        <v>374</v>
      </c>
      <c r="B21" s="10" t="s">
        <v>501</v>
      </c>
      <c r="C21" s="10"/>
      <c r="D21" s="98">
        <v>9330</v>
      </c>
      <c r="E21" s="32" t="s">
        <v>502</v>
      </c>
      <c r="F21" s="33">
        <f>재료비목록표!E27</f>
        <v>1.27</v>
      </c>
      <c r="G21" s="54">
        <f t="shared" si="0"/>
        <v>11849</v>
      </c>
      <c r="H21" s="15" t="s">
        <v>504</v>
      </c>
      <c r="J21" s="3" t="str">
        <f ca="1">HYPERLINK("#"&amp;재료비목록표!G2&amp;"!A"&amp;ROW(재료비목록표!A27),"M01054 →")</f>
        <v>M01054 →</v>
      </c>
    </row>
    <row r="22" spans="1:10" ht="21.75" customHeight="1" x14ac:dyDescent="0.3">
      <c r="A22" s="9" t="s">
        <v>378</v>
      </c>
      <c r="B22" s="10" t="s">
        <v>506</v>
      </c>
      <c r="C22" s="10"/>
      <c r="D22" s="98">
        <v>48.4</v>
      </c>
      <c r="E22" s="32" t="s">
        <v>14</v>
      </c>
      <c r="F22" s="33">
        <f>재료비목록표!E28</f>
        <v>6875</v>
      </c>
      <c r="G22" s="54">
        <f t="shared" si="0"/>
        <v>332750</v>
      </c>
      <c r="H22" s="15" t="s">
        <v>508</v>
      </c>
      <c r="J22" s="3" t="str">
        <f ca="1">HYPERLINK("#"&amp;재료비목록표!G2&amp;"!A"&amp;ROW(재료비목록표!A28),"M01150 →")</f>
        <v>M01150 →</v>
      </c>
    </row>
    <row r="23" spans="1:10" ht="21.75" customHeight="1" x14ac:dyDescent="0.3">
      <c r="A23" s="9" t="s">
        <v>383</v>
      </c>
      <c r="B23" s="10" t="s">
        <v>510</v>
      </c>
      <c r="C23" s="10" t="s">
        <v>511</v>
      </c>
      <c r="D23" s="98">
        <v>1.25</v>
      </c>
      <c r="E23" s="32" t="s">
        <v>429</v>
      </c>
      <c r="F23" s="33">
        <f>재료비목록표!E29</f>
        <v>18000</v>
      </c>
      <c r="G23" s="54">
        <f t="shared" si="0"/>
        <v>22500</v>
      </c>
      <c r="H23" s="15" t="s">
        <v>513</v>
      </c>
      <c r="J23" s="3" t="str">
        <f ca="1">HYPERLINK("#"&amp;재료비목록표!G2&amp;"!A"&amp;ROW(재료비목록표!A29),"M01225 →")</f>
        <v>M01225 →</v>
      </c>
    </row>
    <row r="24" spans="1:10" ht="21.75" customHeight="1" x14ac:dyDescent="0.3">
      <c r="A24" s="9" t="s">
        <v>388</v>
      </c>
      <c r="B24" s="10" t="s">
        <v>510</v>
      </c>
      <c r="C24" s="10" t="s">
        <v>515</v>
      </c>
      <c r="D24" s="98">
        <v>1.25</v>
      </c>
      <c r="E24" s="32" t="s">
        <v>429</v>
      </c>
      <c r="F24" s="33">
        <f>재료비목록표!E30</f>
        <v>35000</v>
      </c>
      <c r="G24" s="54">
        <f t="shared" si="0"/>
        <v>43750</v>
      </c>
      <c r="H24" s="15" t="s">
        <v>517</v>
      </c>
      <c r="J24" s="3" t="str">
        <f ca="1">HYPERLINK("#"&amp;재료비목록표!G2&amp;"!A"&amp;ROW(재료비목록표!A30),"M01226 →")</f>
        <v>M01226 →</v>
      </c>
    </row>
    <row r="25" spans="1:10" ht="21.75" customHeight="1" x14ac:dyDescent="0.3">
      <c r="A25" s="9" t="s">
        <v>392</v>
      </c>
      <c r="B25" s="10" t="s">
        <v>519</v>
      </c>
      <c r="C25" s="10" t="s">
        <v>520</v>
      </c>
      <c r="D25" s="98">
        <v>38</v>
      </c>
      <c r="E25" s="32" t="s">
        <v>256</v>
      </c>
      <c r="F25" s="33">
        <f>재료비목록표!E31</f>
        <v>227000</v>
      </c>
      <c r="G25" s="54">
        <f t="shared" si="0"/>
        <v>8626000</v>
      </c>
      <c r="H25" s="15" t="s">
        <v>522</v>
      </c>
      <c r="J25" s="3" t="str">
        <f ca="1">HYPERLINK("#"&amp;재료비목록표!G2&amp;"!A"&amp;ROW(재료비목록표!A31),"M01324 →")</f>
        <v>M01324 →</v>
      </c>
    </row>
    <row r="26" spans="1:10" ht="21.75" customHeight="1" x14ac:dyDescent="0.3">
      <c r="A26" s="9" t="s">
        <v>396</v>
      </c>
      <c r="B26" s="10" t="s">
        <v>519</v>
      </c>
      <c r="C26" s="10" t="s">
        <v>524</v>
      </c>
      <c r="D26" s="98">
        <v>4</v>
      </c>
      <c r="E26" s="32" t="s">
        <v>256</v>
      </c>
      <c r="F26" s="33">
        <f>재료비목록표!E32</f>
        <v>866000</v>
      </c>
      <c r="G26" s="54">
        <f t="shared" si="0"/>
        <v>3464000</v>
      </c>
      <c r="H26" s="15" t="s">
        <v>526</v>
      </c>
      <c r="J26" s="3" t="str">
        <f ca="1">HYPERLINK("#"&amp;재료비목록표!G2&amp;"!A"&amp;ROW(재료비목록표!A32),"M01325 →")</f>
        <v>M01325 →</v>
      </c>
    </row>
    <row r="27" spans="1:10" ht="21.75" customHeight="1" x14ac:dyDescent="0.3">
      <c r="A27" s="9" t="s">
        <v>400</v>
      </c>
      <c r="B27" s="10" t="s">
        <v>528</v>
      </c>
      <c r="C27" s="10" t="s">
        <v>529</v>
      </c>
      <c r="D27" s="98">
        <v>53.6</v>
      </c>
      <c r="E27" s="32" t="s">
        <v>414</v>
      </c>
      <c r="F27" s="33">
        <f>재료비목록표!E33</f>
        <v>1912</v>
      </c>
      <c r="G27" s="54">
        <f t="shared" si="0"/>
        <v>102483</v>
      </c>
      <c r="H27" s="15" t="s">
        <v>531</v>
      </c>
      <c r="J27" s="3" t="str">
        <f ca="1">HYPERLINK("#"&amp;재료비목록표!G2&amp;"!A"&amp;ROW(재료비목록표!A33),"M01436 →")</f>
        <v>M01436 →</v>
      </c>
    </row>
    <row r="28" spans="1:10" ht="21.75" customHeight="1" x14ac:dyDescent="0.3">
      <c r="A28" s="9" t="s">
        <v>505</v>
      </c>
      <c r="B28" s="10" t="s">
        <v>494</v>
      </c>
      <c r="C28" s="10" t="s">
        <v>538</v>
      </c>
      <c r="D28" s="98">
        <v>26</v>
      </c>
      <c r="E28" s="32" t="s">
        <v>449</v>
      </c>
      <c r="F28" s="33">
        <f>재료비목록표!E35</f>
        <v>20181</v>
      </c>
      <c r="G28" s="54">
        <f t="shared" si="0"/>
        <v>524706</v>
      </c>
      <c r="H28" s="15" t="s">
        <v>540</v>
      </c>
      <c r="J28" s="3" t="str">
        <f ca="1">HYPERLINK("#"&amp;재료비목록표!G2&amp;"!A"&amp;ROW(재료비목록표!A35),"M01514 →")</f>
        <v>M01514 →</v>
      </c>
    </row>
    <row r="29" spans="1:10" ht="21.75" customHeight="1" x14ac:dyDescent="0.3">
      <c r="A29" s="9" t="s">
        <v>509</v>
      </c>
      <c r="B29" s="10" t="s">
        <v>542</v>
      </c>
      <c r="C29" s="10" t="s">
        <v>543</v>
      </c>
      <c r="D29" s="98">
        <v>30</v>
      </c>
      <c r="E29" s="32" t="s">
        <v>449</v>
      </c>
      <c r="F29" s="33">
        <f>재료비목록표!E36</f>
        <v>15794</v>
      </c>
      <c r="G29" s="54">
        <f t="shared" si="0"/>
        <v>473820</v>
      </c>
      <c r="H29" s="15" t="s">
        <v>545</v>
      </c>
      <c r="J29" s="3" t="str">
        <f ca="1">HYPERLINK("#"&amp;재료비목록표!G2&amp;"!A"&amp;ROW(재료비목록표!A36),"M01515 →")</f>
        <v>M01515 →</v>
      </c>
    </row>
    <row r="30" spans="1:10" ht="21.75" customHeight="1" x14ac:dyDescent="0.3">
      <c r="A30" s="9" t="s">
        <v>514</v>
      </c>
      <c r="B30" s="10" t="s">
        <v>547</v>
      </c>
      <c r="C30" s="10" t="s">
        <v>543</v>
      </c>
      <c r="D30" s="98">
        <v>45</v>
      </c>
      <c r="E30" s="32" t="s">
        <v>449</v>
      </c>
      <c r="F30" s="33">
        <f>재료비목록표!E37</f>
        <v>15794</v>
      </c>
      <c r="G30" s="54">
        <f t="shared" si="0"/>
        <v>710730</v>
      </c>
      <c r="H30" s="15" t="s">
        <v>549</v>
      </c>
      <c r="J30" s="3" t="str">
        <f ca="1">HYPERLINK("#"&amp;재료비목록표!G2&amp;"!A"&amp;ROW(재료비목록표!A37),"M01516 →")</f>
        <v>M01516 →</v>
      </c>
    </row>
    <row r="31" spans="1:10" ht="21.75" customHeight="1" x14ac:dyDescent="0.3">
      <c r="A31" s="9" t="s">
        <v>518</v>
      </c>
      <c r="B31" s="10" t="s">
        <v>444</v>
      </c>
      <c r="C31" s="10" t="s">
        <v>551</v>
      </c>
      <c r="D31" s="98">
        <v>387</v>
      </c>
      <c r="E31" s="32" t="s">
        <v>290</v>
      </c>
      <c r="F31" s="33">
        <f>재료비목록표!E38</f>
        <v>4641</v>
      </c>
      <c r="G31" s="54">
        <f t="shared" si="0"/>
        <v>1796067</v>
      </c>
      <c r="H31" s="15" t="s">
        <v>553</v>
      </c>
      <c r="J31" s="3" t="str">
        <f ca="1">HYPERLINK("#"&amp;재료비목록표!G2&amp;"!A"&amp;ROW(재료비목록표!A38),"M01517 →")</f>
        <v>M01517 →</v>
      </c>
    </row>
    <row r="32" spans="1:10" ht="21.75" customHeight="1" x14ac:dyDescent="0.3">
      <c r="A32" s="9" t="s">
        <v>523</v>
      </c>
      <c r="B32" s="10" t="s">
        <v>555</v>
      </c>
      <c r="C32" s="10" t="s">
        <v>556</v>
      </c>
      <c r="D32" s="98">
        <v>0.14000000000000001</v>
      </c>
      <c r="E32" s="32" t="s">
        <v>467</v>
      </c>
      <c r="F32" s="33">
        <f>재료비목록표!E39</f>
        <v>683126</v>
      </c>
      <c r="G32" s="54">
        <f t="shared" si="0"/>
        <v>95638</v>
      </c>
      <c r="H32" s="15" t="s">
        <v>558</v>
      </c>
      <c r="J32" s="3" t="str">
        <f ca="1">HYPERLINK("#"&amp;재료비목록표!G2&amp;"!A"&amp;ROW(재료비목록표!A39),"M01518 →")</f>
        <v>M01518 →</v>
      </c>
    </row>
    <row r="33" spans="1:10" ht="21.75" customHeight="1" x14ac:dyDescent="0.3">
      <c r="A33" s="9" t="s">
        <v>527</v>
      </c>
      <c r="B33" s="10" t="s">
        <v>560</v>
      </c>
      <c r="C33" s="10" t="s">
        <v>543</v>
      </c>
      <c r="D33" s="98">
        <v>210</v>
      </c>
      <c r="E33" s="32" t="s">
        <v>295</v>
      </c>
      <c r="F33" s="33">
        <f>재료비목록표!E40</f>
        <v>32465</v>
      </c>
      <c r="G33" s="54">
        <f t="shared" si="0"/>
        <v>6817650</v>
      </c>
      <c r="H33" s="15" t="s">
        <v>562</v>
      </c>
      <c r="J33" s="3" t="str">
        <f ca="1">HYPERLINK("#"&amp;재료비목록표!G2&amp;"!A"&amp;ROW(재료비목록표!A40),"M01519 →")</f>
        <v>M01519 →</v>
      </c>
    </row>
  </sheetData>
  <mergeCells count="1">
    <mergeCell ref="A1:H1"/>
  </mergeCells>
  <phoneticPr fontId="23" type="noConversion"/>
  <hyperlinks>
    <hyperlink ref="J1" r:id="rId1" tooltip="설계예산시스템(STmate w25.07)으로 작성 하였으며,_x000a_엑셀 인쇄품질 600 dpi에 최적화 되어 있습니다._x000a_경영정보(주) http://www.stma.co.kr_x000a_Tel) 070-4350-0040_x000a_Fax) 0505-300-3948"/>
    <hyperlink ref="I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6" width="10" style="6" customWidth="1"/>
    <col min="7" max="8" width="11.5" style="6" customWidth="1"/>
    <col min="9" max="9" width="9.125" style="6" hidden="1" customWidth="1"/>
    <col min="10" max="10" width="9.125" style="18" customWidth="1"/>
    <col min="11" max="16384" width="9.125" style="6"/>
  </cols>
  <sheetData>
    <row r="1" spans="1:10" ht="24.95" customHeight="1" x14ac:dyDescent="0.3">
      <c r="A1" s="133" t="s">
        <v>2377</v>
      </c>
      <c r="B1" s="132"/>
      <c r="C1" s="132"/>
      <c r="D1" s="132"/>
      <c r="E1" s="132"/>
      <c r="F1" s="132"/>
      <c r="G1" s="132"/>
      <c r="H1" s="132"/>
      <c r="I1" s="5" t="s">
        <v>133</v>
      </c>
      <c r="J1" s="19" t="s">
        <v>133</v>
      </c>
    </row>
    <row r="2" spans="1:10" ht="21.75" customHeight="1" x14ac:dyDescent="0.3">
      <c r="A2" s="1" t="s">
        <v>1</v>
      </c>
      <c r="I2" s="20" t="str">
        <f ca="1">MID(CELL("filename",$A$1),FIND("]",CELL("filename",$A$1))+1,LEN(CELL("filename",$A$1)))</f>
        <v>노무비수량금액집계표</v>
      </c>
    </row>
    <row r="3" spans="1:10" ht="21.75" customHeight="1" x14ac:dyDescent="0.3">
      <c r="A3" s="8" t="s">
        <v>2</v>
      </c>
      <c r="B3" s="8" t="s">
        <v>3</v>
      </c>
      <c r="C3" s="8" t="s">
        <v>4</v>
      </c>
      <c r="D3" s="8" t="s">
        <v>735</v>
      </c>
      <c r="E3" s="8" t="s">
        <v>5</v>
      </c>
      <c r="F3" s="8" t="s">
        <v>406</v>
      </c>
      <c r="G3" s="8" t="s">
        <v>736</v>
      </c>
      <c r="H3" s="14" t="s">
        <v>10</v>
      </c>
      <c r="J3" s="3" t="str">
        <f>HYPERLINK("#'〓 목 차 〓'!B2","목차 →")</f>
        <v>목차 →</v>
      </c>
    </row>
    <row r="4" spans="1:10" ht="21.75" customHeight="1" x14ac:dyDescent="0.3">
      <c r="A4" s="9" t="s">
        <v>299</v>
      </c>
      <c r="B4" s="10" t="s">
        <v>564</v>
      </c>
      <c r="C4" s="10"/>
      <c r="D4" s="98">
        <v>35.68</v>
      </c>
      <c r="E4" s="32" t="s">
        <v>565</v>
      </c>
      <c r="F4" s="33">
        <f>노무비목록표!E4</f>
        <v>272831</v>
      </c>
      <c r="G4" s="54">
        <f t="shared" ref="G4:G14" si="0">ROUND(D4*F4,0)</f>
        <v>9734610</v>
      </c>
      <c r="H4" s="15" t="s">
        <v>567</v>
      </c>
      <c r="J4" s="3" t="str">
        <f ca="1">HYPERLINK("#"&amp;노무비목록표!G2&amp;"!A"&amp;ROW(노무비목록표!A4),"L00002 →")</f>
        <v>L00002 →</v>
      </c>
    </row>
    <row r="5" spans="1:10" ht="21.75" customHeight="1" x14ac:dyDescent="0.3">
      <c r="A5" s="9" t="s">
        <v>305</v>
      </c>
      <c r="B5" s="10" t="s">
        <v>568</v>
      </c>
      <c r="C5" s="10"/>
      <c r="D5" s="98">
        <v>0.32</v>
      </c>
      <c r="E5" s="32" t="s">
        <v>565</v>
      </c>
      <c r="F5" s="33">
        <f>노무비목록표!E5</f>
        <v>264104</v>
      </c>
      <c r="G5" s="54">
        <f t="shared" si="0"/>
        <v>84513</v>
      </c>
      <c r="H5" s="15" t="s">
        <v>570</v>
      </c>
      <c r="J5" s="3" t="str">
        <f ca="1">HYPERLINK("#"&amp;노무비목록표!G2&amp;"!A"&amp;ROW(노무비목록표!A5),"L00004 →")</f>
        <v>L00004 →</v>
      </c>
    </row>
    <row r="6" spans="1:10" ht="21.75" customHeight="1" x14ac:dyDescent="0.3">
      <c r="A6" s="9" t="s">
        <v>309</v>
      </c>
      <c r="B6" s="10" t="s">
        <v>571</v>
      </c>
      <c r="C6" s="10"/>
      <c r="D6" s="98">
        <v>17.84</v>
      </c>
      <c r="E6" s="32" t="s">
        <v>565</v>
      </c>
      <c r="F6" s="33">
        <f>노무비목록표!E6</f>
        <v>266246</v>
      </c>
      <c r="G6" s="54">
        <f t="shared" si="0"/>
        <v>4749829</v>
      </c>
      <c r="H6" s="15" t="s">
        <v>573</v>
      </c>
      <c r="J6" s="3" t="str">
        <f ca="1">HYPERLINK("#"&amp;노무비목록표!G2&amp;"!A"&amp;ROW(노무비목록표!A6),"L00005 →")</f>
        <v>L00005 →</v>
      </c>
    </row>
    <row r="7" spans="1:10" ht="21.75" customHeight="1" x14ac:dyDescent="0.3">
      <c r="A7" s="9" t="s">
        <v>314</v>
      </c>
      <c r="B7" s="10" t="s">
        <v>574</v>
      </c>
      <c r="C7" s="10"/>
      <c r="D7" s="98">
        <v>3.74</v>
      </c>
      <c r="E7" s="32" t="s">
        <v>565</v>
      </c>
      <c r="F7" s="33">
        <f>노무비목록표!E7</f>
        <v>266361</v>
      </c>
      <c r="G7" s="54">
        <f t="shared" si="0"/>
        <v>996190</v>
      </c>
      <c r="H7" s="15" t="s">
        <v>576</v>
      </c>
      <c r="J7" s="3" t="str">
        <f ca="1">HYPERLINK("#"&amp;노무비목록표!G2&amp;"!A"&amp;ROW(노무비목록표!A7),"L00007 →")</f>
        <v>L00007 →</v>
      </c>
    </row>
    <row r="8" spans="1:10" ht="21.75" customHeight="1" x14ac:dyDescent="0.3">
      <c r="A8" s="9" t="s">
        <v>319</v>
      </c>
      <c r="B8" s="10" t="s">
        <v>577</v>
      </c>
      <c r="C8" s="10"/>
      <c r="D8" s="98">
        <v>0.28999999999999998</v>
      </c>
      <c r="E8" s="32" t="s">
        <v>565</v>
      </c>
      <c r="F8" s="33">
        <f>노무비목록표!E8</f>
        <v>224132</v>
      </c>
      <c r="G8" s="54">
        <f t="shared" si="0"/>
        <v>64998</v>
      </c>
      <c r="H8" s="15" t="s">
        <v>579</v>
      </c>
      <c r="J8" s="3" t="str">
        <f ca="1">HYPERLINK("#"&amp;노무비목록표!G2&amp;"!A"&amp;ROW(노무비목록표!A8),"L00012 →")</f>
        <v>L00012 →</v>
      </c>
    </row>
    <row r="9" spans="1:10" ht="21.75" customHeight="1" x14ac:dyDescent="0.3">
      <c r="A9" s="9" t="s">
        <v>323</v>
      </c>
      <c r="B9" s="10" t="s">
        <v>580</v>
      </c>
      <c r="C9" s="10"/>
      <c r="D9" s="98">
        <v>0.09</v>
      </c>
      <c r="E9" s="32" t="s">
        <v>565</v>
      </c>
      <c r="F9" s="33">
        <f>노무비목록표!E9</f>
        <v>213033</v>
      </c>
      <c r="G9" s="54">
        <f t="shared" si="0"/>
        <v>19173</v>
      </c>
      <c r="H9" s="15" t="s">
        <v>582</v>
      </c>
      <c r="J9" s="3" t="str">
        <f ca="1">HYPERLINK("#"&amp;노무비목록표!G2&amp;"!A"&amp;ROW(노무비목록표!A9),"L00014 →")</f>
        <v>L00014 →</v>
      </c>
    </row>
    <row r="10" spans="1:10" ht="21.75" customHeight="1" x14ac:dyDescent="0.3">
      <c r="A10" s="9" t="s">
        <v>327</v>
      </c>
      <c r="B10" s="10" t="s">
        <v>583</v>
      </c>
      <c r="C10" s="10"/>
      <c r="D10" s="98">
        <v>24.23</v>
      </c>
      <c r="E10" s="32" t="s">
        <v>565</v>
      </c>
      <c r="F10" s="33">
        <f>노무비목록표!E10</f>
        <v>221506</v>
      </c>
      <c r="G10" s="54">
        <f t="shared" si="0"/>
        <v>5367090</v>
      </c>
      <c r="H10" s="15" t="s">
        <v>585</v>
      </c>
      <c r="J10" s="3" t="str">
        <f ca="1">HYPERLINK("#"&amp;노무비목록표!G2&amp;"!A"&amp;ROW(노무비목록표!A10),"L00015 →")</f>
        <v>L00015 →</v>
      </c>
    </row>
    <row r="11" spans="1:10" ht="21.75" customHeight="1" x14ac:dyDescent="0.3">
      <c r="A11" s="9" t="s">
        <v>331</v>
      </c>
      <c r="B11" s="10" t="s">
        <v>586</v>
      </c>
      <c r="C11" s="10"/>
      <c r="D11" s="98">
        <v>71.709999999999994</v>
      </c>
      <c r="E11" s="32" t="s">
        <v>565</v>
      </c>
      <c r="F11" s="33">
        <f>노무비목록표!E11</f>
        <v>169804</v>
      </c>
      <c r="G11" s="54">
        <f t="shared" si="0"/>
        <v>12176645</v>
      </c>
      <c r="H11" s="15" t="s">
        <v>588</v>
      </c>
      <c r="J11" s="3" t="str">
        <f ca="1">HYPERLINK("#"&amp;노무비목록표!G2&amp;"!A"&amp;ROW(노무비목록표!A11),"L00016 →")</f>
        <v>L00016 →</v>
      </c>
    </row>
    <row r="12" spans="1:10" ht="21.75" customHeight="1" x14ac:dyDescent="0.3">
      <c r="A12" s="9" t="s">
        <v>336</v>
      </c>
      <c r="B12" s="10" t="s">
        <v>589</v>
      </c>
      <c r="C12" s="10"/>
      <c r="D12" s="98">
        <v>1.05</v>
      </c>
      <c r="E12" s="32" t="s">
        <v>565</v>
      </c>
      <c r="F12" s="33">
        <f>노무비목록표!E12</f>
        <v>278326</v>
      </c>
      <c r="G12" s="54">
        <f t="shared" si="0"/>
        <v>292242</v>
      </c>
      <c r="H12" s="15" t="s">
        <v>591</v>
      </c>
      <c r="J12" s="3" t="str">
        <f ca="1">HYPERLINK("#"&amp;노무비목록표!G2&amp;"!A"&amp;ROW(노무비목록표!A12),"L00019 →")</f>
        <v>L00019 →</v>
      </c>
    </row>
    <row r="13" spans="1:10" ht="21.75" customHeight="1" x14ac:dyDescent="0.3">
      <c r="A13" s="9" t="s">
        <v>340</v>
      </c>
      <c r="B13" s="10" t="s">
        <v>592</v>
      </c>
      <c r="C13" s="10"/>
      <c r="D13" s="98">
        <v>30.14</v>
      </c>
      <c r="E13" s="32" t="s">
        <v>565</v>
      </c>
      <c r="F13" s="33">
        <f>노무비목록표!E13</f>
        <v>267989</v>
      </c>
      <c r="G13" s="54">
        <f t="shared" si="0"/>
        <v>8077188</v>
      </c>
      <c r="H13" s="15" t="s">
        <v>594</v>
      </c>
      <c r="J13" s="3" t="str">
        <f ca="1">HYPERLINK("#"&amp;노무비목록표!G2&amp;"!A"&amp;ROW(노무비목록표!A13),"L00025 →")</f>
        <v>L00025 →</v>
      </c>
    </row>
    <row r="14" spans="1:10" ht="21.75" customHeight="1" x14ac:dyDescent="0.3">
      <c r="A14" s="9" t="s">
        <v>344</v>
      </c>
      <c r="B14" s="10" t="s">
        <v>604</v>
      </c>
      <c r="C14" s="10"/>
      <c r="D14" s="98">
        <v>0.48</v>
      </c>
      <c r="E14" s="32" t="s">
        <v>565</v>
      </c>
      <c r="F14" s="33">
        <f>노무비목록표!E17</f>
        <v>250572</v>
      </c>
      <c r="G14" s="54">
        <f t="shared" si="0"/>
        <v>120275</v>
      </c>
      <c r="H14" s="15" t="s">
        <v>606</v>
      </c>
      <c r="J14" s="3" t="str">
        <f ca="1">HYPERLINK("#"&amp;노무비목록표!G2&amp;"!A"&amp;ROW(노무비목록표!A17),"L00061 →")</f>
        <v>L00061 →</v>
      </c>
    </row>
  </sheetData>
  <mergeCells count="1">
    <mergeCell ref="A1:H1"/>
  </mergeCells>
  <phoneticPr fontId="23" type="noConversion"/>
  <hyperlinks>
    <hyperlink ref="J1" r:id="rId1" tooltip="설계예산시스템(STmate w25.07)으로 작성 하였으며,_x000a_엑셀 인쇄품질 600 dpi에 최적화 되어 있습니다._x000a_경영정보(주) http://www.stma.co.kr_x000a_Tel) 070-4350-0040_x000a_Fax) 0505-300-3948"/>
    <hyperlink ref="I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6" width="10" style="6" customWidth="1"/>
    <col min="7" max="8" width="11.5" style="6" customWidth="1"/>
    <col min="9" max="9" width="9.125" style="6" hidden="1" customWidth="1"/>
    <col min="10" max="10" width="9.125" style="18" customWidth="1"/>
    <col min="11" max="16384" width="9.125" style="6"/>
  </cols>
  <sheetData>
    <row r="1" spans="1:10" ht="24.95" customHeight="1" x14ac:dyDescent="0.3">
      <c r="A1" s="133" t="s">
        <v>2378</v>
      </c>
      <c r="B1" s="132"/>
      <c r="C1" s="132"/>
      <c r="D1" s="132"/>
      <c r="E1" s="132"/>
      <c r="F1" s="132"/>
      <c r="G1" s="132"/>
      <c r="H1" s="132"/>
      <c r="I1" s="5" t="s">
        <v>133</v>
      </c>
      <c r="J1" s="19" t="s">
        <v>133</v>
      </c>
    </row>
    <row r="2" spans="1:10" ht="21.75" customHeight="1" x14ac:dyDescent="0.3">
      <c r="A2" s="1" t="s">
        <v>1</v>
      </c>
      <c r="I2" s="20" t="str">
        <f ca="1">MID(CELL("filename",$A$1),FIND("]",CELL("filename",$A$1))+1,LEN(CELL("filename",$A$1)))</f>
        <v>경비수량금액집계표</v>
      </c>
    </row>
    <row r="3" spans="1:10" ht="21.75" customHeight="1" x14ac:dyDescent="0.3">
      <c r="A3" s="8" t="s">
        <v>2</v>
      </c>
      <c r="B3" s="8" t="s">
        <v>3</v>
      </c>
      <c r="C3" s="8" t="s">
        <v>4</v>
      </c>
      <c r="D3" s="8" t="s">
        <v>735</v>
      </c>
      <c r="E3" s="8" t="s">
        <v>5</v>
      </c>
      <c r="F3" s="8" t="s">
        <v>406</v>
      </c>
      <c r="G3" s="8" t="s">
        <v>736</v>
      </c>
      <c r="H3" s="14" t="s">
        <v>10</v>
      </c>
      <c r="J3" s="3" t="str">
        <f>HYPERLINK("#'〓 목 차 〓'!B2","목차 →")</f>
        <v>목차 →</v>
      </c>
    </row>
    <row r="4" spans="1:10" ht="21.75" customHeight="1" x14ac:dyDescent="0.3">
      <c r="A4" s="9" t="s">
        <v>299</v>
      </c>
      <c r="B4" s="10" t="s">
        <v>619</v>
      </c>
      <c r="C4" s="10"/>
      <c r="D4" s="98">
        <v>0.06</v>
      </c>
      <c r="E4" s="32" t="s">
        <v>608</v>
      </c>
      <c r="F4" s="33">
        <f>경비목록표!E9</f>
        <v>200</v>
      </c>
      <c r="G4" s="54">
        <f>ROUND(D4*F4,0)</f>
        <v>12</v>
      </c>
      <c r="H4" s="15" t="s">
        <v>621</v>
      </c>
      <c r="J4" s="3" t="str">
        <f ca="1">HYPERLINK("#"&amp;경비목록표!G2&amp;"!A"&amp;ROW(경비목록표!A9),"S00051 →")</f>
        <v>S00051 →</v>
      </c>
    </row>
    <row r="5" spans="1:10" ht="21.75" customHeight="1" x14ac:dyDescent="0.3">
      <c r="A5" s="9" t="s">
        <v>305</v>
      </c>
      <c r="B5" s="10" t="s">
        <v>633</v>
      </c>
      <c r="C5" s="10" t="s">
        <v>320</v>
      </c>
      <c r="D5" s="98">
        <v>2764.86</v>
      </c>
      <c r="E5" s="32" t="s">
        <v>608</v>
      </c>
      <c r="F5" s="33">
        <f>경비목록표!E15</f>
        <v>223</v>
      </c>
      <c r="G5" s="54">
        <f>ROUND(D5*F5,0)</f>
        <v>616564</v>
      </c>
      <c r="H5" s="15" t="s">
        <v>635</v>
      </c>
      <c r="J5" s="3" t="str">
        <f ca="1">HYPERLINK("#"&amp;경비목록표!G2&amp;"!A"&amp;ROW(경비목록표!A15),"S00174 →")</f>
        <v>S00174 →</v>
      </c>
    </row>
  </sheetData>
  <mergeCells count="1">
    <mergeCell ref="A1:H1"/>
  </mergeCells>
  <phoneticPr fontId="23" type="noConversion"/>
  <hyperlinks>
    <hyperlink ref="J1" r:id="rId1" tooltip="설계예산시스템(STmate w25.07)으로 작성 하였으며,_x000a_엑셀 인쇄품질 600 dpi에 최적화 되어 있습니다._x000a_경영정보(주) http://www.stma.co.kr_x000a_Tel) 070-4350-0040_x000a_Fax) 0505-300-3948"/>
    <hyperlink ref="I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6" width="10" style="6" customWidth="1"/>
    <col min="7" max="8" width="11.5" style="6" customWidth="1"/>
    <col min="9" max="9" width="9.125" style="6" hidden="1" customWidth="1"/>
    <col min="10" max="10" width="9.125" style="18" customWidth="1"/>
    <col min="11" max="16384" width="9.125" style="6"/>
  </cols>
  <sheetData>
    <row r="1" spans="1:10" ht="24.95" customHeight="1" x14ac:dyDescent="0.3">
      <c r="A1" s="133" t="s">
        <v>2379</v>
      </c>
      <c r="B1" s="132"/>
      <c r="C1" s="132"/>
      <c r="D1" s="132"/>
      <c r="E1" s="132"/>
      <c r="F1" s="132"/>
      <c r="G1" s="132"/>
      <c r="H1" s="132"/>
      <c r="I1" s="5" t="s">
        <v>133</v>
      </c>
      <c r="J1" s="19" t="s">
        <v>133</v>
      </c>
    </row>
    <row r="2" spans="1:10" ht="21.75" customHeight="1" x14ac:dyDescent="0.3">
      <c r="A2" s="1" t="s">
        <v>1</v>
      </c>
      <c r="I2" s="20" t="str">
        <f ca="1">MID(CELL("filename",$A$1),FIND("]",CELL("filename",$A$1))+1,LEN(CELL("filename",$A$1)))</f>
        <v>일식견적수량금액집계표</v>
      </c>
    </row>
    <row r="3" spans="1:10" ht="21.75" customHeight="1" x14ac:dyDescent="0.3">
      <c r="A3" s="8" t="s">
        <v>2</v>
      </c>
      <c r="B3" s="8" t="s">
        <v>3</v>
      </c>
      <c r="C3" s="8" t="s">
        <v>4</v>
      </c>
      <c r="D3" s="8" t="s">
        <v>735</v>
      </c>
      <c r="E3" s="8" t="s">
        <v>5</v>
      </c>
      <c r="F3" s="8" t="s">
        <v>406</v>
      </c>
      <c r="G3" s="8" t="s">
        <v>736</v>
      </c>
      <c r="H3" s="14" t="s">
        <v>10</v>
      </c>
      <c r="J3" s="3" t="str">
        <f>HYPERLINK("#'〓 목 차 〓'!B2","목차 →")</f>
        <v>목차 →</v>
      </c>
    </row>
    <row r="4" spans="1:10" ht="21.75" customHeight="1" x14ac:dyDescent="0.3">
      <c r="A4" s="9" t="s">
        <v>299</v>
      </c>
      <c r="B4" s="10" t="s">
        <v>666</v>
      </c>
      <c r="C4" s="10" t="s">
        <v>667</v>
      </c>
      <c r="D4" s="98">
        <v>61</v>
      </c>
      <c r="E4" s="32" t="s">
        <v>467</v>
      </c>
      <c r="F4" s="33">
        <f>일식견적목록표!E4</f>
        <v>28516</v>
      </c>
      <c r="G4" s="54">
        <f>ROUND(D4*F4,0)</f>
        <v>1739476</v>
      </c>
      <c r="H4" s="15" t="s">
        <v>668</v>
      </c>
      <c r="J4" s="3" t="str">
        <f ca="1">HYPERLINK("#"&amp;일식견적목록표!J2&amp;"!A"&amp;ROW(일식견적목록표!A4),"W00045 →")</f>
        <v>W00045 →</v>
      </c>
    </row>
    <row r="5" spans="1:10" ht="21.75" customHeight="1" x14ac:dyDescent="0.3">
      <c r="A5" s="9" t="s">
        <v>305</v>
      </c>
      <c r="B5" s="10" t="s">
        <v>670</v>
      </c>
      <c r="C5" s="10" t="s">
        <v>671</v>
      </c>
      <c r="D5" s="98">
        <v>61</v>
      </c>
      <c r="E5" s="32" t="s">
        <v>467</v>
      </c>
      <c r="F5" s="33">
        <f>일식견적목록표!E5</f>
        <v>19510</v>
      </c>
      <c r="G5" s="54">
        <f>ROUND(D5*F5,0)</f>
        <v>1190110</v>
      </c>
      <c r="H5" s="15" t="s">
        <v>672</v>
      </c>
      <c r="J5" s="3" t="str">
        <f ca="1">HYPERLINK("#"&amp;일식견적목록표!J2&amp;"!A"&amp;ROW(일식견적목록표!A5),"W00046 →")</f>
        <v>W00046 →</v>
      </c>
    </row>
    <row r="6" spans="1:10" ht="21.75" customHeight="1" x14ac:dyDescent="0.3">
      <c r="A6" s="9" t="s">
        <v>309</v>
      </c>
      <c r="B6" s="10" t="s">
        <v>490</v>
      </c>
      <c r="C6" s="10" t="s">
        <v>674</v>
      </c>
      <c r="D6" s="98">
        <v>182</v>
      </c>
      <c r="E6" s="32" t="s">
        <v>14</v>
      </c>
      <c r="F6" s="33">
        <f>일식견적목록표!E6</f>
        <v>0</v>
      </c>
      <c r="G6" s="54">
        <f>ROUND(D6*F6,0)</f>
        <v>0</v>
      </c>
      <c r="H6" s="15" t="s">
        <v>675</v>
      </c>
      <c r="J6" s="3" t="str">
        <f ca="1">HYPERLINK("#"&amp;일식견적목록표!J2&amp;"!A"&amp;ROW(일식견적목록표!A6),"W01835 →")</f>
        <v>W01835 →</v>
      </c>
    </row>
    <row r="7" spans="1:10" ht="21.75" customHeight="1" x14ac:dyDescent="0.3">
      <c r="A7" s="9" t="s">
        <v>314</v>
      </c>
      <c r="B7" s="10" t="s">
        <v>490</v>
      </c>
      <c r="C7" s="10" t="s">
        <v>674</v>
      </c>
      <c r="D7" s="98">
        <v>17.100000000000001</v>
      </c>
      <c r="E7" s="32" t="s">
        <v>677</v>
      </c>
      <c r="F7" s="33">
        <f>일식견적목록표!E7</f>
        <v>0</v>
      </c>
      <c r="G7" s="54">
        <f>ROUND(D7*F7,0)</f>
        <v>0</v>
      </c>
      <c r="H7" s="15" t="s">
        <v>678</v>
      </c>
      <c r="J7" s="3" t="str">
        <f ca="1">HYPERLINK("#"&amp;일식견적목록표!J2&amp;"!A"&amp;ROW(일식견적목록표!A7),"W02335 →")</f>
        <v>W02335 →</v>
      </c>
    </row>
    <row r="8" spans="1:10" ht="21.75" customHeight="1" x14ac:dyDescent="0.3">
      <c r="A8" s="9" t="s">
        <v>319</v>
      </c>
      <c r="B8" s="10" t="s">
        <v>680</v>
      </c>
      <c r="C8" s="10"/>
      <c r="D8" s="98">
        <v>486</v>
      </c>
      <c r="E8" s="32" t="s">
        <v>26</v>
      </c>
      <c r="F8" s="33">
        <f>일식견적목록표!E8</f>
        <v>0</v>
      </c>
      <c r="G8" s="54">
        <f>ROUND(D8*F8,0)</f>
        <v>0</v>
      </c>
      <c r="H8" s="15" t="s">
        <v>681</v>
      </c>
      <c r="J8" s="3" t="str">
        <f ca="1">HYPERLINK("#"&amp;일식견적목록표!J2&amp;"!A"&amp;ROW(일식견적목록표!A8),"W02336 →")</f>
        <v>W02336 →</v>
      </c>
    </row>
  </sheetData>
  <mergeCells count="1">
    <mergeCell ref="A1:H1"/>
  </mergeCells>
  <phoneticPr fontId="23" type="noConversion"/>
  <hyperlinks>
    <hyperlink ref="J1" r:id="rId1" tooltip="설계예산시스템(STmate w25.07)으로 작성 하였으며,_x000a_엑셀 인쇄품질 600 dpi에 최적화 되어 있습니다._x000a_경영정보(주) http://www.stma.co.kr_x000a_Tel) 070-4350-0040_x000a_Fax) 0505-300-3948"/>
    <hyperlink ref="I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9" width="13" style="6" customWidth="1"/>
    <col min="10" max="10" width="10" style="6" customWidth="1"/>
    <col min="11" max="11" width="9.125" style="6" hidden="1" customWidth="1"/>
    <col min="12" max="12" width="9.125" style="18" customWidth="1"/>
    <col min="13" max="16384" width="9.125" style="6"/>
  </cols>
  <sheetData>
    <row r="1" spans="1:12" ht="24.95" customHeight="1" x14ac:dyDescent="0.3">
      <c r="A1" s="133" t="s">
        <v>2380</v>
      </c>
      <c r="B1" s="132"/>
      <c r="C1" s="132"/>
      <c r="D1" s="132"/>
      <c r="E1" s="132"/>
      <c r="F1" s="132"/>
      <c r="G1" s="132"/>
      <c r="H1" s="132"/>
      <c r="I1" s="132"/>
      <c r="J1" s="132"/>
      <c r="K1" s="5" t="s">
        <v>133</v>
      </c>
      <c r="L1" s="19" t="s">
        <v>133</v>
      </c>
    </row>
    <row r="2" spans="1:12" ht="24.95" customHeight="1" x14ac:dyDescent="0.3">
      <c r="A2" s="1" t="s">
        <v>1</v>
      </c>
      <c r="K2" s="20" t="str">
        <f ca="1">MID(CELL("filename",$A$1),FIND("]",CELL("filename",$A$1))+1,LEN(CELL("filename",$A$1)))</f>
        <v>중기시간금액집계표</v>
      </c>
    </row>
    <row r="3" spans="1:12" ht="24.95" customHeight="1" x14ac:dyDescent="0.3">
      <c r="A3" s="8" t="s">
        <v>2</v>
      </c>
      <c r="B3" s="8" t="s">
        <v>3</v>
      </c>
      <c r="C3" s="8" t="s">
        <v>4</v>
      </c>
      <c r="D3" s="8" t="s">
        <v>735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4" t="s">
        <v>10</v>
      </c>
      <c r="L3" s="3" t="str">
        <f>HYPERLINK("#'〓 목 차 〓'!B2","목차 →")</f>
        <v>목차 →</v>
      </c>
    </row>
    <row r="4" spans="1:12" ht="24.95" customHeight="1" x14ac:dyDescent="0.3">
      <c r="A4" s="9" t="s">
        <v>299</v>
      </c>
      <c r="B4" s="10" t="s">
        <v>300</v>
      </c>
      <c r="C4" s="10" t="s">
        <v>301</v>
      </c>
      <c r="D4" s="98">
        <v>0.5</v>
      </c>
      <c r="E4" s="32" t="s">
        <v>302</v>
      </c>
      <c r="F4" s="54">
        <f t="shared" ref="F4:F22" si="0">H4+G4+I4</f>
        <v>34063</v>
      </c>
      <c r="G4" s="52">
        <f>ROUND(D4*중기목록표!F4,0)</f>
        <v>24740</v>
      </c>
      <c r="H4" s="64">
        <f>ROUND(D4*중기목록표!G4,0)</f>
        <v>4159</v>
      </c>
      <c r="I4" s="54">
        <f>ROUND(D4*중기목록표!H4,0)</f>
        <v>5164</v>
      </c>
      <c r="J4" s="15" t="s">
        <v>303</v>
      </c>
      <c r="L4" s="3" t="str">
        <f ca="1">HYPERLINK("#"&amp;중기목록표!J2&amp;"!A"&amp;ROW(중기목록표!A4),"X00002 →")</f>
        <v>X00002 →</v>
      </c>
    </row>
    <row r="5" spans="1:12" ht="24.95" customHeight="1" x14ac:dyDescent="0.3">
      <c r="A5" s="9" t="s">
        <v>305</v>
      </c>
      <c r="B5" s="10" t="s">
        <v>306</v>
      </c>
      <c r="C5" s="10"/>
      <c r="D5" s="98">
        <v>460.81</v>
      </c>
      <c r="E5" s="32" t="s">
        <v>302</v>
      </c>
      <c r="F5" s="54">
        <f t="shared" si="0"/>
        <v>50903377</v>
      </c>
      <c r="G5" s="52">
        <f>ROUND(D5*중기목록표!F5,0)</f>
        <v>26301652</v>
      </c>
      <c r="H5" s="64">
        <f>ROUND(D5*중기목록표!G5,0)</f>
        <v>8426372</v>
      </c>
      <c r="I5" s="54">
        <f>ROUND(D5*중기목록표!H5,0)</f>
        <v>16175353</v>
      </c>
      <c r="J5" s="15" t="s">
        <v>307</v>
      </c>
      <c r="L5" s="3" t="str">
        <f ca="1">HYPERLINK("#"&amp;중기목록표!J2&amp;"!A"&amp;ROW(중기목록표!A5),"X00004 →")</f>
        <v>X00004 →</v>
      </c>
    </row>
    <row r="6" spans="1:12" ht="24.95" customHeight="1" x14ac:dyDescent="0.3">
      <c r="A6" s="9" t="s">
        <v>309</v>
      </c>
      <c r="B6" s="10" t="s">
        <v>310</v>
      </c>
      <c r="C6" s="10" t="s">
        <v>311</v>
      </c>
      <c r="D6" s="98">
        <v>8.6300000000000008</v>
      </c>
      <c r="E6" s="32" t="s">
        <v>302</v>
      </c>
      <c r="F6" s="54">
        <f t="shared" si="0"/>
        <v>1128597</v>
      </c>
      <c r="G6" s="52">
        <f>ROUND(D6*중기목록표!F6,0)</f>
        <v>492575</v>
      </c>
      <c r="H6" s="64">
        <f>ROUND(D6*중기목록표!G6,0)</f>
        <v>340117</v>
      </c>
      <c r="I6" s="54">
        <f>ROUND(D6*중기목록표!H6,0)</f>
        <v>295905</v>
      </c>
      <c r="J6" s="15" t="s">
        <v>312</v>
      </c>
      <c r="L6" s="3" t="str">
        <f ca="1">HYPERLINK("#"&amp;중기목록표!J2&amp;"!A"&amp;ROW(중기목록표!A6),"X00008 →")</f>
        <v>X00008 →</v>
      </c>
    </row>
    <row r="7" spans="1:12" ht="24.95" customHeight="1" x14ac:dyDescent="0.3">
      <c r="A7" s="9" t="s">
        <v>314</v>
      </c>
      <c r="B7" s="10" t="s">
        <v>315</v>
      </c>
      <c r="C7" s="10" t="s">
        <v>316</v>
      </c>
      <c r="D7" s="98">
        <v>2.21</v>
      </c>
      <c r="E7" s="32" t="s">
        <v>302</v>
      </c>
      <c r="F7" s="54">
        <f t="shared" si="0"/>
        <v>200487</v>
      </c>
      <c r="G7" s="52">
        <f>ROUND(D7*중기목록표!F7,0)</f>
        <v>126140</v>
      </c>
      <c r="H7" s="64">
        <f>ROUND(D7*중기목록표!G7,0)</f>
        <v>36275</v>
      </c>
      <c r="I7" s="54">
        <f>ROUND(D7*중기목록표!H7,0)</f>
        <v>38072</v>
      </c>
      <c r="J7" s="15" t="s">
        <v>317</v>
      </c>
      <c r="L7" s="3" t="str">
        <f ca="1">HYPERLINK("#"&amp;중기목록표!J2&amp;"!A"&amp;ROW(중기목록표!A7),"X00021 →")</f>
        <v>X00021 →</v>
      </c>
    </row>
    <row r="8" spans="1:12" ht="24.95" customHeight="1" x14ac:dyDescent="0.3">
      <c r="A8" s="9" t="s">
        <v>319</v>
      </c>
      <c r="B8" s="10" t="s">
        <v>315</v>
      </c>
      <c r="C8" s="10" t="s">
        <v>320</v>
      </c>
      <c r="D8" s="98">
        <v>142.80000000000001</v>
      </c>
      <c r="E8" s="32" t="s">
        <v>302</v>
      </c>
      <c r="F8" s="54">
        <f t="shared" si="0"/>
        <v>14324269</v>
      </c>
      <c r="G8" s="52">
        <f>ROUND(D8*중기목록표!F8,0)</f>
        <v>8150596</v>
      </c>
      <c r="H8" s="64">
        <f>ROUND(D8*중기목록표!G8,0)</f>
        <v>2746330</v>
      </c>
      <c r="I8" s="54">
        <f>ROUND(D8*중기목록표!H8,0)</f>
        <v>3427343</v>
      </c>
      <c r="J8" s="15" t="s">
        <v>321</v>
      </c>
      <c r="L8" s="3" t="str">
        <f ca="1">HYPERLINK("#"&amp;중기목록표!J2&amp;"!A"&amp;ROW(중기목록표!A8),"X00022 →")</f>
        <v>X00022 →</v>
      </c>
    </row>
    <row r="9" spans="1:12" ht="24.95" customHeight="1" x14ac:dyDescent="0.3">
      <c r="A9" s="9" t="s">
        <v>323</v>
      </c>
      <c r="B9" s="10" t="s">
        <v>324</v>
      </c>
      <c r="C9" s="10" t="s">
        <v>320</v>
      </c>
      <c r="D9" s="98">
        <v>5.87</v>
      </c>
      <c r="E9" s="32" t="s">
        <v>302</v>
      </c>
      <c r="F9" s="54">
        <f t="shared" si="0"/>
        <v>65157</v>
      </c>
      <c r="G9" s="52">
        <f>ROUND(D9*중기목록표!F9,0)</f>
        <v>0</v>
      </c>
      <c r="H9" s="64">
        <f>ROUND(D9*중기목록표!G9,0)</f>
        <v>0</v>
      </c>
      <c r="I9" s="54">
        <f>ROUND(D9*중기목록표!H9,0)</f>
        <v>65157</v>
      </c>
      <c r="J9" s="15" t="s">
        <v>325</v>
      </c>
      <c r="L9" s="3" t="str">
        <f ca="1">HYPERLINK("#"&amp;중기목록표!J2&amp;"!A"&amp;ROW(중기목록표!A9),"X00029 →")</f>
        <v>X00029 →</v>
      </c>
    </row>
    <row r="10" spans="1:12" ht="24.95" customHeight="1" x14ac:dyDescent="0.3">
      <c r="A10" s="9" t="s">
        <v>327</v>
      </c>
      <c r="B10" s="10" t="s">
        <v>328</v>
      </c>
      <c r="C10" s="10" t="s">
        <v>320</v>
      </c>
      <c r="D10" s="98">
        <v>7.82</v>
      </c>
      <c r="E10" s="32" t="s">
        <v>302</v>
      </c>
      <c r="F10" s="54">
        <f t="shared" si="0"/>
        <v>28426</v>
      </c>
      <c r="G10" s="52">
        <f>ROUND(D10*중기목록표!F10,0)</f>
        <v>0</v>
      </c>
      <c r="H10" s="64">
        <f>ROUND(D10*중기목록표!G10,0)</f>
        <v>0</v>
      </c>
      <c r="I10" s="54">
        <f>ROUND(D10*중기목록표!H10,0)</f>
        <v>28426</v>
      </c>
      <c r="J10" s="15" t="s">
        <v>329</v>
      </c>
      <c r="L10" s="3" t="str">
        <f ca="1">HYPERLINK("#"&amp;중기목록표!J2&amp;"!A"&amp;ROW(중기목록표!A10),"X00032 →")</f>
        <v>X00032 →</v>
      </c>
    </row>
    <row r="11" spans="1:12" ht="24.95" customHeight="1" x14ac:dyDescent="0.3">
      <c r="A11" s="9" t="s">
        <v>331</v>
      </c>
      <c r="B11" s="10" t="s">
        <v>332</v>
      </c>
      <c r="C11" s="10" t="s">
        <v>333</v>
      </c>
      <c r="D11" s="98">
        <v>0.3</v>
      </c>
      <c r="E11" s="32" t="s">
        <v>302</v>
      </c>
      <c r="F11" s="54">
        <f t="shared" si="0"/>
        <v>18395</v>
      </c>
      <c r="G11" s="52">
        <f>ROUND(D11*중기목록표!F11,0)</f>
        <v>14844</v>
      </c>
      <c r="H11" s="64">
        <f>ROUND(D11*중기목록표!G11,0)</f>
        <v>1631</v>
      </c>
      <c r="I11" s="54">
        <f>ROUND(D11*중기목록표!H11,0)</f>
        <v>1920</v>
      </c>
      <c r="J11" s="15" t="s">
        <v>334</v>
      </c>
      <c r="L11" s="3" t="str">
        <f ca="1">HYPERLINK("#"&amp;중기목록표!J2&amp;"!A"&amp;ROW(중기목록표!A11),"X00060 →")</f>
        <v>X00060 →</v>
      </c>
    </row>
    <row r="12" spans="1:12" ht="24.95" customHeight="1" x14ac:dyDescent="0.3">
      <c r="A12" s="9" t="s">
        <v>336</v>
      </c>
      <c r="B12" s="10" t="s">
        <v>332</v>
      </c>
      <c r="C12" s="10" t="s">
        <v>345</v>
      </c>
      <c r="D12" s="98">
        <v>115.04</v>
      </c>
      <c r="E12" s="32" t="s">
        <v>302</v>
      </c>
      <c r="F12" s="54">
        <f t="shared" si="0"/>
        <v>12329067</v>
      </c>
      <c r="G12" s="52">
        <f>ROUND(D12*중기목록표!F14,0)</f>
        <v>6566138</v>
      </c>
      <c r="H12" s="64">
        <f>ROUND(D12*중기목록표!G14,0)</f>
        <v>3430378</v>
      </c>
      <c r="I12" s="54">
        <f>ROUND(D12*중기목록표!H14,0)</f>
        <v>2332551</v>
      </c>
      <c r="J12" s="15" t="s">
        <v>346</v>
      </c>
      <c r="L12" s="3" t="str">
        <f ca="1">HYPERLINK("#"&amp;중기목록표!J2&amp;"!A"&amp;ROW(중기목록표!A14),"X00064 →")</f>
        <v>X00064 →</v>
      </c>
    </row>
    <row r="13" spans="1:12" ht="24.95" customHeight="1" x14ac:dyDescent="0.3">
      <c r="A13" s="9" t="s">
        <v>340</v>
      </c>
      <c r="B13" s="10" t="s">
        <v>315</v>
      </c>
      <c r="C13" s="10" t="s">
        <v>354</v>
      </c>
      <c r="D13" s="98">
        <v>0.04</v>
      </c>
      <c r="E13" s="32" t="s">
        <v>302</v>
      </c>
      <c r="F13" s="54">
        <f t="shared" si="0"/>
        <v>3230</v>
      </c>
      <c r="G13" s="52">
        <f>ROUND(D13*중기목록표!F16,0)</f>
        <v>2283</v>
      </c>
      <c r="H13" s="64">
        <f>ROUND(D13*중기목록표!G16,0)</f>
        <v>329</v>
      </c>
      <c r="I13" s="54">
        <f>ROUND(D13*중기목록표!H16,0)</f>
        <v>618</v>
      </c>
      <c r="J13" s="15" t="s">
        <v>355</v>
      </c>
      <c r="L13" s="3" t="str">
        <f ca="1">HYPERLINK("#"&amp;중기목록표!J2&amp;"!A"&amp;ROW(중기목록표!A16),"X00268 →")</f>
        <v>X00268 →</v>
      </c>
    </row>
    <row r="14" spans="1:12" ht="24.95" customHeight="1" x14ac:dyDescent="0.3">
      <c r="A14" s="9" t="s">
        <v>344</v>
      </c>
      <c r="B14" s="10" t="s">
        <v>315</v>
      </c>
      <c r="C14" s="10" t="s">
        <v>358</v>
      </c>
      <c r="D14" s="98">
        <v>61.7</v>
      </c>
      <c r="E14" s="32" t="s">
        <v>302</v>
      </c>
      <c r="F14" s="54">
        <f t="shared" si="0"/>
        <v>6416430</v>
      </c>
      <c r="G14" s="52">
        <f>ROUND(D14*중기목록표!F17,0)</f>
        <v>3521651</v>
      </c>
      <c r="H14" s="64">
        <f>ROUND(D14*중기목록표!G17,0)</f>
        <v>1186614</v>
      </c>
      <c r="I14" s="54">
        <f>ROUND(D14*중기목록표!H17,0)</f>
        <v>1708165</v>
      </c>
      <c r="J14" s="15" t="s">
        <v>359</v>
      </c>
      <c r="L14" s="3" t="str">
        <f ca="1">HYPERLINK("#"&amp;중기목록표!J2&amp;"!A"&amp;ROW(중기목록표!A17),"X00270 →")</f>
        <v>X00270 →</v>
      </c>
    </row>
    <row r="15" spans="1:12" ht="24.95" customHeight="1" x14ac:dyDescent="0.3">
      <c r="A15" s="9" t="s">
        <v>348</v>
      </c>
      <c r="B15" s="10" t="s">
        <v>332</v>
      </c>
      <c r="C15" s="10" t="s">
        <v>362</v>
      </c>
      <c r="D15" s="98">
        <v>0.25</v>
      </c>
      <c r="E15" s="32" t="s">
        <v>302</v>
      </c>
      <c r="F15" s="54">
        <f t="shared" si="0"/>
        <v>15635</v>
      </c>
      <c r="G15" s="52">
        <f>ROUND(D15*중기목록표!F18,0)</f>
        <v>12370</v>
      </c>
      <c r="H15" s="64">
        <f>ROUND(D15*중기목록표!G18,0)</f>
        <v>1360</v>
      </c>
      <c r="I15" s="54">
        <f>ROUND(D15*중기목록표!H18,0)</f>
        <v>1905</v>
      </c>
      <c r="J15" s="15" t="s">
        <v>363</v>
      </c>
      <c r="L15" s="3" t="str">
        <f ca="1">HYPERLINK("#"&amp;중기목록표!J2&amp;"!A"&amp;ROW(중기목록표!A18),"X00272 →")</f>
        <v>X00272 →</v>
      </c>
    </row>
    <row r="16" spans="1:12" ht="24.95" customHeight="1" x14ac:dyDescent="0.3">
      <c r="A16" s="9" t="s">
        <v>353</v>
      </c>
      <c r="B16" s="10" t="s">
        <v>332</v>
      </c>
      <c r="C16" s="10" t="s">
        <v>366</v>
      </c>
      <c r="D16" s="98">
        <v>9.82</v>
      </c>
      <c r="E16" s="32" t="s">
        <v>302</v>
      </c>
      <c r="F16" s="54">
        <f t="shared" si="0"/>
        <v>1087379</v>
      </c>
      <c r="G16" s="52">
        <f>ROUND(D16*중기목록표!F19,0)</f>
        <v>560496</v>
      </c>
      <c r="H16" s="64">
        <f>ROUND(D16*중기목록표!G19,0)</f>
        <v>292823</v>
      </c>
      <c r="I16" s="54">
        <f>ROUND(D16*중기목록표!H19,0)</f>
        <v>234060</v>
      </c>
      <c r="J16" s="15" t="s">
        <v>367</v>
      </c>
      <c r="L16" s="3" t="str">
        <f ca="1">HYPERLINK("#"&amp;중기목록표!J2&amp;"!A"&amp;ROW(중기목록표!A19),"X00275 →")</f>
        <v>X00275 →</v>
      </c>
    </row>
    <row r="17" spans="1:12" ht="24.95" customHeight="1" x14ac:dyDescent="0.3">
      <c r="A17" s="9" t="s">
        <v>357</v>
      </c>
      <c r="B17" s="10" t="s">
        <v>370</v>
      </c>
      <c r="C17" s="10" t="s">
        <v>371</v>
      </c>
      <c r="D17" s="98">
        <v>55.47</v>
      </c>
      <c r="E17" s="32" t="s">
        <v>302</v>
      </c>
      <c r="F17" s="54">
        <f t="shared" si="0"/>
        <v>5718236</v>
      </c>
      <c r="G17" s="52">
        <f>ROUND(D17*중기목록표!F20,0)</f>
        <v>3166061</v>
      </c>
      <c r="H17" s="64">
        <f>ROUND(D17*중기목록표!G20,0)</f>
        <v>1084272</v>
      </c>
      <c r="I17" s="54">
        <f>ROUND(D17*중기목록표!H20,0)</f>
        <v>1467903</v>
      </c>
      <c r="J17" s="15" t="s">
        <v>372</v>
      </c>
      <c r="L17" s="3" t="str">
        <f ca="1">HYPERLINK("#"&amp;중기목록표!J2&amp;"!A"&amp;ROW(중기목록표!A20),"X00283 →")</f>
        <v>X00283 →</v>
      </c>
    </row>
    <row r="18" spans="1:12" ht="24.95" customHeight="1" x14ac:dyDescent="0.3">
      <c r="A18" s="9" t="s">
        <v>361</v>
      </c>
      <c r="B18" s="10" t="s">
        <v>379</v>
      </c>
      <c r="C18" s="10" t="s">
        <v>380</v>
      </c>
      <c r="D18" s="98">
        <v>5.48</v>
      </c>
      <c r="E18" s="32" t="s">
        <v>302</v>
      </c>
      <c r="F18" s="54">
        <f t="shared" si="0"/>
        <v>237607</v>
      </c>
      <c r="G18" s="52">
        <f>ROUND(D18*중기목록표!F22,0)</f>
        <v>195132</v>
      </c>
      <c r="H18" s="64">
        <f>ROUND(D18*중기목록표!G22,0)</f>
        <v>33088</v>
      </c>
      <c r="I18" s="54">
        <f>ROUND(D18*중기목록표!H22,0)</f>
        <v>9387</v>
      </c>
      <c r="J18" s="15" t="s">
        <v>381</v>
      </c>
      <c r="L18" s="3" t="str">
        <f ca="1">HYPERLINK("#"&amp;중기목록표!J2&amp;"!A"&amp;ROW(중기목록표!A22),"X00350 →")</f>
        <v>X00350 →</v>
      </c>
    </row>
    <row r="19" spans="1:12" ht="24.95" customHeight="1" x14ac:dyDescent="0.3">
      <c r="A19" s="9" t="s">
        <v>365</v>
      </c>
      <c r="B19" s="10" t="s">
        <v>384</v>
      </c>
      <c r="C19" s="10" t="s">
        <v>385</v>
      </c>
      <c r="D19" s="98">
        <v>4.1500000000000004</v>
      </c>
      <c r="E19" s="32" t="s">
        <v>302</v>
      </c>
      <c r="F19" s="54">
        <f t="shared" si="0"/>
        <v>198324</v>
      </c>
      <c r="G19" s="52">
        <f>ROUND(D19*중기목록표!F23,0)</f>
        <v>147773</v>
      </c>
      <c r="H19" s="64">
        <f>ROUND(D19*중기목록표!G23,0)</f>
        <v>42330</v>
      </c>
      <c r="I19" s="54">
        <f>ROUND(D19*중기목록표!H23,0)</f>
        <v>8221</v>
      </c>
      <c r="J19" s="15" t="s">
        <v>386</v>
      </c>
      <c r="L19" s="3" t="str">
        <f ca="1">HYPERLINK("#"&amp;중기목록표!J2&amp;"!A"&amp;ROW(중기목록표!A23),"X00352 →")</f>
        <v>X00352 →</v>
      </c>
    </row>
    <row r="20" spans="1:12" ht="24.95" customHeight="1" x14ac:dyDescent="0.3">
      <c r="A20" s="9" t="s">
        <v>369</v>
      </c>
      <c r="B20" s="10" t="s">
        <v>300</v>
      </c>
      <c r="C20" s="10" t="s">
        <v>389</v>
      </c>
      <c r="D20" s="98">
        <v>8.4</v>
      </c>
      <c r="E20" s="32" t="s">
        <v>302</v>
      </c>
      <c r="F20" s="54">
        <f t="shared" si="0"/>
        <v>746047</v>
      </c>
      <c r="G20" s="52">
        <f>ROUND(D20*중기목록표!F24,0)</f>
        <v>415624</v>
      </c>
      <c r="H20" s="64">
        <f>ROUND(D20*중기목록표!G24,0)</f>
        <v>141095</v>
      </c>
      <c r="I20" s="54">
        <f>ROUND(D20*중기목록표!H24,0)</f>
        <v>189328</v>
      </c>
      <c r="J20" s="15" t="s">
        <v>390</v>
      </c>
      <c r="L20" s="3" t="str">
        <f ca="1">HYPERLINK("#"&amp;중기목록표!J2&amp;"!A"&amp;ROW(중기목록표!A24),"X00568 →")</f>
        <v>X00568 →</v>
      </c>
    </row>
    <row r="21" spans="1:12" ht="24.95" customHeight="1" x14ac:dyDescent="0.3">
      <c r="A21" s="9" t="s">
        <v>374</v>
      </c>
      <c r="B21" s="10" t="s">
        <v>397</v>
      </c>
      <c r="C21" s="10"/>
      <c r="D21" s="98">
        <v>41.51</v>
      </c>
      <c r="E21" s="32" t="s">
        <v>302</v>
      </c>
      <c r="F21" s="54">
        <f t="shared" si="0"/>
        <v>4514005</v>
      </c>
      <c r="G21" s="52">
        <f>ROUND(D21*중기목록표!F26,0)</f>
        <v>2369266</v>
      </c>
      <c r="H21" s="64">
        <f>ROUND(D21*중기목록표!G26,0)</f>
        <v>811396</v>
      </c>
      <c r="I21" s="54">
        <f>ROUND(D21*중기목록표!H26,0)</f>
        <v>1333343</v>
      </c>
      <c r="J21" s="15" t="s">
        <v>398</v>
      </c>
      <c r="L21" s="3" t="str">
        <f ca="1">HYPERLINK("#"&amp;중기목록표!J2&amp;"!A"&amp;ROW(중기목록표!A26),"X00750 →")</f>
        <v>X00750 →</v>
      </c>
    </row>
    <row r="22" spans="1:12" ht="24.95" customHeight="1" x14ac:dyDescent="0.3">
      <c r="A22" s="9" t="s">
        <v>378</v>
      </c>
      <c r="B22" s="10" t="s">
        <v>401</v>
      </c>
      <c r="C22" s="10" t="s">
        <v>402</v>
      </c>
      <c r="D22" s="98">
        <v>2.0699999999999998</v>
      </c>
      <c r="E22" s="32" t="s">
        <v>302</v>
      </c>
      <c r="F22" s="54">
        <f t="shared" si="0"/>
        <v>5424</v>
      </c>
      <c r="G22" s="52">
        <f>ROUND(D22*중기목록표!F27,0)</f>
        <v>0</v>
      </c>
      <c r="H22" s="64">
        <f>ROUND(D22*중기목록표!G27,0)</f>
        <v>4902</v>
      </c>
      <c r="I22" s="54">
        <f>ROUND(D22*중기목록표!H27,0)</f>
        <v>522</v>
      </c>
      <c r="J22" s="15" t="s">
        <v>403</v>
      </c>
      <c r="L22" s="3" t="str">
        <f ca="1">HYPERLINK("#"&amp;중기목록표!J2&amp;"!A"&amp;ROW(중기목록표!A27),"X00751 →")</f>
        <v>X00751 →</v>
      </c>
    </row>
  </sheetData>
  <mergeCells count="1">
    <mergeCell ref="A1:J1"/>
  </mergeCells>
  <phoneticPr fontId="23" type="noConversion"/>
  <hyperlinks>
    <hyperlink ref="L1" r:id="rId1" tooltip="설계예산시스템(STmate w25.07)으로 작성 하였으며,_x000a_엑셀 인쇄품질 600 dpi에 최적화 되어 있습니다._x000a_경영정보(주) http://www.stma.co.kr_x000a_Tel) 070-4350-0040_x000a_Fax) 0505-300-3948"/>
    <hyperlink ref="K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X80"/>
  <sheetViews>
    <sheetView workbookViewId="0"/>
  </sheetViews>
  <sheetFormatPr defaultColWidth="9.125" defaultRowHeight="16.5" x14ac:dyDescent="0.3"/>
  <cols>
    <col min="1" max="1" width="9.125" style="118" customWidth="1"/>
    <col min="2" max="2" width="16.75" style="118" customWidth="1"/>
    <col min="3" max="3" width="15.25" style="118" customWidth="1"/>
    <col min="4" max="24" width="2.5" style="118" customWidth="1"/>
    <col min="25" max="16384" width="9.125" style="118"/>
  </cols>
  <sheetData>
    <row r="2" spans="2:24" ht="19.5" x14ac:dyDescent="0.3">
      <c r="B2" s="158" t="s">
        <v>2426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4" spans="2:24" hidden="1" x14ac:dyDescent="0.3">
      <c r="B4" s="119" t="s">
        <v>2427</v>
      </c>
      <c r="C4" s="122" t="b">
        <f ca="1">ISERROR(SUM(C6:X15,C18:X23))</f>
        <v>0</v>
      </c>
      <c r="D4" s="126">
        <f>ROW(C24)</f>
        <v>24</v>
      </c>
    </row>
    <row r="5" spans="2:24" hidden="1" x14ac:dyDescent="0.3">
      <c r="B5" s="120" t="s">
        <v>2428</v>
      </c>
      <c r="C5" s="120" t="s">
        <v>2429</v>
      </c>
      <c r="D5" s="120" t="s">
        <v>2430</v>
      </c>
      <c r="E5" s="120" t="s">
        <v>2431</v>
      </c>
      <c r="F5" s="120" t="s">
        <v>2432</v>
      </c>
      <c r="G5" s="120" t="s">
        <v>2433</v>
      </c>
      <c r="H5" s="120" t="s">
        <v>1223</v>
      </c>
      <c r="I5" s="120" t="s">
        <v>2434</v>
      </c>
      <c r="J5" s="120" t="s">
        <v>2435</v>
      </c>
      <c r="K5" s="120" t="s">
        <v>2436</v>
      </c>
      <c r="L5" s="120" t="s">
        <v>2437</v>
      </c>
      <c r="M5" s="120" t="s">
        <v>2438</v>
      </c>
      <c r="N5" s="120" t="s">
        <v>2439</v>
      </c>
      <c r="O5" s="120" t="s">
        <v>2440</v>
      </c>
      <c r="P5" s="120" t="s">
        <v>2441</v>
      </c>
      <c r="Q5" s="120" t="s">
        <v>2442</v>
      </c>
      <c r="R5" s="120" t="s">
        <v>2443</v>
      </c>
      <c r="S5" s="120" t="s">
        <v>2444</v>
      </c>
      <c r="T5" s="120" t="s">
        <v>2445</v>
      </c>
      <c r="U5" s="120" t="s">
        <v>2446</v>
      </c>
      <c r="V5" s="120" t="s">
        <v>2447</v>
      </c>
      <c r="W5" s="120" t="s">
        <v>2448</v>
      </c>
      <c r="X5" s="120" t="s">
        <v>2449</v>
      </c>
    </row>
    <row r="6" spans="2:24" hidden="1" x14ac:dyDescent="0.3">
      <c r="B6" s="121" t="s">
        <v>2450</v>
      </c>
      <c r="C6" s="123" t="str">
        <f ca="1">IF(D6="","재료비목록표",MID(D6,FIND("]",D6)+1,LEN(D6)))</f>
        <v>재료비목록표</v>
      </c>
      <c r="D6" s="123" t="str">
        <f ca="1">CELL("filename",재료비목록표!A1)</f>
        <v>C:\Users\user\AppData\Roaming\Microsoft\Templates\[Xls-2025_0714_110248_622.Tmp]재료비목록표</v>
      </c>
      <c r="E6" s="127"/>
      <c r="F6" s="128">
        <f ca="1">HYPERLINK("#"&amp;C6&amp;"!"&amp;ADDRESS(3,COLUMN(재료비목록표!B1),1),COLUMN(재료비목록표!B1))</f>
        <v>2</v>
      </c>
      <c r="G6" s="128">
        <f ca="1">HYPERLINK("#"&amp;C6&amp;"!"&amp;ADDRESS(3,COLUMN(재료비목록표!C1),1),COLUMN(재료비목록표!C1))</f>
        <v>3</v>
      </c>
      <c r="H6" s="127"/>
      <c r="I6" s="128">
        <f ca="1">HYPERLINK("#"&amp;C6&amp;"!"&amp;ADDRESS(3,COLUMN(재료비목록표!D1),1),COLUMN(재료비목록표!D1))</f>
        <v>4</v>
      </c>
      <c r="J6" s="128">
        <f ca="1">HYPERLINK("#"&amp;C6&amp;"!A"&amp;ROW(재료비목록표!A4),ROW(재료비목록표!A4))</f>
        <v>4</v>
      </c>
      <c r="K6" s="128">
        <f ca="1">HYPERLINK("#"&amp;C6&amp;"!A"&amp;ROW(재료비목록표!A40),ROW(재료비목록표!A40))</f>
        <v>40</v>
      </c>
      <c r="L6" s="128">
        <f ca="1">HYPERLINK("#"&amp;C6&amp;"!"&amp;ADDRESS(3,COLUMN(재료비목록표!E1),1),COLUMN(재료비목록표!E1))</f>
        <v>5</v>
      </c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8">
        <f ca="1">HYPERLINK("#"&amp;C6&amp;"!"&amp;ADDRESS(3,COLUMN(재료비목록표!G1),1),COLUMN(재료비목록표!G1))</f>
        <v>7</v>
      </c>
    </row>
    <row r="7" spans="2:24" hidden="1" x14ac:dyDescent="0.3">
      <c r="B7" s="121" t="s">
        <v>2451</v>
      </c>
      <c r="C7" s="123" t="str">
        <f ca="1">IF(D7="","노무비목록표",MID(D7,FIND("]",D7)+1,LEN(D7)))</f>
        <v>노무비목록표</v>
      </c>
      <c r="D7" s="123" t="str">
        <f ca="1">CELL("filename",노무비목록표!A1)</f>
        <v>C:\Users\user\AppData\Roaming\Microsoft\Templates\[Xls-2025_0714_110248_622.Tmp]노무비목록표</v>
      </c>
      <c r="E7" s="127"/>
      <c r="F7" s="128">
        <f ca="1">HYPERLINK("#"&amp;C7&amp;"!"&amp;ADDRESS(3,COLUMN(노무비목록표!B1),1),COLUMN(노무비목록표!B1))</f>
        <v>2</v>
      </c>
      <c r="G7" s="128">
        <f ca="1">HYPERLINK("#"&amp;C7&amp;"!"&amp;ADDRESS(3,COLUMN(노무비목록표!C1),1),COLUMN(노무비목록표!C1))</f>
        <v>3</v>
      </c>
      <c r="H7" s="127"/>
      <c r="I7" s="128">
        <f ca="1">HYPERLINK("#"&amp;C7&amp;"!"&amp;ADDRESS(3,COLUMN(노무비목록표!D1),1),COLUMN(노무비목록표!D1))</f>
        <v>4</v>
      </c>
      <c r="J7" s="128">
        <f ca="1">HYPERLINK("#"&amp;C7&amp;"!A"&amp;ROW(노무비목록표!A4),ROW(노무비목록표!A4))</f>
        <v>4</v>
      </c>
      <c r="K7" s="128">
        <f ca="1">HYPERLINK("#"&amp;C7&amp;"!A"&amp;ROW(노무비목록표!A17),ROW(노무비목록표!A17))</f>
        <v>17</v>
      </c>
      <c r="L7" s="128">
        <f ca="1">HYPERLINK("#"&amp;C7&amp;"!"&amp;ADDRESS(3,COLUMN(노무비목록표!E1),1),COLUMN(노무비목록표!E1))</f>
        <v>5</v>
      </c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8">
        <f ca="1">HYPERLINK("#"&amp;C7&amp;"!"&amp;ADDRESS(3,COLUMN(노무비목록표!G1),1),COLUMN(노무비목록표!G1))</f>
        <v>7</v>
      </c>
    </row>
    <row r="8" spans="2:24" hidden="1" x14ac:dyDescent="0.3">
      <c r="B8" s="121" t="s">
        <v>2452</v>
      </c>
      <c r="C8" s="123" t="str">
        <f ca="1">IF(D8="","경비목록표",MID(D8,FIND("]",D8)+1,LEN(D8)))</f>
        <v>경비목록표</v>
      </c>
      <c r="D8" s="123" t="str">
        <f ca="1">CELL("filename",경비목록표!A1)</f>
        <v>C:\Users\user\AppData\Roaming\Microsoft\Templates\[Xls-2025_0714_110248_622.Tmp]경비목록표</v>
      </c>
      <c r="E8" s="127"/>
      <c r="F8" s="128">
        <f ca="1">HYPERLINK("#"&amp;C8&amp;"!"&amp;ADDRESS(3,COLUMN(경비목록표!B1),1),COLUMN(경비목록표!B1))</f>
        <v>2</v>
      </c>
      <c r="G8" s="128">
        <f ca="1">HYPERLINK("#"&amp;C8&amp;"!"&amp;ADDRESS(3,COLUMN(경비목록표!C1),1),COLUMN(경비목록표!C1))</f>
        <v>3</v>
      </c>
      <c r="H8" s="127"/>
      <c r="I8" s="128">
        <f ca="1">HYPERLINK("#"&amp;C8&amp;"!"&amp;ADDRESS(3,COLUMN(경비목록표!D1),1),COLUMN(경비목록표!D1))</f>
        <v>4</v>
      </c>
      <c r="J8" s="128">
        <f ca="1">HYPERLINK("#"&amp;C8&amp;"!A"&amp;ROW(경비목록표!A4),ROW(경비목록표!A4))</f>
        <v>4</v>
      </c>
      <c r="K8" s="128">
        <f ca="1">HYPERLINK("#"&amp;C8&amp;"!A"&amp;ROW(경비목록표!A26),ROW(경비목록표!A26))</f>
        <v>26</v>
      </c>
      <c r="L8" s="128">
        <f ca="1">HYPERLINK("#"&amp;C8&amp;"!"&amp;ADDRESS(3,COLUMN(경비목록표!E1),1),COLUMN(경비목록표!E1))</f>
        <v>5</v>
      </c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>
        <f ca="1">HYPERLINK("#"&amp;C8&amp;"!"&amp;ADDRESS(3,COLUMN(경비목록표!G1),1),COLUMN(경비목록표!G1))</f>
        <v>7</v>
      </c>
    </row>
    <row r="9" spans="2:24" hidden="1" x14ac:dyDescent="0.3">
      <c r="B9" s="121" t="s">
        <v>2453</v>
      </c>
      <c r="C9" s="123" t="str">
        <f ca="1">IF(D9="","일식견적목록표",MID(D9,FIND("]",D9)+1,LEN(D9)))</f>
        <v>일식견적목록표</v>
      </c>
      <c r="D9" s="123" t="str">
        <f ca="1">CELL("filename",일식견적목록표!A1)</f>
        <v>C:\Users\user\AppData\Roaming\Microsoft\Templates\[Xls-2025_0714_110248_622.Tmp]일식견적목록표</v>
      </c>
      <c r="E9" s="127"/>
      <c r="F9" s="128">
        <f ca="1">HYPERLINK("#"&amp;C9&amp;"!"&amp;ADDRESS(3,COLUMN(일식견적목록표!B1),1),COLUMN(일식견적목록표!B1))</f>
        <v>2</v>
      </c>
      <c r="G9" s="128">
        <f ca="1">HYPERLINK("#"&amp;C9&amp;"!"&amp;ADDRESS(3,COLUMN(일식견적목록표!C1),1),COLUMN(일식견적목록표!C1))</f>
        <v>3</v>
      </c>
      <c r="H9" s="127"/>
      <c r="I9" s="128">
        <f ca="1">HYPERLINK("#"&amp;C9&amp;"!"&amp;ADDRESS(3,COLUMN(일식견적목록표!D1),1),COLUMN(일식견적목록표!D1))</f>
        <v>4</v>
      </c>
      <c r="J9" s="128">
        <f ca="1">HYPERLINK("#"&amp;C9&amp;"!A"&amp;ROW(일식견적목록표!A4),ROW(일식견적목록표!A4))</f>
        <v>4</v>
      </c>
      <c r="K9" s="128">
        <f ca="1">HYPERLINK("#"&amp;C9&amp;"!A"&amp;ROW(일식견적목록표!A8),ROW(일식견적목록표!A8))</f>
        <v>8</v>
      </c>
      <c r="L9" s="128">
        <f ca="1">HYPERLINK("#"&amp;C9&amp;"!"&amp;ADDRESS(3,COLUMN(일식견적목록표!E1),1),COLUMN(일식견적목록표!E1))</f>
        <v>5</v>
      </c>
      <c r="M9" s="127"/>
      <c r="N9" s="128">
        <f ca="1">HYPERLINK("#"&amp;C9&amp;"!"&amp;ADDRESS(3,COLUMN(일식견적목록표!G1),1),COLUMN(일식견적목록표!G1))</f>
        <v>7</v>
      </c>
      <c r="O9" s="127"/>
      <c r="P9" s="128">
        <f ca="1">HYPERLINK("#"&amp;C9&amp;"!"&amp;ADDRESS(3,COLUMN(일식견적목록표!F1),1),COLUMN(일식견적목록표!F1))</f>
        <v>6</v>
      </c>
      <c r="Q9" s="127"/>
      <c r="R9" s="128">
        <f ca="1">HYPERLINK("#"&amp;C9&amp;"!"&amp;ADDRESS(3,COLUMN(일식견적목록표!H1),1),COLUMN(일식견적목록표!H1))</f>
        <v>8</v>
      </c>
      <c r="S9" s="127"/>
      <c r="T9" s="127"/>
      <c r="U9" s="127"/>
      <c r="V9" s="127"/>
      <c r="W9" s="127"/>
      <c r="X9" s="128">
        <f ca="1">HYPERLINK("#"&amp;C9&amp;"!"&amp;ADDRESS(3,COLUMN(일식견적목록표!J1),1),COLUMN(일식견적목록표!J1))</f>
        <v>10</v>
      </c>
    </row>
    <row r="10" spans="2:24" hidden="1" x14ac:dyDescent="0.3">
      <c r="B10" s="121" t="s">
        <v>2454</v>
      </c>
      <c r="C10" s="123" t="str">
        <f ca="1">IF(D10="","환율및기초자료",MID(D10,FIND("]",D10)+1,LEN(D10)))</f>
        <v>환율및기초자료</v>
      </c>
      <c r="D10" s="123" t="str">
        <f ca="1">CELL("filename",환율및기초자료!A1)</f>
        <v>C:\Users\user\AppData\Roaming\Microsoft\Templates\[Xls-2025_0714_110248_622.Tmp]환율및기초자료</v>
      </c>
      <c r="E10" s="128">
        <f ca="1">HYPERLINK("#"&amp;C10&amp;"!"&amp;ADDRESS(5,COLUMN(환율및기초자료!B1),1),COLUMN(환율및기초자료!B1))</f>
        <v>2</v>
      </c>
      <c r="F10" s="128">
        <f ca="1">HYPERLINK("#"&amp;C10&amp;"!"&amp;ADDRESS(5,COLUMN(환율및기초자료!C1),1),COLUMN(환율및기초자료!C1))</f>
        <v>3</v>
      </c>
      <c r="G10" s="128">
        <f ca="1">HYPERLINK("#"&amp;C10&amp;"!"&amp;ADDRESS(5,COLUMN(환율및기초자료!D1),1),COLUMN(환율및기초자료!D1))</f>
        <v>4</v>
      </c>
      <c r="H10" s="127"/>
      <c r="I10" s="128">
        <f ca="1">HYPERLINK("#"&amp;C10&amp;"!"&amp;ADDRESS(5,COLUMN(환율및기초자료!E1),1),COLUMN(환율및기초자료!E1))</f>
        <v>5</v>
      </c>
      <c r="J10" s="128">
        <f ca="1">HYPERLINK("#"&amp;C10&amp;"!A"&amp;ROW(환율및기초자료!A6),ROW(환율및기초자료!A6))</f>
        <v>6</v>
      </c>
      <c r="K10" s="128">
        <f ca="1">HYPERLINK("#"&amp;C10&amp;"!A"&amp;ROW(환율및기초자료!A16),ROW(환율및기초자료!A16))</f>
        <v>16</v>
      </c>
      <c r="L10" s="128">
        <f ca="1">HYPERLINK("#"&amp;C10&amp;"!"&amp;ADDRESS(5,COLUMN(환율및기초자료!F1),1),COLUMN(환율및기초자료!F1))</f>
        <v>6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8">
        <f ca="1">HYPERLINK("#"&amp;C10&amp;"!"&amp;ADDRESS(5,COLUMN(환율및기초자료!I1),1),COLUMN(환율및기초자료!I1))</f>
        <v>9</v>
      </c>
    </row>
    <row r="11" spans="2:24" hidden="1" x14ac:dyDescent="0.3">
      <c r="B11" s="121" t="s">
        <v>2455</v>
      </c>
      <c r="C11" s="123" t="str">
        <f ca="1">IF(D11="","중기목록표",MID(D11,FIND("]",D11)+1,LEN(D11)))</f>
        <v>중기목록표</v>
      </c>
      <c r="D11" s="123" t="str">
        <f ca="1">CELL("filename",중기목록표!A1)</f>
        <v>C:\Users\user\AppData\Roaming\Microsoft\Templates\[Xls-2025_0714_110248_622.Tmp]중기목록표</v>
      </c>
      <c r="E11" s="127"/>
      <c r="F11" s="128">
        <f ca="1">HYPERLINK("#"&amp;C11&amp;"!"&amp;ADDRESS(3,COLUMN(중기목록표!B1),1),COLUMN(중기목록표!B1))</f>
        <v>2</v>
      </c>
      <c r="G11" s="128">
        <f ca="1">HYPERLINK("#"&amp;C11&amp;"!"&amp;ADDRESS(3,COLUMN(중기목록표!C1),1),COLUMN(중기목록표!C1))</f>
        <v>3</v>
      </c>
      <c r="H11" s="127"/>
      <c r="I11" s="128">
        <f ca="1">HYPERLINK("#"&amp;C11&amp;"!"&amp;ADDRESS(3,COLUMN(중기목록표!D1),1),COLUMN(중기목록표!D1))</f>
        <v>4</v>
      </c>
      <c r="J11" s="128">
        <f ca="1">HYPERLINK("#"&amp;C11&amp;"!A"&amp;ROW(중기목록표!A4),ROW(중기목록표!A4))</f>
        <v>4</v>
      </c>
      <c r="K11" s="128">
        <f ca="1">HYPERLINK("#"&amp;C11&amp;"!A"&amp;ROW(중기목록표!A27),ROW(중기목록표!A27))</f>
        <v>27</v>
      </c>
      <c r="L11" s="128">
        <f ca="1">HYPERLINK("#"&amp;C11&amp;"!"&amp;ADDRESS(3,COLUMN(중기목록표!E1),1),COLUMN(중기목록표!E1))</f>
        <v>5</v>
      </c>
      <c r="M11" s="127"/>
      <c r="N11" s="128">
        <f ca="1">HYPERLINK("#"&amp;C11&amp;"!"&amp;ADDRESS(3,COLUMN(중기목록표!G1),1),COLUMN(중기목록표!G1))</f>
        <v>7</v>
      </c>
      <c r="O11" s="127"/>
      <c r="P11" s="128">
        <f ca="1">HYPERLINK("#"&amp;C11&amp;"!"&amp;ADDRESS(3,COLUMN(중기목록표!F1),1),COLUMN(중기목록표!F1))</f>
        <v>6</v>
      </c>
      <c r="Q11" s="127"/>
      <c r="R11" s="128">
        <f ca="1">HYPERLINK("#"&amp;C11&amp;"!"&amp;ADDRESS(3,COLUMN(중기목록표!H1),1),COLUMN(중기목록표!H1))</f>
        <v>8</v>
      </c>
      <c r="S11" s="127"/>
      <c r="T11" s="127"/>
      <c r="U11" s="127"/>
      <c r="V11" s="127"/>
      <c r="W11" s="127"/>
      <c r="X11" s="128">
        <f ca="1">HYPERLINK("#"&amp;C11&amp;"!"&amp;ADDRESS(3,COLUMN(중기목록표!J1),1),COLUMN(중기목록표!J1))</f>
        <v>10</v>
      </c>
    </row>
    <row r="12" spans="2:24" hidden="1" x14ac:dyDescent="0.3">
      <c r="B12" s="121" t="s">
        <v>2456</v>
      </c>
      <c r="C12" s="121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</row>
    <row r="13" spans="2:24" hidden="1" x14ac:dyDescent="0.3">
      <c r="B13" s="121" t="s">
        <v>2457</v>
      </c>
      <c r="C13" s="123" t="str">
        <f ca="1">IF(D13="","일위대가목록표",MID(D13,FIND("]",D13)+1,LEN(D13)))</f>
        <v>일위대가목록표</v>
      </c>
      <c r="D13" s="123" t="str">
        <f ca="1">CELL("filename",일위대가목록표!A1)</f>
        <v>C:\Users\user\AppData\Roaming\Microsoft\Templates\[Xls-2025_0714_110248_622.Tmp]일위대가목록표</v>
      </c>
      <c r="E13" s="127"/>
      <c r="F13" s="128">
        <f ca="1">HYPERLINK("#"&amp;C13&amp;"!"&amp;ADDRESS(3,COLUMN(일위대가목록표!B1),1),COLUMN(일위대가목록표!B1))</f>
        <v>2</v>
      </c>
      <c r="G13" s="128">
        <f ca="1">HYPERLINK("#"&amp;C13&amp;"!"&amp;ADDRESS(3,COLUMN(일위대가목록표!C1),1),COLUMN(일위대가목록표!C1))</f>
        <v>3</v>
      </c>
      <c r="H13" s="127"/>
      <c r="I13" s="128">
        <f ca="1">HYPERLINK("#"&amp;C13&amp;"!"&amp;ADDRESS(3,COLUMN(일위대가목록표!D1),1),COLUMN(일위대가목록표!D1))</f>
        <v>4</v>
      </c>
      <c r="J13" s="128">
        <f ca="1">HYPERLINK("#"&amp;C13&amp;"!A"&amp;ROW(일위대가목록표!A4),ROW(일위대가목록표!A4))</f>
        <v>4</v>
      </c>
      <c r="K13" s="128">
        <f ca="1">HYPERLINK("#"&amp;C13&amp;"!A"&amp;ROW(일위대가목록표!A28),ROW(일위대가목록표!A28))</f>
        <v>28</v>
      </c>
      <c r="L13" s="128">
        <f ca="1">HYPERLINK("#"&amp;C13&amp;"!"&amp;ADDRESS(3,COLUMN(일위대가목록표!E1),1),COLUMN(일위대가목록표!E1))</f>
        <v>5</v>
      </c>
      <c r="M13" s="127"/>
      <c r="N13" s="128">
        <f ca="1">HYPERLINK("#"&amp;C13&amp;"!"&amp;ADDRESS(3,COLUMN(일위대가목록표!G1),1),COLUMN(일위대가목록표!G1))</f>
        <v>7</v>
      </c>
      <c r="O13" s="127"/>
      <c r="P13" s="128">
        <f ca="1">HYPERLINK("#"&amp;C13&amp;"!"&amp;ADDRESS(3,COLUMN(일위대가목록표!F1),1),COLUMN(일위대가목록표!F1))</f>
        <v>6</v>
      </c>
      <c r="Q13" s="127"/>
      <c r="R13" s="128">
        <f ca="1">HYPERLINK("#"&amp;C13&amp;"!"&amp;ADDRESS(3,COLUMN(일위대가목록표!H1),1),COLUMN(일위대가목록표!H1))</f>
        <v>8</v>
      </c>
      <c r="S13" s="127"/>
      <c r="T13" s="127"/>
      <c r="U13" s="127"/>
      <c r="V13" s="127"/>
      <c r="W13" s="127"/>
      <c r="X13" s="128">
        <f ca="1">HYPERLINK("#"&amp;C13&amp;"!"&amp;ADDRESS(3,COLUMN(일위대가목록표!J1),1),COLUMN(일위대가목록표!J1))</f>
        <v>10</v>
      </c>
    </row>
    <row r="14" spans="2:24" hidden="1" x14ac:dyDescent="0.3">
      <c r="B14" s="121" t="s">
        <v>2458</v>
      </c>
      <c r="C14" s="123" t="str">
        <f ca="1">IF(D14="","단가산출근거목록표",MID(D14,FIND("]",D14)+1,LEN(D14)))</f>
        <v>단가산출근거목록표</v>
      </c>
      <c r="D14" s="123" t="str">
        <f ca="1">CELL("filename",단가산출근거목록표!A1)</f>
        <v>C:\Users\user\AppData\Roaming\Microsoft\Templates\[Xls-2025_0714_110248_622.Tmp]단가산출근거목록표</v>
      </c>
      <c r="E14" s="127"/>
      <c r="F14" s="128">
        <f ca="1">HYPERLINK("#"&amp;C14&amp;"!"&amp;ADDRESS(3,COLUMN(단가산출근거목록표!B1),1),COLUMN(단가산출근거목록표!B1))</f>
        <v>2</v>
      </c>
      <c r="G14" s="128">
        <f ca="1">HYPERLINK("#"&amp;C14&amp;"!"&amp;ADDRESS(3,COLUMN(단가산출근거목록표!C1),1),COLUMN(단가산출근거목록표!C1))</f>
        <v>3</v>
      </c>
      <c r="H14" s="127"/>
      <c r="I14" s="128">
        <f ca="1">HYPERLINK("#"&amp;C14&amp;"!"&amp;ADDRESS(3,COLUMN(단가산출근거목록표!D1),1),COLUMN(단가산출근거목록표!D1))</f>
        <v>4</v>
      </c>
      <c r="J14" s="128">
        <f ca="1">HYPERLINK("#"&amp;C14&amp;"!A"&amp;ROW(단가산출근거목록표!A4),ROW(단가산출근거목록표!A4))</f>
        <v>4</v>
      </c>
      <c r="K14" s="128">
        <f ca="1">HYPERLINK("#"&amp;C14&amp;"!A"&amp;ROW(단가산출근거목록표!A43),ROW(단가산출근거목록표!A43))</f>
        <v>43</v>
      </c>
      <c r="L14" s="128">
        <f ca="1">HYPERLINK("#"&amp;C14&amp;"!"&amp;ADDRESS(3,COLUMN(단가산출근거목록표!E1),1),COLUMN(단가산출근거목록표!E1))</f>
        <v>5</v>
      </c>
      <c r="M14" s="127"/>
      <c r="N14" s="128">
        <f ca="1">HYPERLINK("#"&amp;C14&amp;"!"&amp;ADDRESS(3,COLUMN(단가산출근거목록표!G1),1),COLUMN(단가산출근거목록표!G1))</f>
        <v>7</v>
      </c>
      <c r="O14" s="127"/>
      <c r="P14" s="128">
        <f ca="1">HYPERLINK("#"&amp;C14&amp;"!"&amp;ADDRESS(3,COLUMN(단가산출근거목록표!F1),1),COLUMN(단가산출근거목록표!F1))</f>
        <v>6</v>
      </c>
      <c r="Q14" s="127"/>
      <c r="R14" s="128">
        <f ca="1">HYPERLINK("#"&amp;C14&amp;"!"&amp;ADDRESS(3,COLUMN(단가산출근거목록표!H1),1),COLUMN(단가산출근거목록표!H1))</f>
        <v>8</v>
      </c>
      <c r="S14" s="127"/>
      <c r="T14" s="127"/>
      <c r="U14" s="127"/>
      <c r="V14" s="127"/>
      <c r="W14" s="127"/>
      <c r="X14" s="128">
        <f ca="1">HYPERLINK("#"&amp;C14&amp;"!"&amp;ADDRESS(3,COLUMN(단가산출근거목록표!J1),1),COLUMN(단가산출근거목록표!J1))</f>
        <v>10</v>
      </c>
    </row>
    <row r="15" spans="2:24" hidden="1" x14ac:dyDescent="0.3">
      <c r="B15" s="121" t="s">
        <v>2459</v>
      </c>
      <c r="C15" s="123" t="str">
        <f ca="1">IF(D15="","자재단가대비표",MID(D15,FIND("]",D15)+1,LEN(D15)))</f>
        <v>자재단가대비표</v>
      </c>
      <c r="D15" s="123" t="str">
        <f ca="1">CELL("filename",자재단가대비표!A1)</f>
        <v>C:\Users\user\AppData\Roaming\Microsoft\Templates\[Xls-2025_0714_110248_622.Tmp]자재단가대비표</v>
      </c>
      <c r="E15" s="127"/>
      <c r="F15" s="128">
        <f ca="1">HYPERLINK("#"&amp;C15&amp;"!"&amp;ADDRESS(4,COLUMN(자재단가대비표!B1),1),COLUMN(자재단가대비표!B1))</f>
        <v>2</v>
      </c>
      <c r="G15" s="128">
        <f ca="1">HYPERLINK("#"&amp;C15&amp;"!"&amp;ADDRESS(4,COLUMN(자재단가대비표!C1),1),COLUMN(자재단가대비표!C1))</f>
        <v>3</v>
      </c>
      <c r="H15" s="127"/>
      <c r="I15" s="128">
        <f ca="1">HYPERLINK("#"&amp;C15&amp;"!"&amp;ADDRESS(4,COLUMN(자재단가대비표!D1),1),COLUMN(자재단가대비표!D1))</f>
        <v>4</v>
      </c>
      <c r="J15" s="128">
        <f ca="1">HYPERLINK("#"&amp;C15&amp;"!A"&amp;ROW(자재단가대비표!A5),ROW(자재단가대비표!A5))</f>
        <v>5</v>
      </c>
      <c r="K15" s="128">
        <f ca="1">HYPERLINK("#"&amp;C15&amp;"!A"&amp;ROW(자재단가대비표!A41),ROW(자재단가대비표!A41))</f>
        <v>41</v>
      </c>
      <c r="L15" s="128">
        <f ca="1">HYPERLINK("#"&amp;C15&amp;"!"&amp;ADDRESS(4,COLUMN(자재단가대비표!E1),1),COLUMN(자재단가대비표!E1))</f>
        <v>5</v>
      </c>
      <c r="M15" s="128">
        <f ca="1">HYPERLINK("#"&amp;C15&amp;"!"&amp;ADDRESS(4,COLUMN(자재단가대비표!F1),1),COLUMN(자재단가대비표!F1))</f>
        <v>6</v>
      </c>
      <c r="N15" s="128">
        <f ca="1">HYPERLINK("#"&amp;C15&amp;"!"&amp;ADDRESS(4,COLUMN(자재단가대비표!G1),1),COLUMN(자재단가대비표!G1))</f>
        <v>7</v>
      </c>
      <c r="O15" s="128">
        <f ca="1">HYPERLINK("#"&amp;C15&amp;"!"&amp;ADDRESS(4,COLUMN(자재단가대비표!H1),1),COLUMN(자재단가대비표!H1))</f>
        <v>8</v>
      </c>
      <c r="P15" s="128">
        <f ca="1">HYPERLINK("#"&amp;C15&amp;"!"&amp;ADDRESS(4,COLUMN(자재단가대비표!I1),1),COLUMN(자재단가대비표!I1))</f>
        <v>9</v>
      </c>
      <c r="Q15" s="128">
        <f ca="1">HYPERLINK("#"&amp;C15&amp;"!"&amp;ADDRESS(4,COLUMN(자재단가대비표!J1),1),COLUMN(자재단가대비표!J1))</f>
        <v>10</v>
      </c>
      <c r="R15" s="128">
        <f ca="1">HYPERLINK("#"&amp;C15&amp;"!"&amp;ADDRESS(4,COLUMN(자재단가대비표!K1),1),COLUMN(자재단가대비표!K1))</f>
        <v>11</v>
      </c>
      <c r="S15" s="128">
        <f ca="1">HYPERLINK("#"&amp;C15&amp;"!"&amp;ADDRESS(4,COLUMN(자재단가대비표!L1),1),COLUMN(자재단가대비표!L1))</f>
        <v>12</v>
      </c>
      <c r="T15" s="128">
        <f ca="1">HYPERLINK("#"&amp;C15&amp;"!"&amp;ADDRESS(4,COLUMN(자재단가대비표!M1),1),COLUMN(자재단가대비표!M1))</f>
        <v>13</v>
      </c>
      <c r="U15" s="128">
        <f ca="1">HYPERLINK("#"&amp;C15&amp;"!"&amp;ADDRESS(4,COLUMN(자재단가대비표!N1),1),COLUMN(자재단가대비표!N1))</f>
        <v>14</v>
      </c>
      <c r="V15" s="128">
        <f ca="1">HYPERLINK("#"&amp;C15&amp;"!"&amp;ADDRESS(4,COLUMN(자재단가대비표!O1),1),COLUMN(자재단가대비표!O1))</f>
        <v>15</v>
      </c>
      <c r="W15" s="128">
        <f ca="1">HYPERLINK("#"&amp;C15&amp;"!"&amp;ADDRESS(4,COLUMN(자재단가대비표!P1),1),COLUMN(자재단가대비표!P1))</f>
        <v>16</v>
      </c>
      <c r="X15" s="128">
        <f ca="1">HYPERLINK("#"&amp;C15&amp;"!"&amp;ADDRESS(4,COLUMN(자재단가대비표!R1),1),COLUMN(자재단가대비표!R1))</f>
        <v>18</v>
      </c>
    </row>
    <row r="16" spans="2:24" hidden="1" x14ac:dyDescent="0.3">
      <c r="B16" s="121" t="s">
        <v>2460</v>
      </c>
      <c r="C16" s="123" t="str">
        <f ca="1">IF(D16="","착공내역서",MID(D16,FIND("]",D16)+1,LEN(D16)))</f>
        <v>착공내역서</v>
      </c>
      <c r="D16" s="123" t="str">
        <f ca="1">CELL("filename",착공내역서!A1)</f>
        <v>C:\Users\user\AppData\Roaming\Microsoft\Templates\[Xls-2025_0714_110248_622.Tmp]착공내역서</v>
      </c>
      <c r="E16" s="128">
        <f ca="1">HYPERLINK("#"&amp;C16&amp;"!"&amp;ADDRESS(4,COLUMN(착공내역서!A1),1),COLUMN(착공내역서!A1))</f>
        <v>1</v>
      </c>
      <c r="F16" s="128">
        <f ca="1">HYPERLINK("#"&amp;C16&amp;"!"&amp;ADDRESS(4,COLUMN(착공내역서!B1),1),COLUMN(착공내역서!B1))</f>
        <v>2</v>
      </c>
      <c r="G16" s="128">
        <f ca="1">HYPERLINK("#"&amp;C16&amp;"!"&amp;ADDRESS(4,COLUMN(착공내역서!C1),1),COLUMN(착공내역서!C1))</f>
        <v>3</v>
      </c>
      <c r="H16" s="128">
        <f ca="1">HYPERLINK("#"&amp;C16&amp;"!"&amp;ADDRESS(4,COLUMN(착공내역서!D1),1),COLUMN(착공내역서!D1))</f>
        <v>4</v>
      </c>
      <c r="I16" s="128">
        <f ca="1">HYPERLINK("#"&amp;C16&amp;"!"&amp;ADDRESS(4,COLUMN(착공내역서!E1),1),COLUMN(착공내역서!E1))</f>
        <v>5</v>
      </c>
      <c r="J16" s="128">
        <f ca="1">HYPERLINK("#"&amp;C16&amp;"!A"&amp;ROW(착공내역서!A5),ROW(착공내역서!A5))</f>
        <v>5</v>
      </c>
      <c r="K16" s="128">
        <f ca="1">HYPERLINK("#"&amp;C16&amp;"!A"&amp;ROW(착공내역서!A85),ROW(착공내역서!A85))</f>
        <v>85</v>
      </c>
      <c r="L16" s="128">
        <f ca="1">HYPERLINK("#"&amp;C16&amp;"!"&amp;ADDRESS(4,COLUMN(착공내역서!F1),1),COLUMN(착공내역서!F1))</f>
        <v>6</v>
      </c>
      <c r="M16" s="128">
        <f ca="1">HYPERLINK("#"&amp;C16&amp;"!"&amp;ADDRESS(4,COLUMN(착공내역서!G1),1),COLUMN(착공내역서!G1))</f>
        <v>7</v>
      </c>
      <c r="N16" s="128">
        <f ca="1">HYPERLINK("#"&amp;C16&amp;"!"&amp;ADDRESS(4,COLUMN(착공내역서!J1),1),COLUMN(착공내역서!J1))</f>
        <v>10</v>
      </c>
      <c r="O16" s="128">
        <f ca="1">HYPERLINK("#"&amp;C16&amp;"!"&amp;ADDRESS(4,COLUMN(착공내역서!K1),1),COLUMN(착공내역서!K1))</f>
        <v>11</v>
      </c>
      <c r="P16" s="128">
        <f ca="1">HYPERLINK("#"&amp;C16&amp;"!"&amp;ADDRESS(4,COLUMN(착공내역서!H1),1),COLUMN(착공내역서!H1))</f>
        <v>8</v>
      </c>
      <c r="Q16" s="128">
        <f ca="1">HYPERLINK("#"&amp;C16&amp;"!"&amp;ADDRESS(4,COLUMN(착공내역서!I1),1),COLUMN(착공내역서!I1))</f>
        <v>9</v>
      </c>
      <c r="R16" s="128">
        <f ca="1">HYPERLINK("#"&amp;C16&amp;"!"&amp;ADDRESS(4,COLUMN(착공내역서!L1),1),COLUMN(착공내역서!L1))</f>
        <v>12</v>
      </c>
      <c r="S16" s="128">
        <f ca="1">HYPERLINK("#"&amp;C16&amp;"!"&amp;ADDRESS(4,COLUMN(착공내역서!M1),1),COLUMN(착공내역서!M1))</f>
        <v>13</v>
      </c>
      <c r="T16" s="127"/>
      <c r="U16" s="127"/>
      <c r="V16" s="127"/>
      <c r="W16" s="127"/>
      <c r="X16" s="128">
        <f ca="1">HYPERLINK("#"&amp;C16&amp;"!"&amp;ADDRESS(4,COLUMN(착공내역서!O1),1),COLUMN(착공내역서!O1))</f>
        <v>15</v>
      </c>
    </row>
    <row r="17" spans="2:24" hidden="1" x14ac:dyDescent="0.3">
      <c r="B17" s="121" t="s">
        <v>2461</v>
      </c>
      <c r="C17" s="123" t="str">
        <f ca="1">IF(D17="","총괄설계내역서",MID(D17,FIND("]",D17)+1,LEN(D17)))</f>
        <v>총괄설계내역서</v>
      </c>
      <c r="D17" s="123" t="str">
        <f ca="1">CELL("filename",총괄설계내역서!A1)</f>
        <v>C:\Users\user\AppData\Roaming\Microsoft\Templates\[Xls-2025_0714_110248_622.Tmp]총괄설계내역서</v>
      </c>
      <c r="E17" s="128">
        <f ca="1">HYPERLINK("#"&amp;C17&amp;"!"&amp;ADDRESS(3,COLUMN(총괄설계내역서!A1),1),COLUMN(총괄설계내역서!A1))</f>
        <v>1</v>
      </c>
      <c r="F17" s="128">
        <f ca="1">HYPERLINK("#"&amp;C17&amp;"!"&amp;ADDRESS(3,COLUMN(총괄설계내역서!B1),1),COLUMN(총괄설계내역서!B1))</f>
        <v>2</v>
      </c>
      <c r="G17" s="128">
        <f ca="1">HYPERLINK("#"&amp;C17&amp;"!"&amp;ADDRESS(3,COLUMN(총괄설계내역서!C1),1),COLUMN(총괄설계내역서!C1))</f>
        <v>3</v>
      </c>
      <c r="H17" s="127"/>
      <c r="I17" s="128">
        <f ca="1">HYPERLINK("#"&amp;C17&amp;"!"&amp;ADDRESS(3,COLUMN(총괄설계내역서!E1),1),COLUMN(총괄설계내역서!E1))</f>
        <v>5</v>
      </c>
      <c r="J17" s="128">
        <f ca="1">HYPERLINK("#"&amp;C17&amp;"!A"&amp;ROW(총괄설계내역서!A4),ROW(총괄설계내역서!A4))</f>
        <v>4</v>
      </c>
      <c r="K17" s="128">
        <f ca="1">HYPERLINK("#"&amp;C17&amp;"!A"&amp;ROW(총괄설계내역서!A32),ROW(총괄설계내역서!A32))</f>
        <v>32</v>
      </c>
      <c r="L17" s="128">
        <f ca="1">HYPERLINK("#"&amp;C17&amp;"!"&amp;ADDRESS(3,COLUMN(총괄설계내역서!D1),1),COLUMN(총괄설계내역서!D1))</f>
        <v>4</v>
      </c>
      <c r="M17" s="128">
        <f ca="1">HYPERLINK("#"&amp;C17&amp;"!"&amp;ADDRESS(3,COLUMN(총괄설계내역서!I1),1),COLUMN(총괄설계내역서!I1))</f>
        <v>9</v>
      </c>
      <c r="N17" s="128">
        <f ca="1">HYPERLINK("#"&amp;C17&amp;"!"&amp;ADDRESS(3,COLUMN(총괄설계내역서!M1),1),COLUMN(총괄설계내역서!M1))</f>
        <v>13</v>
      </c>
      <c r="O17" s="128">
        <f ca="1">HYPERLINK("#"&amp;C17&amp;"!"&amp;ADDRESS(3,COLUMN(총괄설계내역서!N1),1),COLUMN(총괄설계내역서!N1))</f>
        <v>14</v>
      </c>
      <c r="P17" s="128">
        <f ca="1">HYPERLINK("#"&amp;C17&amp;"!"&amp;ADDRESS(3,COLUMN(총괄설계내역서!O1),1),COLUMN(총괄설계내역서!O1))</f>
        <v>15</v>
      </c>
      <c r="Q17" s="128">
        <f ca="1">HYPERLINK("#"&amp;C17&amp;"!"&amp;ADDRESS(3,COLUMN(총괄설계내역서!P1),1),COLUMN(총괄설계내역서!P1))</f>
        <v>16</v>
      </c>
      <c r="R17" s="127"/>
      <c r="S17" s="127"/>
      <c r="T17" s="127"/>
      <c r="U17" s="127"/>
      <c r="V17" s="127"/>
      <c r="W17" s="127"/>
      <c r="X17" s="128">
        <f ca="1">HYPERLINK("#"&amp;C17&amp;"!"&amp;ADDRESS(3,COLUMN(총괄설계내역서!H1),1),COLUMN(총괄설계내역서!H1))</f>
        <v>8</v>
      </c>
    </row>
    <row r="18" spans="2:24" hidden="1" x14ac:dyDescent="0.3">
      <c r="B18" s="121" t="s">
        <v>2415</v>
      </c>
      <c r="C18" s="123" t="str">
        <f ca="1">IF(D18="","중기사용료",MID(D18,FIND("]",D18)+1,LEN(D18)))</f>
        <v>중기사용료</v>
      </c>
      <c r="D18" s="123" t="str">
        <f ca="1">CELL("filename",중기사용료!A1)</f>
        <v>C:\Users\user\AppData\Roaming\Microsoft\Templates\[Xls-2025_0714_110248_622.Tmp]중기사용료</v>
      </c>
      <c r="E18" s="127"/>
      <c r="F18" s="128">
        <f ca="1">HYPERLINK("#"&amp;C18&amp;"!"&amp;ADDRESS(4,COLUMN(중기사용료!A1),1),COLUMN(중기사용료!A1))</f>
        <v>1</v>
      </c>
      <c r="G18" s="128">
        <f ca="1">HYPERLINK("#"&amp;C18&amp;"!"&amp;ADDRESS(4,COLUMN(중기사용료!B1),1),COLUMN(중기사용료!B1))</f>
        <v>2</v>
      </c>
      <c r="H18" s="128">
        <f ca="1">HYPERLINK("#"&amp;C18&amp;"!"&amp;ADDRESS(4,COLUMN(중기사용료!C1),1),COLUMN(중기사용료!C1))</f>
        <v>3</v>
      </c>
      <c r="I18" s="128">
        <f ca="1">HYPERLINK("#"&amp;C18&amp;"!"&amp;ADDRESS(4,COLUMN(중기사용료!D1),1),COLUMN(중기사용료!D1))</f>
        <v>4</v>
      </c>
      <c r="J18" s="128">
        <f ca="1">HYPERLINK("#"&amp;C18&amp;"!A"&amp;ROW(중기사용료!A5),ROW(중기사용료!A5))</f>
        <v>5</v>
      </c>
      <c r="K18" s="128">
        <f ca="1">HYPERLINK("#"&amp;C18&amp;"!A"&amp;ROW(중기사용료!A167),ROW(중기사용료!A167))</f>
        <v>167</v>
      </c>
      <c r="L18" s="128">
        <f ca="1">HYPERLINK("#"&amp;C18&amp;"!"&amp;ADDRESS(4,COLUMN(중기사용료!E1),1),COLUMN(중기사용료!E1))</f>
        <v>5</v>
      </c>
      <c r="M18" s="128">
        <f ca="1">HYPERLINK("#"&amp;C18&amp;"!"&amp;ADDRESS(4,COLUMN(중기사용료!F1),1),COLUMN(중기사용료!F1))</f>
        <v>6</v>
      </c>
      <c r="N18" s="128">
        <f ca="1">HYPERLINK("#"&amp;C18&amp;"!"&amp;ADDRESS(4,COLUMN(중기사용료!I1),1),COLUMN(중기사용료!I1))</f>
        <v>9</v>
      </c>
      <c r="O18" s="128">
        <f ca="1">HYPERLINK("#"&amp;C18&amp;"!"&amp;ADDRESS(4,COLUMN(중기사용료!J1),1),COLUMN(중기사용료!J1))</f>
        <v>10</v>
      </c>
      <c r="P18" s="128">
        <f ca="1">HYPERLINK("#"&amp;C18&amp;"!"&amp;ADDRESS(4,COLUMN(중기사용료!G1),1),COLUMN(중기사용료!G1))</f>
        <v>7</v>
      </c>
      <c r="Q18" s="128">
        <f ca="1">HYPERLINK("#"&amp;C18&amp;"!"&amp;ADDRESS(4,COLUMN(중기사용료!H1),1),COLUMN(중기사용료!H1))</f>
        <v>8</v>
      </c>
      <c r="R18" s="128">
        <f ca="1">HYPERLINK("#"&amp;C18&amp;"!"&amp;ADDRESS(4,COLUMN(중기사용료!K1),1),COLUMN(중기사용료!K1))</f>
        <v>11</v>
      </c>
      <c r="S18" s="128">
        <f ca="1">HYPERLINK("#"&amp;C18&amp;"!"&amp;ADDRESS(4,COLUMN(중기사용료!L1),1),COLUMN(중기사용료!L1))</f>
        <v>12</v>
      </c>
      <c r="T18" s="127"/>
      <c r="U18" s="127"/>
      <c r="V18" s="127"/>
      <c r="W18" s="127"/>
      <c r="X18" s="128">
        <f ca="1">HYPERLINK("#"&amp;C18&amp;"!"&amp;ADDRESS(4,COLUMN(중기사용료!N1),1),COLUMN(중기사용료!N1))</f>
        <v>14</v>
      </c>
    </row>
    <row r="19" spans="2:24" hidden="1" x14ac:dyDescent="0.3">
      <c r="B19" s="121" t="s">
        <v>2462</v>
      </c>
      <c r="C19" s="123" t="str">
        <f ca="1">IF(D19="","일위대가표",MID(D19,FIND("]",D19)+1,LEN(D19)))</f>
        <v>일위대가표</v>
      </c>
      <c r="D19" s="123" t="str">
        <f ca="1">CELL("filename",일위대가표!A1)</f>
        <v>C:\Users\user\AppData\Roaming\Microsoft\Templates\[Xls-2025_0714_110248_622.Tmp]일위대가표</v>
      </c>
      <c r="E19" s="127"/>
      <c r="F19" s="128">
        <f ca="1">HYPERLINK("#"&amp;C19&amp;"!"&amp;ADDRESS(4,COLUMN(일위대가표!A1),1),COLUMN(일위대가표!A1))</f>
        <v>1</v>
      </c>
      <c r="G19" s="128">
        <f ca="1">HYPERLINK("#"&amp;C19&amp;"!"&amp;ADDRESS(4,COLUMN(일위대가표!B1),1),COLUMN(일위대가표!B1))</f>
        <v>2</v>
      </c>
      <c r="H19" s="128">
        <f ca="1">HYPERLINK("#"&amp;C19&amp;"!"&amp;ADDRESS(4,COLUMN(일위대가표!C1),1),COLUMN(일위대가표!C1))</f>
        <v>3</v>
      </c>
      <c r="I19" s="128">
        <f ca="1">HYPERLINK("#"&amp;C19&amp;"!"&amp;ADDRESS(4,COLUMN(일위대가표!D1),1),COLUMN(일위대가표!D1))</f>
        <v>4</v>
      </c>
      <c r="J19" s="128">
        <f ca="1">HYPERLINK("#"&amp;C19&amp;"!A"&amp;ROW(일위대가표!A5),ROW(일위대가표!A5))</f>
        <v>5</v>
      </c>
      <c r="K19" s="128">
        <f ca="1">HYPERLINK("#"&amp;C19&amp;"!A"&amp;ROW(일위대가표!A220),ROW(일위대가표!A220))</f>
        <v>220</v>
      </c>
      <c r="L19" s="128">
        <f ca="1">HYPERLINK("#"&amp;C19&amp;"!"&amp;ADDRESS(4,COLUMN(일위대가표!E1),1),COLUMN(일위대가표!E1))</f>
        <v>5</v>
      </c>
      <c r="M19" s="128">
        <f ca="1">HYPERLINK("#"&amp;C19&amp;"!"&amp;ADDRESS(4,COLUMN(일위대가표!F1),1),COLUMN(일위대가표!F1))</f>
        <v>6</v>
      </c>
      <c r="N19" s="128">
        <f ca="1">HYPERLINK("#"&amp;C19&amp;"!"&amp;ADDRESS(4,COLUMN(일위대가표!I1),1),COLUMN(일위대가표!I1))</f>
        <v>9</v>
      </c>
      <c r="O19" s="128">
        <f ca="1">HYPERLINK("#"&amp;C19&amp;"!"&amp;ADDRESS(4,COLUMN(일위대가표!J1),1),COLUMN(일위대가표!J1))</f>
        <v>10</v>
      </c>
      <c r="P19" s="128">
        <f ca="1">HYPERLINK("#"&amp;C19&amp;"!"&amp;ADDRESS(4,COLUMN(일위대가표!G1),1),COLUMN(일위대가표!G1))</f>
        <v>7</v>
      </c>
      <c r="Q19" s="128">
        <f ca="1">HYPERLINK("#"&amp;C19&amp;"!"&amp;ADDRESS(4,COLUMN(일위대가표!H1),1),COLUMN(일위대가표!H1))</f>
        <v>8</v>
      </c>
      <c r="R19" s="128">
        <f ca="1">HYPERLINK("#"&amp;C19&amp;"!"&amp;ADDRESS(4,COLUMN(일위대가표!K1),1),COLUMN(일위대가표!K1))</f>
        <v>11</v>
      </c>
      <c r="S19" s="128">
        <f ca="1">HYPERLINK("#"&amp;C19&amp;"!"&amp;ADDRESS(4,COLUMN(일위대가표!L1),1),COLUMN(일위대가표!L1))</f>
        <v>12</v>
      </c>
      <c r="T19" s="127"/>
      <c r="U19" s="127"/>
      <c r="V19" s="127"/>
      <c r="W19" s="127"/>
      <c r="X19" s="128">
        <f ca="1">HYPERLINK("#"&amp;C19&amp;"!"&amp;ADDRESS(4,COLUMN(일위대가표!N1),1),COLUMN(일위대가표!N1))</f>
        <v>14</v>
      </c>
    </row>
    <row r="20" spans="2:24" hidden="1" x14ac:dyDescent="0.3">
      <c r="B20" s="121" t="s">
        <v>2463</v>
      </c>
      <c r="C20" s="123" t="str">
        <f ca="1">IF(D20="","단가산출근거",MID(D20,FIND("]",D20)+1,LEN(D20)))</f>
        <v>단가산출근거</v>
      </c>
      <c r="D20" s="123" t="str">
        <f ca="1">CELL("filename",단가산출근거!A1)</f>
        <v>C:\Users\user\AppData\Roaming\Microsoft\Templates\[Xls-2025_0714_110248_622.Tmp]단가산출근거</v>
      </c>
      <c r="E20" s="128">
        <f ca="1">HYPERLINK("#"&amp;C20&amp;"!"&amp;ADDRESS(4,COLUMN(단가산출근거!A1),1),COLUMN(단가산출근거!A1))</f>
        <v>1</v>
      </c>
      <c r="F20" s="128">
        <f ca="1">HYPERLINK("#"&amp;C20&amp;"!"&amp;ADDRESS(4,COLUMN(단가산출근거!B1),1),COLUMN(단가산출근거!B1))</f>
        <v>2</v>
      </c>
      <c r="G20" s="127"/>
      <c r="H20" s="127"/>
      <c r="I20" s="127"/>
      <c r="J20" s="128">
        <f ca="1">HYPERLINK("#"&amp;C20&amp;"!A"&amp;ROW(단가산출근거!A5),ROW(단가산출근거!A5))</f>
        <v>5</v>
      </c>
      <c r="K20" s="128">
        <f ca="1">HYPERLINK("#"&amp;C20&amp;"!A"&amp;ROW(단가산출근거!A2258),ROW(단가산출근거!A2258))</f>
        <v>2258</v>
      </c>
      <c r="L20" s="128">
        <f ca="1">HYPERLINK("#"&amp;C20&amp;"!"&amp;ADDRESS(4,COLUMN(단가산출근거!C1),1),COLUMN(단가산출근거!C1))</f>
        <v>3</v>
      </c>
      <c r="M20" s="127"/>
      <c r="N20" s="128">
        <f ca="1">HYPERLINK("#"&amp;C20&amp;"!"&amp;ADDRESS(4,COLUMN(단가산출근거!E1),1),COLUMN(단가산출근거!E1))</f>
        <v>5</v>
      </c>
      <c r="O20" s="127"/>
      <c r="P20" s="128">
        <f ca="1">HYPERLINK("#"&amp;C20&amp;"!"&amp;ADDRESS(4,COLUMN(단가산출근거!D1),1),COLUMN(단가산출근거!D1))</f>
        <v>4</v>
      </c>
      <c r="Q20" s="127"/>
      <c r="R20" s="128">
        <f ca="1">HYPERLINK("#"&amp;C20&amp;"!"&amp;ADDRESS(4,COLUMN(단가산출근거!F1),1),COLUMN(단가산출근거!F1))</f>
        <v>6</v>
      </c>
      <c r="S20" s="127"/>
      <c r="T20" s="127"/>
      <c r="U20" s="127"/>
      <c r="V20" s="127"/>
      <c r="W20" s="127"/>
      <c r="X20" s="128">
        <f ca="1">HYPERLINK("#"&amp;C20&amp;"!"&amp;ADDRESS(4,COLUMN(단가산출근거!G1),1),COLUMN(단가산출근거!G1))</f>
        <v>7</v>
      </c>
    </row>
    <row r="21" spans="2:24" hidden="1" x14ac:dyDescent="0.3">
      <c r="B21" s="121" t="s">
        <v>2464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2:24" hidden="1" x14ac:dyDescent="0.3">
      <c r="B22" s="121" t="s">
        <v>2465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2:24" hidden="1" x14ac:dyDescent="0.3">
      <c r="B23" s="121" t="s">
        <v>2466</v>
      </c>
      <c r="C23" s="121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2:24" hidden="1" x14ac:dyDescent="0.3">
      <c r="B24" s="119" t="s">
        <v>2467</v>
      </c>
      <c r="D24" s="126">
        <f>ROW(C33)</f>
        <v>33</v>
      </c>
    </row>
    <row r="25" spans="2:24" hidden="1" x14ac:dyDescent="0.3">
      <c r="B25" s="121" t="s">
        <v>2468</v>
      </c>
      <c r="C25" s="121" t="s">
        <v>2469</v>
      </c>
    </row>
    <row r="26" spans="2:24" hidden="1" x14ac:dyDescent="0.3">
      <c r="B26" s="121" t="s">
        <v>2470</v>
      </c>
      <c r="C26" s="121" t="s">
        <v>2471</v>
      </c>
    </row>
    <row r="27" spans="2:24" hidden="1" x14ac:dyDescent="0.3">
      <c r="B27" s="121" t="s">
        <v>2472</v>
      </c>
      <c r="C27" s="121" t="s">
        <v>314</v>
      </c>
    </row>
    <row r="28" spans="2:24" hidden="1" x14ac:dyDescent="0.3">
      <c r="B28" s="121" t="s">
        <v>2473</v>
      </c>
      <c r="C28" s="121" t="s">
        <v>2474</v>
      </c>
    </row>
    <row r="29" spans="2:24" hidden="1" x14ac:dyDescent="0.3">
      <c r="B29" s="121" t="s">
        <v>2475</v>
      </c>
      <c r="C29" s="121" t="s">
        <v>2474</v>
      </c>
    </row>
    <row r="30" spans="2:24" hidden="1" x14ac:dyDescent="0.3">
      <c r="B30" s="121" t="s">
        <v>2476</v>
      </c>
      <c r="C30" s="124" t="s">
        <v>2477</v>
      </c>
    </row>
    <row r="31" spans="2:24" hidden="1" x14ac:dyDescent="0.3">
      <c r="B31" s="121" t="s">
        <v>2478</v>
      </c>
      <c r="C31" s="121" t="s">
        <v>2474</v>
      </c>
    </row>
    <row r="32" spans="2:24" hidden="1" x14ac:dyDescent="0.3">
      <c r="B32" s="121" t="s">
        <v>2479</v>
      </c>
      <c r="C32" s="121" t="s">
        <v>2474</v>
      </c>
    </row>
    <row r="33" spans="2:10" hidden="1" x14ac:dyDescent="0.3">
      <c r="B33" s="119" t="s">
        <v>2480</v>
      </c>
      <c r="D33" s="126">
        <f>ROW(C52)</f>
        <v>52</v>
      </c>
    </row>
    <row r="34" spans="2:10" hidden="1" x14ac:dyDescent="0.3">
      <c r="B34" s="121" t="s">
        <v>2481</v>
      </c>
      <c r="C34" s="121" t="s">
        <v>299</v>
      </c>
      <c r="D34" s="121" t="s">
        <v>299</v>
      </c>
      <c r="E34" s="121" t="s">
        <v>2474</v>
      </c>
      <c r="F34" s="121" t="s">
        <v>2474</v>
      </c>
      <c r="G34" s="121" t="s">
        <v>2474</v>
      </c>
      <c r="H34" s="121" t="s">
        <v>2474</v>
      </c>
    </row>
    <row r="35" spans="2:10" hidden="1" x14ac:dyDescent="0.3">
      <c r="B35" s="121" t="s">
        <v>2482</v>
      </c>
      <c r="C35" s="125">
        <f>환율및기초자료!C3</f>
        <v>1470</v>
      </c>
      <c r="D35" s="125">
        <f>환율및기초자료!D3</f>
        <v>1470</v>
      </c>
      <c r="E35" s="125">
        <f>환율및기초자료!C3</f>
        <v>1470</v>
      </c>
      <c r="F35" s="125">
        <f>환율및기초자료!D3</f>
        <v>1470</v>
      </c>
      <c r="G35" s="125">
        <f>환율및기초자료!E3</f>
        <v>1423</v>
      </c>
      <c r="H35" s="125">
        <f>환율및기초자료!E3</f>
        <v>1423</v>
      </c>
      <c r="I35" s="125">
        <f>환율및기초자료!G3</f>
        <v>915</v>
      </c>
      <c r="J35" s="125">
        <f>환율및기초자료!G3</f>
        <v>915</v>
      </c>
    </row>
    <row r="36" spans="2:10" hidden="1" x14ac:dyDescent="0.3">
      <c r="B36" s="121" t="s">
        <v>2484</v>
      </c>
      <c r="C36" s="124" t="s">
        <v>2477</v>
      </c>
    </row>
    <row r="37" spans="2:10" hidden="1" x14ac:dyDescent="0.3">
      <c r="B37" s="121" t="s">
        <v>2483</v>
      </c>
      <c r="C37" s="121" t="s">
        <v>2485</v>
      </c>
      <c r="D37" s="121"/>
      <c r="E37" s="121" t="s">
        <v>2486</v>
      </c>
      <c r="F37" s="121" t="s">
        <v>2487</v>
      </c>
      <c r="G37" s="121" t="s">
        <v>2488</v>
      </c>
      <c r="H37" s="121"/>
    </row>
    <row r="38" spans="2:10" hidden="1" x14ac:dyDescent="0.3">
      <c r="B38" s="121" t="s">
        <v>2489</v>
      </c>
      <c r="C38" s="121" t="s">
        <v>2490</v>
      </c>
      <c r="D38" s="121"/>
      <c r="E38" s="121"/>
      <c r="F38" s="121"/>
      <c r="G38" s="121"/>
      <c r="H38" s="121"/>
    </row>
    <row r="39" spans="2:10" hidden="1" x14ac:dyDescent="0.3">
      <c r="B39" s="121" t="s">
        <v>2491</v>
      </c>
      <c r="C39" s="121" t="s">
        <v>299</v>
      </c>
    </row>
    <row r="40" spans="2:10" hidden="1" x14ac:dyDescent="0.3">
      <c r="B40" s="121" t="s">
        <v>2492</v>
      </c>
      <c r="C40" s="121" t="s">
        <v>299</v>
      </c>
    </row>
    <row r="41" spans="2:10" hidden="1" x14ac:dyDescent="0.3">
      <c r="B41" s="121" t="s">
        <v>2493</v>
      </c>
      <c r="C41" s="121" t="s">
        <v>2474</v>
      </c>
    </row>
    <row r="42" spans="2:10" hidden="1" x14ac:dyDescent="0.3">
      <c r="B42" s="121" t="s">
        <v>2494</v>
      </c>
      <c r="C42" s="121" t="s">
        <v>299</v>
      </c>
    </row>
    <row r="43" spans="2:10" hidden="1" x14ac:dyDescent="0.3">
      <c r="B43" s="121" t="s">
        <v>2495</v>
      </c>
      <c r="C43" s="121" t="s">
        <v>299</v>
      </c>
    </row>
    <row r="44" spans="2:10" hidden="1" x14ac:dyDescent="0.3">
      <c r="B44" s="121" t="s">
        <v>2496</v>
      </c>
      <c r="C44" s="121" t="s">
        <v>305</v>
      </c>
    </row>
    <row r="45" spans="2:10" hidden="1" x14ac:dyDescent="0.3">
      <c r="B45" s="121" t="s">
        <v>2497</v>
      </c>
      <c r="C45" s="124" t="s">
        <v>2477</v>
      </c>
    </row>
    <row r="46" spans="2:10" hidden="1" x14ac:dyDescent="0.3">
      <c r="B46" s="121" t="s">
        <v>2498</v>
      </c>
      <c r="C46" s="124" t="s">
        <v>2477</v>
      </c>
    </row>
    <row r="47" spans="2:10" hidden="1" x14ac:dyDescent="0.3">
      <c r="B47" s="121" t="s">
        <v>2499</v>
      </c>
      <c r="C47" s="124" t="s">
        <v>2477</v>
      </c>
    </row>
    <row r="48" spans="2:10" hidden="1" x14ac:dyDescent="0.3">
      <c r="B48" s="121" t="s">
        <v>2500</v>
      </c>
      <c r="C48" s="124" t="s">
        <v>2477</v>
      </c>
    </row>
    <row r="49" spans="2:6" hidden="1" x14ac:dyDescent="0.3">
      <c r="B49" s="121" t="s">
        <v>2501</v>
      </c>
      <c r="C49" s="121" t="s">
        <v>2502</v>
      </c>
    </row>
    <row r="50" spans="2:6" hidden="1" x14ac:dyDescent="0.3">
      <c r="B50" s="121" t="s">
        <v>2503</v>
      </c>
      <c r="C50" s="124" t="s">
        <v>2477</v>
      </c>
    </row>
    <row r="51" spans="2:6" hidden="1" x14ac:dyDescent="0.3">
      <c r="B51" s="121" t="s">
        <v>2504</v>
      </c>
      <c r="C51" s="121"/>
    </row>
    <row r="52" spans="2:6" hidden="1" x14ac:dyDescent="0.3">
      <c r="B52" s="119" t="s">
        <v>2505</v>
      </c>
      <c r="D52" s="126">
        <f>ROW(C75)</f>
        <v>75</v>
      </c>
    </row>
    <row r="53" spans="2:6" hidden="1" x14ac:dyDescent="0.3">
      <c r="B53" s="121" t="s">
        <v>2506</v>
      </c>
      <c r="C53" s="121" t="s">
        <v>8</v>
      </c>
      <c r="D53" s="121" t="s">
        <v>7</v>
      </c>
      <c r="E53" s="121" t="s">
        <v>9</v>
      </c>
      <c r="F53" s="121" t="s">
        <v>6</v>
      </c>
    </row>
    <row r="54" spans="2:6" hidden="1" x14ac:dyDescent="0.3">
      <c r="B54" s="121" t="s">
        <v>2507</v>
      </c>
      <c r="C54" s="121" t="s">
        <v>2508</v>
      </c>
    </row>
    <row r="55" spans="2:6" hidden="1" x14ac:dyDescent="0.3">
      <c r="B55" s="121" t="s">
        <v>2509</v>
      </c>
      <c r="C55" s="121" t="s">
        <v>2510</v>
      </c>
    </row>
    <row r="56" spans="2:6" hidden="1" x14ac:dyDescent="0.3">
      <c r="B56" s="121" t="s">
        <v>2511</v>
      </c>
      <c r="C56" s="121" t="s">
        <v>696</v>
      </c>
      <c r="D56" s="121" t="s">
        <v>708</v>
      </c>
    </row>
    <row r="57" spans="2:6" hidden="1" x14ac:dyDescent="0.3">
      <c r="B57" s="121" t="s">
        <v>2512</v>
      </c>
      <c r="C57" s="121" t="s">
        <v>698</v>
      </c>
      <c r="D57" s="121" t="s">
        <v>709</v>
      </c>
    </row>
    <row r="58" spans="2:6" hidden="1" x14ac:dyDescent="0.3">
      <c r="B58" s="121" t="s">
        <v>2513</v>
      </c>
      <c r="C58" s="121" t="s">
        <v>699</v>
      </c>
      <c r="D58" s="121" t="s">
        <v>710</v>
      </c>
    </row>
    <row r="59" spans="2:6" hidden="1" x14ac:dyDescent="0.3">
      <c r="B59" s="121" t="s">
        <v>2514</v>
      </c>
      <c r="C59" s="121" t="s">
        <v>700</v>
      </c>
      <c r="D59" s="121" t="s">
        <v>711</v>
      </c>
    </row>
    <row r="60" spans="2:6" hidden="1" x14ac:dyDescent="0.3">
      <c r="B60" s="121" t="s">
        <v>2515</v>
      </c>
      <c r="C60" s="121" t="s">
        <v>701</v>
      </c>
      <c r="D60" s="121" t="s">
        <v>712</v>
      </c>
    </row>
    <row r="61" spans="2:6" hidden="1" x14ac:dyDescent="0.3">
      <c r="B61" s="121" t="s">
        <v>2516</v>
      </c>
      <c r="C61" s="121" t="s">
        <v>702</v>
      </c>
    </row>
    <row r="62" spans="2:6" hidden="1" x14ac:dyDescent="0.3">
      <c r="B62" s="121" t="s">
        <v>2517</v>
      </c>
      <c r="C62" s="121" t="s">
        <v>2518</v>
      </c>
    </row>
    <row r="63" spans="2:6" hidden="1" x14ac:dyDescent="0.3">
      <c r="B63" s="121" t="s">
        <v>2519</v>
      </c>
      <c r="C63" s="121" t="s">
        <v>2</v>
      </c>
    </row>
    <row r="64" spans="2:6" hidden="1" x14ac:dyDescent="0.3">
      <c r="B64" s="121" t="s">
        <v>2520</v>
      </c>
      <c r="C64" s="121" t="s">
        <v>2521</v>
      </c>
    </row>
    <row r="65" spans="2:4" hidden="1" x14ac:dyDescent="0.3">
      <c r="B65" s="121" t="s">
        <v>2522</v>
      </c>
      <c r="C65" s="121" t="s">
        <v>2523</v>
      </c>
    </row>
    <row r="66" spans="2:4" hidden="1" x14ac:dyDescent="0.3">
      <c r="B66" s="121" t="s">
        <v>2524</v>
      </c>
      <c r="C66" s="121" t="s">
        <v>734</v>
      </c>
    </row>
    <row r="67" spans="2:4" hidden="1" x14ac:dyDescent="0.3">
      <c r="B67" s="121" t="s">
        <v>2525</v>
      </c>
      <c r="C67" s="121" t="s">
        <v>3</v>
      </c>
    </row>
    <row r="68" spans="2:4" hidden="1" x14ac:dyDescent="0.3">
      <c r="B68" s="121" t="s">
        <v>2526</v>
      </c>
      <c r="C68" s="121" t="s">
        <v>4</v>
      </c>
    </row>
    <row r="69" spans="2:4" hidden="1" x14ac:dyDescent="0.3">
      <c r="B69" s="121" t="s">
        <v>2527</v>
      </c>
      <c r="C69" s="121" t="s">
        <v>735</v>
      </c>
    </row>
    <row r="70" spans="2:4" hidden="1" x14ac:dyDescent="0.3">
      <c r="B70" s="121" t="s">
        <v>2528</v>
      </c>
      <c r="C70" s="121" t="s">
        <v>5</v>
      </c>
    </row>
    <row r="71" spans="2:4" hidden="1" x14ac:dyDescent="0.3">
      <c r="B71" s="121" t="s">
        <v>2529</v>
      </c>
      <c r="C71" s="121" t="s">
        <v>406</v>
      </c>
    </row>
    <row r="72" spans="2:4" hidden="1" x14ac:dyDescent="0.3">
      <c r="B72" s="121" t="s">
        <v>2530</v>
      </c>
      <c r="C72" s="121" t="s">
        <v>697</v>
      </c>
    </row>
    <row r="73" spans="2:4" hidden="1" x14ac:dyDescent="0.3">
      <c r="B73" s="121" t="s">
        <v>2531</v>
      </c>
      <c r="C73" s="121" t="s">
        <v>736</v>
      </c>
    </row>
    <row r="74" spans="2:4" hidden="1" x14ac:dyDescent="0.3">
      <c r="B74" s="121" t="s">
        <v>2532</v>
      </c>
      <c r="C74" s="121" t="s">
        <v>10</v>
      </c>
    </row>
    <row r="75" spans="2:4" hidden="1" x14ac:dyDescent="0.3">
      <c r="B75" s="119" t="s">
        <v>2533</v>
      </c>
      <c r="D75" s="126">
        <f>ROW(C79)</f>
        <v>79</v>
      </c>
    </row>
    <row r="76" spans="2:4" hidden="1" x14ac:dyDescent="0.3">
      <c r="B76" s="121" t="s">
        <v>2534</v>
      </c>
      <c r="C76" s="121" t="s">
        <v>2535</v>
      </c>
    </row>
    <row r="77" spans="2:4" hidden="1" x14ac:dyDescent="0.3">
      <c r="B77" s="121" t="s">
        <v>2536</v>
      </c>
      <c r="C77" s="121" t="s">
        <v>2537</v>
      </c>
    </row>
    <row r="78" spans="2:4" hidden="1" x14ac:dyDescent="0.3">
      <c r="B78" s="121" t="s">
        <v>2538</v>
      </c>
      <c r="C78" s="121" t="s">
        <v>2539</v>
      </c>
    </row>
    <row r="79" spans="2:4" hidden="1" x14ac:dyDescent="0.3">
      <c r="B79" s="119" t="s">
        <v>2540</v>
      </c>
    </row>
    <row r="80" spans="2:4" hidden="1" x14ac:dyDescent="0.3"/>
  </sheetData>
  <sheetCalcPr fullCalcOnLoad="1"/>
  <sheetProtection algorithmName="SHA-512" hashValue="y0LYsw/GEjv0ow4CEDOqa1zxcIa/xVb2WDZYcqInUlul3VS5g6hBV3YIn7XJ4wP1DfvD7S1I3Zf0I+cr7LVyIQ==" saltValue="L+iduG/EBLanUQZZ7BvXHQ==" spinCount="100000" sheet="1" objects="1" scenarios="1" selectLockedCells="1"/>
  <mergeCells count="1">
    <mergeCell ref="B2:X2"/>
  </mergeCells>
  <phoneticPr fontId="23" type="noConversion"/>
  <pageMargins left="0.59055118110236215" right="0.59055118110236215" top="0.78740157480314965" bottom="1" header="0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workbookViewId="0">
      <pane ySplit="4" topLeftCell="A5" activePane="bottomLeft" state="frozenSplit"/>
      <selection pane="bottomLeft" activeCell="A5" sqref="A5:A22"/>
    </sheetView>
  </sheetViews>
  <sheetFormatPr defaultColWidth="9.125" defaultRowHeight="16.5" x14ac:dyDescent="0.3"/>
  <cols>
    <col min="1" max="2" width="4.75" style="6" customWidth="1"/>
    <col min="3" max="3" width="23.5" style="6" customWidth="1"/>
    <col min="4" max="4" width="11.5" style="6" customWidth="1"/>
    <col min="5" max="5" width="8.5" style="6" customWidth="1"/>
    <col min="6" max="6" width="49.75" style="6" customWidth="1"/>
    <col min="7" max="7" width="9.125" style="6" hidden="1" customWidth="1"/>
    <col min="8" max="8" width="9.125" style="18" customWidth="1"/>
    <col min="9" max="16384" width="9.125" style="6"/>
  </cols>
  <sheetData>
    <row r="1" spans="1:8" ht="24.95" customHeight="1" x14ac:dyDescent="0.3">
      <c r="A1" s="133" t="s">
        <v>959</v>
      </c>
      <c r="B1" s="132"/>
      <c r="C1" s="132"/>
      <c r="D1" s="132"/>
      <c r="E1" s="132"/>
      <c r="F1" s="132"/>
      <c r="G1" s="5" t="s">
        <v>133</v>
      </c>
      <c r="H1" s="19" t="s">
        <v>133</v>
      </c>
    </row>
    <row r="2" spans="1:8" ht="16.5" customHeight="1" x14ac:dyDescent="0.3">
      <c r="A2" s="1" t="s">
        <v>1</v>
      </c>
      <c r="F2" s="76"/>
      <c r="G2" s="20" t="str">
        <f ca="1">MID(CELL("filename",$A$1),FIND("]",CELL("filename",$A$1))+1,LEN(CELL("filename",$A$1)))</f>
        <v>공사원가계산서</v>
      </c>
    </row>
    <row r="3" spans="1:8" ht="16.5" customHeight="1" x14ac:dyDescent="0.3">
      <c r="A3" s="134" t="s">
        <v>961</v>
      </c>
      <c r="B3" s="135"/>
      <c r="C3" s="135"/>
      <c r="D3" s="136" t="s">
        <v>736</v>
      </c>
      <c r="E3" s="136" t="s">
        <v>962</v>
      </c>
      <c r="F3" s="136" t="s">
        <v>963</v>
      </c>
    </row>
    <row r="4" spans="1:8" ht="16.5" customHeight="1" x14ac:dyDescent="0.3">
      <c r="A4" s="138" t="s">
        <v>960</v>
      </c>
      <c r="B4" s="139"/>
      <c r="C4" s="139"/>
      <c r="D4" s="137"/>
      <c r="E4" s="137"/>
      <c r="F4" s="137"/>
      <c r="H4" s="3" t="str">
        <f>HYPERLINK("#'〓 목 차 〓'!B2","목차 →")</f>
        <v>목차 →</v>
      </c>
    </row>
    <row r="5" spans="1:8" ht="16.5" customHeight="1" x14ac:dyDescent="0.3">
      <c r="A5" s="140" t="s">
        <v>987</v>
      </c>
      <c r="B5" s="140" t="s">
        <v>8</v>
      </c>
      <c r="C5" s="68" t="s">
        <v>964</v>
      </c>
      <c r="D5" s="70">
        <f>총괄설계내역서!F12-D6+D7</f>
        <v>47987107</v>
      </c>
      <c r="E5" s="73">
        <f>D5/D30*100</f>
        <v>14.396923930816193</v>
      </c>
      <c r="F5" s="77"/>
      <c r="H5" s="3" t="str">
        <f ca="1">HYPERLINK("#"&amp;총괄설계내역서!H2&amp;"!F"&amp;ROW(총괄설계내역서!F12),"총괄표 →")</f>
        <v>총괄표 →</v>
      </c>
    </row>
    <row r="6" spans="1:8" ht="16.5" customHeight="1" x14ac:dyDescent="0.3">
      <c r="A6" s="141"/>
      <c r="B6" s="141"/>
      <c r="C6" s="68" t="s">
        <v>965</v>
      </c>
      <c r="D6" s="71">
        <v>0</v>
      </c>
      <c r="E6" s="73">
        <f>D6/D30*100</f>
        <v>0</v>
      </c>
      <c r="F6" s="78"/>
    </row>
    <row r="7" spans="1:8" ht="16.5" customHeight="1" x14ac:dyDescent="0.3">
      <c r="A7" s="141"/>
      <c r="B7" s="141"/>
      <c r="C7" s="68" t="s">
        <v>966</v>
      </c>
      <c r="D7" s="71">
        <v>0</v>
      </c>
      <c r="E7" s="73">
        <f>D7/D30*100</f>
        <v>0</v>
      </c>
      <c r="F7" s="78"/>
    </row>
    <row r="8" spans="1:8" ht="16.5" customHeight="1" x14ac:dyDescent="0.3">
      <c r="A8" s="141"/>
      <c r="B8" s="139"/>
      <c r="C8" s="14" t="s">
        <v>967</v>
      </c>
      <c r="D8" s="72">
        <f>+D5+D6-D7</f>
        <v>47987107</v>
      </c>
      <c r="E8" s="74">
        <f>D8/D30*100</f>
        <v>14.396923930816193</v>
      </c>
      <c r="F8" s="79"/>
    </row>
    <row r="9" spans="1:8" ht="16.5" customHeight="1" x14ac:dyDescent="0.3">
      <c r="A9" s="141"/>
      <c r="B9" s="140" t="s">
        <v>7</v>
      </c>
      <c r="C9" s="68" t="s">
        <v>968</v>
      </c>
      <c r="D9" s="70">
        <f>총괄설계내역서!E12</f>
        <v>82246518</v>
      </c>
      <c r="E9" s="73">
        <f>D9/D30*100</f>
        <v>24.675312542189822</v>
      </c>
      <c r="F9" s="77"/>
      <c r="H9" s="3" t="str">
        <f ca="1">HYPERLINK("#"&amp;총괄설계내역서!H2&amp;"!E"&amp;ROW(총괄설계내역서!E12),"총괄표 →")</f>
        <v>총괄표 →</v>
      </c>
    </row>
    <row r="10" spans="1:8" ht="16.5" customHeight="1" x14ac:dyDescent="0.3">
      <c r="A10" s="141"/>
      <c r="B10" s="141"/>
      <c r="C10" s="68" t="s">
        <v>969</v>
      </c>
      <c r="D10" s="70">
        <f>총괄설계내역서!D13</f>
        <v>13570675</v>
      </c>
      <c r="E10" s="73">
        <f>D10/D30*100</f>
        <v>4.0714264284535648</v>
      </c>
      <c r="F10" s="80" t="str">
        <f>총괄설계내역서!E13</f>
        <v>직접노무비 x 16.5%</v>
      </c>
      <c r="H10" s="3" t="str">
        <f ca="1">HYPERLINK("#"&amp;총괄설계내역서!H2&amp;"!D"&amp;ROW(총괄설계내역서!D13),"총괄표 →")</f>
        <v>총괄표 →</v>
      </c>
    </row>
    <row r="11" spans="1:8" ht="16.5" customHeight="1" x14ac:dyDescent="0.3">
      <c r="A11" s="141"/>
      <c r="B11" s="139"/>
      <c r="C11" s="14" t="s">
        <v>967</v>
      </c>
      <c r="D11" s="72">
        <f>+D9+D10</f>
        <v>95817193</v>
      </c>
      <c r="E11" s="74">
        <f>D11/D30*100</f>
        <v>28.746738970643388</v>
      </c>
      <c r="F11" s="79"/>
    </row>
    <row r="12" spans="1:8" ht="16.5" customHeight="1" x14ac:dyDescent="0.3">
      <c r="A12" s="141"/>
      <c r="B12" s="140" t="s">
        <v>988</v>
      </c>
      <c r="C12" s="68" t="s">
        <v>970</v>
      </c>
      <c r="D12" s="70">
        <f>총괄설계내역서!G12</f>
        <v>43077761</v>
      </c>
      <c r="E12" s="73">
        <f>D12/D30*100</f>
        <v>12.924039122151717</v>
      </c>
      <c r="F12" s="77"/>
      <c r="H12" s="3" t="str">
        <f ca="1">HYPERLINK("#"&amp;총괄설계내역서!H2&amp;"!G"&amp;ROW(총괄설계내역서!G12),"총괄표 →")</f>
        <v>총괄표 →</v>
      </c>
    </row>
    <row r="13" spans="1:8" ht="16.5" customHeight="1" x14ac:dyDescent="0.3">
      <c r="A13" s="141"/>
      <c r="B13" s="141"/>
      <c r="C13" s="68" t="s">
        <v>971</v>
      </c>
      <c r="D13" s="70">
        <f>총괄설계내역서!D14</f>
        <v>3411092</v>
      </c>
      <c r="E13" s="73">
        <f>D13/D30*100</f>
        <v>1.0233838861137363</v>
      </c>
      <c r="F13" s="80" t="str">
        <f>총괄설계내역서!E14</f>
        <v>(직접노무비+간접노무비) x 3.56%</v>
      </c>
      <c r="H13" s="3" t="str">
        <f ca="1">HYPERLINK("#"&amp;총괄설계내역서!H2&amp;"!D"&amp;ROW(총괄설계내역서!D14),"총괄표 →")</f>
        <v>총괄표 →</v>
      </c>
    </row>
    <row r="14" spans="1:8" ht="16.5" customHeight="1" x14ac:dyDescent="0.3">
      <c r="A14" s="141"/>
      <c r="B14" s="141"/>
      <c r="C14" s="68" t="s">
        <v>972</v>
      </c>
      <c r="D14" s="70">
        <f>총괄설계내역서!D15</f>
        <v>967753</v>
      </c>
      <c r="E14" s="73">
        <f>D14/D30*100</f>
        <v>0.29034186880278412</v>
      </c>
      <c r="F14" s="80" t="str">
        <f>총괄설계내역서!E15</f>
        <v>(직접노무비+간접노무비) x 1.01%</v>
      </c>
      <c r="H14" s="3" t="str">
        <f ca="1">HYPERLINK("#"&amp;총괄설계내역서!H2&amp;"!D"&amp;ROW(총괄설계내역서!D15),"총괄표 →")</f>
        <v>총괄표 →</v>
      </c>
    </row>
    <row r="15" spans="1:8" ht="16.5" customHeight="1" x14ac:dyDescent="0.3">
      <c r="A15" s="141"/>
      <c r="B15" s="141"/>
      <c r="C15" s="68" t="s">
        <v>973</v>
      </c>
      <c r="D15" s="70">
        <f>총괄설계내역서!D16</f>
        <v>3323139</v>
      </c>
      <c r="E15" s="73">
        <f>D15/D30*100</f>
        <v>0.99699653480941441</v>
      </c>
      <c r="F15" s="77"/>
      <c r="H15" s="3" t="str">
        <f ca="1">HYPERLINK("#"&amp;총괄설계내역서!H2&amp;"!D"&amp;ROW(총괄설계내역서!D16),"총괄표 →")</f>
        <v>총괄표 →</v>
      </c>
    </row>
    <row r="16" spans="1:8" ht="16.5" customHeight="1" x14ac:dyDescent="0.3">
      <c r="A16" s="141"/>
      <c r="B16" s="141"/>
      <c r="C16" s="68" t="s">
        <v>974</v>
      </c>
      <c r="D16" s="70">
        <f>총괄설계내역서!D17</f>
        <v>430346</v>
      </c>
      <c r="E16" s="73">
        <f>D16/D30*100</f>
        <v>0.12911090109956047</v>
      </c>
      <c r="F16" s="77"/>
      <c r="H16" s="3" t="str">
        <f ca="1">HYPERLINK("#"&amp;총괄설계내역서!H2&amp;"!D"&amp;ROW(총괄설계내역서!D17),"총괄표 →")</f>
        <v>총괄표 →</v>
      </c>
    </row>
    <row r="17" spans="1:8" ht="16.5" customHeight="1" x14ac:dyDescent="0.3">
      <c r="A17" s="141"/>
      <c r="B17" s="141"/>
      <c r="C17" s="68" t="s">
        <v>975</v>
      </c>
      <c r="D17" s="70">
        <f>총괄설계내역서!D18</f>
        <v>4218371</v>
      </c>
      <c r="E17" s="73">
        <f>D17/D30*100</f>
        <v>1.2655809069498822</v>
      </c>
      <c r="F17" s="77"/>
      <c r="H17" s="3" t="str">
        <f ca="1">HYPERLINK("#"&amp;총괄설계내역서!H2&amp;"!D"&amp;ROW(총괄설계내역서!D18),"총괄표 →")</f>
        <v>총괄표 →</v>
      </c>
    </row>
    <row r="18" spans="1:8" ht="16.5" customHeight="1" x14ac:dyDescent="0.3">
      <c r="A18" s="141"/>
      <c r="B18" s="141"/>
      <c r="C18" s="68" t="s">
        <v>976</v>
      </c>
      <c r="D18" s="70">
        <f>총괄설계내역서!D19</f>
        <v>5611074</v>
      </c>
      <c r="E18" s="73">
        <f>D18/D30*100</f>
        <v>1.6834147878133296</v>
      </c>
      <c r="F18" s="77"/>
      <c r="H18" s="3" t="str">
        <f ca="1">HYPERLINK("#"&amp;총괄설계내역서!H2&amp;"!D"&amp;ROW(총괄설계내역서!D19),"총괄표 →")</f>
        <v>총괄표 →</v>
      </c>
    </row>
    <row r="19" spans="1:8" ht="16.5" customHeight="1" x14ac:dyDescent="0.3">
      <c r="A19" s="141"/>
      <c r="B19" s="141"/>
      <c r="C19" s="68" t="s">
        <v>977</v>
      </c>
      <c r="D19" s="70">
        <f>총괄설계내역서!D20</f>
        <v>7477823</v>
      </c>
      <c r="E19" s="73">
        <f>D19/D30*100</f>
        <v>2.2434702908659978</v>
      </c>
      <c r="F19" s="80" t="str">
        <f>총괄설계내역서!E20</f>
        <v>(직접노무비+간접노무비+재료비) x 5.2%</v>
      </c>
      <c r="H19" s="3" t="str">
        <f ca="1">HYPERLINK("#"&amp;총괄설계내역서!H2&amp;"!D"&amp;ROW(총괄설계내역서!D20),"총괄표 →")</f>
        <v>총괄표 →</v>
      </c>
    </row>
    <row r="20" spans="1:8" ht="16.5" customHeight="1" x14ac:dyDescent="0.3">
      <c r="A20" s="141"/>
      <c r="B20" s="141"/>
      <c r="C20" s="68" t="s">
        <v>978</v>
      </c>
      <c r="D20" s="70">
        <f>총괄설계내역서!D21</f>
        <v>1386491</v>
      </c>
      <c r="E20" s="73">
        <f>D20/D30*100</f>
        <v>0.41597017835980976</v>
      </c>
      <c r="F20" s="80" t="str">
        <f>총괄설계내역서!E21</f>
        <v>(재료비 + 직접노무비 + 산출경비) x 0.8%</v>
      </c>
      <c r="H20" s="3" t="str">
        <f ca="1">HYPERLINK("#"&amp;총괄설계내역서!H2&amp;"!D"&amp;ROW(총괄설계내역서!D21),"총괄표 →")</f>
        <v>총괄표 →</v>
      </c>
    </row>
    <row r="21" spans="1:8" ht="16.5" customHeight="1" x14ac:dyDescent="0.3">
      <c r="A21" s="141"/>
      <c r="B21" s="141"/>
      <c r="C21" s="68" t="s">
        <v>979</v>
      </c>
      <c r="D21" s="70">
        <f>총괄설계내역서!D22</f>
        <v>693245</v>
      </c>
      <c r="E21" s="73">
        <f>D21/D30*100</f>
        <v>0.20798493917165445</v>
      </c>
      <c r="F21" s="80" t="str">
        <f>총괄설계내역서!E22</f>
        <v>(재료비 + 직접노무비 + 산출경비) x 0.4%</v>
      </c>
      <c r="H21" s="3" t="str">
        <f ca="1">HYPERLINK("#"&amp;총괄설계내역서!H2&amp;"!D"&amp;ROW(총괄설계내역서!D22),"총괄표 →")</f>
        <v>총괄표 →</v>
      </c>
    </row>
    <row r="22" spans="1:8" ht="16.5" customHeight="1" x14ac:dyDescent="0.3">
      <c r="A22" s="139"/>
      <c r="B22" s="139"/>
      <c r="C22" s="69" t="s">
        <v>967</v>
      </c>
      <c r="D22" s="72">
        <f>+D12+D13+D14+D15+D16+D17+D18+D19+D20+D21</f>
        <v>70597095</v>
      </c>
      <c r="E22" s="74">
        <f>D22/D30*100</f>
        <v>21.180293416137889</v>
      </c>
      <c r="F22" s="79"/>
    </row>
    <row r="23" spans="1:8" ht="16.5" customHeight="1" x14ac:dyDescent="0.3">
      <c r="A23" s="159" t="s">
        <v>980</v>
      </c>
      <c r="B23" s="160"/>
      <c r="C23" s="161"/>
      <c r="D23" s="54">
        <f>총괄설계내역서!D24</f>
        <v>12864083</v>
      </c>
      <c r="E23" s="75">
        <f>D23/D30*100</f>
        <v>3.8594371690442975</v>
      </c>
      <c r="F23" s="81" t="str">
        <f>"순공사원가 x "&amp;ROUND(총괄설계내역서!M24,5)&amp;"%"</f>
        <v>순공사원가 x 6%</v>
      </c>
      <c r="H23" s="3" t="str">
        <f ca="1">HYPERLINK("#"&amp;총괄설계내역서!H2&amp;"!D"&amp;ROW(총괄설계내역서!D24),"총괄표 →")</f>
        <v>총괄표 →</v>
      </c>
    </row>
    <row r="24" spans="1:8" ht="16.5" customHeight="1" x14ac:dyDescent="0.3">
      <c r="A24" s="162" t="s">
        <v>981</v>
      </c>
      <c r="B24" s="163"/>
      <c r="C24" s="163"/>
      <c r="D24" s="54">
        <f>총괄설계내역서!D26</f>
        <v>24086755</v>
      </c>
      <c r="E24" s="75">
        <f>D24/D30*100</f>
        <v>7.2264239533174317</v>
      </c>
      <c r="F24" s="81" t="str">
        <f>"(노무비+경비+일반관리비) x "&amp;ROUND(총괄설계내역서!M26,5)&amp;"%"</f>
        <v>(노무비+경비+일반관리비) x 13.4355%</v>
      </c>
      <c r="H24" s="3" t="str">
        <f ca="1">HYPERLINK("#"&amp;총괄설계내역서!H2&amp;"!D"&amp;ROW(총괄설계내역서!D26),"총괄표 →")</f>
        <v>총괄표 →</v>
      </c>
    </row>
    <row r="25" spans="1:8" ht="16.5" customHeight="1" x14ac:dyDescent="0.3">
      <c r="A25" s="162" t="s">
        <v>896</v>
      </c>
      <c r="B25" s="163"/>
      <c r="C25" s="163"/>
      <c r="D25" s="54">
        <f>총괄설계내역서!D27</f>
        <v>2929586</v>
      </c>
      <c r="E25" s="75">
        <f>D25/D30*100</f>
        <v>0.8789241408277455</v>
      </c>
      <c r="F25" s="44"/>
      <c r="H25" s="3" t="str">
        <f ca="1">HYPERLINK("#"&amp;총괄설계내역서!H2&amp;"!D"&amp;ROW(총괄설계내역서!D27),"총괄표 →")</f>
        <v>총괄표 →</v>
      </c>
    </row>
    <row r="26" spans="1:8" ht="16.5" customHeight="1" x14ac:dyDescent="0.3">
      <c r="A26" s="164" t="s">
        <v>982</v>
      </c>
      <c r="B26" s="163"/>
      <c r="C26" s="163"/>
      <c r="D26" s="54">
        <f>총괄설계내역서!D28</f>
        <v>254281819</v>
      </c>
      <c r="E26" s="75">
        <f>D26/D30*100</f>
        <v>76.288741580786947</v>
      </c>
      <c r="F26" s="44"/>
      <c r="H26" s="3" t="str">
        <f ca="1">HYPERLINK("#"&amp;총괄설계내역서!H2&amp;"!D"&amp;ROW(총괄설계내역서!D28),"총괄표 →")</f>
        <v>총괄표 →</v>
      </c>
    </row>
    <row r="27" spans="1:8" ht="16.5" customHeight="1" x14ac:dyDescent="0.3">
      <c r="A27" s="162" t="s">
        <v>983</v>
      </c>
      <c r="B27" s="163"/>
      <c r="C27" s="163"/>
      <c r="D27" s="54">
        <f>총괄설계내역서!D29</f>
        <v>25428181</v>
      </c>
      <c r="E27" s="75">
        <f>D27/D30*100</f>
        <v>7.6288738880638434</v>
      </c>
      <c r="F27" s="81" t="str">
        <f>"총 원 가 x "&amp;ROUND(총괄설계내역서!M29,5)&amp;"%"</f>
        <v>총 원 가 x 10%</v>
      </c>
      <c r="H27" s="3" t="str">
        <f ca="1">HYPERLINK("#"&amp;총괄설계내역서!H2&amp;"!D"&amp;ROW(총괄설계내역서!D29),"총괄표 →")</f>
        <v>총괄표 →</v>
      </c>
    </row>
    <row r="28" spans="1:8" ht="16.5" customHeight="1" x14ac:dyDescent="0.3">
      <c r="A28" s="164" t="s">
        <v>984</v>
      </c>
      <c r="B28" s="163"/>
      <c r="C28" s="163"/>
      <c r="D28" s="54">
        <f>총괄설계내역서!D30</f>
        <v>279710000</v>
      </c>
      <c r="E28" s="75">
        <f>D28/D30*100</f>
        <v>83.917615468850784</v>
      </c>
      <c r="F28" s="44"/>
      <c r="H28" s="3" t="str">
        <f ca="1">HYPERLINK("#"&amp;총괄설계내역서!H2&amp;"!D"&amp;ROW(총괄설계내역서!D30),"총괄표 →")</f>
        <v>총괄표 →</v>
      </c>
    </row>
    <row r="29" spans="1:8" ht="16.5" customHeight="1" x14ac:dyDescent="0.3">
      <c r="A29" s="162" t="s">
        <v>985</v>
      </c>
      <c r="B29" s="163"/>
      <c r="C29" s="163"/>
      <c r="D29" s="54">
        <f>총괄설계내역서!D31</f>
        <v>53605000</v>
      </c>
      <c r="E29" s="75">
        <f>D29/D30*100</f>
        <v>16.082384531149213</v>
      </c>
      <c r="F29" s="81" t="str">
        <f>총괄설계내역서!E31</f>
        <v>원자재대: 53,604,067 (조달수수료: 1,739,476 포함)</v>
      </c>
      <c r="H29" s="3" t="str">
        <f ca="1">HYPERLINK("#"&amp;총괄설계내역서!H2&amp;"!D"&amp;ROW(총괄설계내역서!D31),"총괄표 →")</f>
        <v>총괄표 →</v>
      </c>
    </row>
    <row r="30" spans="1:8" ht="16.5" customHeight="1" x14ac:dyDescent="0.3">
      <c r="A30" s="164" t="s">
        <v>986</v>
      </c>
      <c r="B30" s="163"/>
      <c r="C30" s="163"/>
      <c r="D30" s="54">
        <f>총괄설계내역서!D32</f>
        <v>333315000</v>
      </c>
      <c r="E30" s="75">
        <v>100</v>
      </c>
      <c r="F30" s="44"/>
      <c r="H30" s="3" t="str">
        <f ca="1">HYPERLINK("#"&amp;총괄설계내역서!H2&amp;"!D"&amp;ROW(총괄설계내역서!D32),"총괄표 →")</f>
        <v>총괄표 →</v>
      </c>
    </row>
  </sheetData>
  <mergeCells count="18">
    <mergeCell ref="A25:C25"/>
    <mergeCell ref="A26:C26"/>
    <mergeCell ref="A27:C27"/>
    <mergeCell ref="A28:C28"/>
    <mergeCell ref="A29:C29"/>
    <mergeCell ref="A30:C30"/>
    <mergeCell ref="A5:A22"/>
    <mergeCell ref="B5:B8"/>
    <mergeCell ref="B9:B11"/>
    <mergeCell ref="B12:B22"/>
    <mergeCell ref="A23:C23"/>
    <mergeCell ref="A24:C24"/>
    <mergeCell ref="A1:F1"/>
    <mergeCell ref="A3:C3"/>
    <mergeCell ref="D3:D4"/>
    <mergeCell ref="E3:E4"/>
    <mergeCell ref="F3:F4"/>
    <mergeCell ref="A4:C4"/>
  </mergeCells>
  <phoneticPr fontId="23" type="noConversion"/>
  <hyperlinks>
    <hyperlink ref="H1" r:id="rId1" tooltip="설계예산시스템(STmate w25.07)으로 작성 하였으며,_x000a_엑셀 인쇄품질 600 dpi에 최적화 되어 있습니다._x000a_경영정보(주) http://www.stma.co.kr_x000a_Tel) 070-4350-0040_x000a_Fax) 0505-300-3948"/>
    <hyperlink ref="G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fitToWidth="0" fitToHeight="0" orientation="landscape" r:id="rId3"/>
  <headerFooter alignWithMargins="0">
    <oddFooter xml:space="preserve">&amp;C&amp;"굴림체,"&amp;9 - &amp;P -&amp;R&amp;"굴림체,"&amp;9 </oddFooter>
  </headerFooter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2" width="26.5" style="6" customWidth="1"/>
    <col min="3" max="3" width="22.75" style="6" customWidth="1"/>
    <col min="4" max="7" width="17.5" style="6" customWidth="1"/>
    <col min="8" max="8" width="9.125" style="16" hidden="1" customWidth="1"/>
    <col min="9" max="12" width="2.125" style="6" customWidth="1"/>
    <col min="13" max="16" width="4" style="6" customWidth="1"/>
    <col min="17" max="17" width="9.125" style="18" customWidth="1"/>
    <col min="18" max="16384" width="9.125" style="6"/>
  </cols>
  <sheetData>
    <row r="1" spans="1:17" ht="24.95" customHeight="1" x14ac:dyDescent="0.3">
      <c r="A1" s="133" t="s">
        <v>746</v>
      </c>
      <c r="B1" s="132"/>
      <c r="C1" s="132"/>
      <c r="D1" s="132"/>
      <c r="E1" s="132"/>
      <c r="F1" s="132"/>
      <c r="G1" s="132"/>
      <c r="H1" s="19" t="s">
        <v>133</v>
      </c>
      <c r="Q1" s="19" t="s">
        <v>133</v>
      </c>
    </row>
    <row r="2" spans="1:17" ht="24" customHeight="1" x14ac:dyDescent="0.3">
      <c r="A2" s="1" t="s">
        <v>1</v>
      </c>
      <c r="H2" s="20" t="str">
        <f ca="1">MID(CELL("filename",$A$1),FIND("]",CELL("filename",$A$1))+1,LEN(CELL("filename",$A$1)))</f>
        <v>총괄설계내역서</v>
      </c>
    </row>
    <row r="3" spans="1:17" ht="24" customHeight="1" x14ac:dyDescent="0.3">
      <c r="A3" s="8" t="s">
        <v>734</v>
      </c>
      <c r="B3" s="8" t="s">
        <v>3</v>
      </c>
      <c r="C3" s="8" t="s">
        <v>4</v>
      </c>
      <c r="D3" s="8" t="s">
        <v>6</v>
      </c>
      <c r="E3" s="8" t="s">
        <v>7</v>
      </c>
      <c r="F3" s="8" t="s">
        <v>8</v>
      </c>
      <c r="G3" s="14" t="s">
        <v>9</v>
      </c>
      <c r="H3" s="17" t="s">
        <v>745</v>
      </c>
      <c r="I3" s="145" t="s">
        <v>928</v>
      </c>
      <c r="J3" s="132"/>
      <c r="K3" s="132"/>
      <c r="L3" s="132"/>
      <c r="M3" s="132"/>
      <c r="N3" s="132"/>
      <c r="O3" s="132"/>
      <c r="P3" s="132"/>
      <c r="Q3" s="3" t="str">
        <f>HYPERLINK("#'〓 목 차 〓'!B2","목차 →")</f>
        <v>목차 →</v>
      </c>
    </row>
    <row r="4" spans="1:17" ht="24" customHeight="1" x14ac:dyDescent="0.3">
      <c r="A4" s="10" t="s">
        <v>739</v>
      </c>
      <c r="B4" s="10" t="s">
        <v>740</v>
      </c>
      <c r="C4" s="10" t="s">
        <v>741</v>
      </c>
      <c r="D4" s="54">
        <f>착공내역서!G5</f>
        <v>173311386</v>
      </c>
      <c r="E4" s="52">
        <f>착공내역서!I5</f>
        <v>82246518</v>
      </c>
      <c r="F4" s="64">
        <f>착공내역서!K5</f>
        <v>47987107</v>
      </c>
      <c r="G4" s="54">
        <f>착공내역서!M5</f>
        <v>43077761</v>
      </c>
      <c r="Q4" s="3" t="str">
        <f ca="1">HYPERLINK("#"&amp;착공내역서!O2&amp;"!A"&amp;ROW(착공내역서!A5),"내역 →")</f>
        <v>내역 →</v>
      </c>
    </row>
    <row r="5" spans="1:17" ht="24" customHeight="1" x14ac:dyDescent="0.3">
      <c r="A5" s="10" t="s">
        <v>747</v>
      </c>
      <c r="B5" s="10" t="s">
        <v>748</v>
      </c>
      <c r="C5" s="10"/>
      <c r="D5" s="54">
        <f>착공내역서!G7</f>
        <v>73538605</v>
      </c>
      <c r="E5" s="52">
        <f>착공내역서!I7</f>
        <v>40005379</v>
      </c>
      <c r="F5" s="64">
        <f>착공내역서!K7</f>
        <v>11773376</v>
      </c>
      <c r="G5" s="54">
        <f>착공내역서!M7</f>
        <v>21759850</v>
      </c>
      <c r="Q5" s="3" t="str">
        <f ca="1">HYPERLINK("#"&amp;착공내역서!O2&amp;"!A"&amp;ROW(착공내역서!A7),"내역 →")</f>
        <v>내역 →</v>
      </c>
    </row>
    <row r="6" spans="1:17" ht="24" customHeight="1" x14ac:dyDescent="0.3">
      <c r="A6" s="10" t="s">
        <v>749</v>
      </c>
      <c r="B6" s="10" t="s">
        <v>757</v>
      </c>
      <c r="C6" s="10"/>
      <c r="D6" s="54">
        <f>착공내역서!G27</f>
        <v>68613922</v>
      </c>
      <c r="E6" s="52">
        <f>착공내역서!I27</f>
        <v>39992039</v>
      </c>
      <c r="F6" s="64">
        <f>착공내역서!K27</f>
        <v>25169547</v>
      </c>
      <c r="G6" s="54">
        <f>착공내역서!M27</f>
        <v>3452336</v>
      </c>
      <c r="Q6" s="3" t="str">
        <f ca="1">HYPERLINK("#"&amp;착공내역서!O2&amp;"!A"&amp;ROW(착공내역서!A27),"내역 →")</f>
        <v>내역 →</v>
      </c>
    </row>
    <row r="7" spans="1:17" ht="24" customHeight="1" x14ac:dyDescent="0.3">
      <c r="A7" s="10" t="s">
        <v>802</v>
      </c>
      <c r="B7" s="10" t="s">
        <v>801</v>
      </c>
      <c r="C7" s="10"/>
      <c r="D7" s="54">
        <f>착공내역서!G49</f>
        <v>2876040</v>
      </c>
      <c r="E7" s="52">
        <f>착공내역서!I49</f>
        <v>2249100</v>
      </c>
      <c r="F7" s="64">
        <f>착공내역서!K49</f>
        <v>626940</v>
      </c>
      <c r="G7" s="54">
        <f>착공내역서!M49</f>
        <v>0</v>
      </c>
      <c r="Q7" s="3" t="str">
        <f ca="1">HYPERLINK("#"&amp;착공내역서!O2&amp;"!A"&amp;ROW(착공내역서!A49),"내역 →")</f>
        <v>내역 →</v>
      </c>
    </row>
    <row r="8" spans="1:17" ht="24" customHeight="1" x14ac:dyDescent="0.3">
      <c r="A8" s="10" t="s">
        <v>864</v>
      </c>
      <c r="B8" s="10" t="s">
        <v>865</v>
      </c>
      <c r="C8" s="10"/>
      <c r="D8" s="54">
        <f>착공내역서!G53</f>
        <v>14935989</v>
      </c>
      <c r="E8" s="52">
        <f>착공내역서!I53</f>
        <v>0</v>
      </c>
      <c r="F8" s="64">
        <f>착공내역서!K53</f>
        <v>0</v>
      </c>
      <c r="G8" s="54">
        <f>착공내역서!M53</f>
        <v>14935989</v>
      </c>
      <c r="Q8" s="3" t="str">
        <f ca="1">HYPERLINK("#"&amp;착공내역서!O2&amp;"!A"&amp;ROW(착공내역서!A53),"내역 →")</f>
        <v>내역 →</v>
      </c>
    </row>
    <row r="9" spans="1:17" ht="24" customHeight="1" x14ac:dyDescent="0.3">
      <c r="A9" s="10" t="s">
        <v>881</v>
      </c>
      <c r="B9" s="10" t="s">
        <v>882</v>
      </c>
      <c r="C9" s="10"/>
      <c r="D9" s="54">
        <f>착공내역서!G60</f>
        <v>10417244</v>
      </c>
      <c r="E9" s="52">
        <f>착공내역서!I60</f>
        <v>0</v>
      </c>
      <c r="F9" s="64">
        <f>착공내역서!K60</f>
        <v>10417244</v>
      </c>
      <c r="G9" s="54">
        <f>착공내역서!M60</f>
        <v>0</v>
      </c>
      <c r="Q9" s="3" t="str">
        <f ca="1">HYPERLINK("#"&amp;착공내역서!O2&amp;"!A"&amp;ROW(착공내역서!A60),"내역 →")</f>
        <v>내역 →</v>
      </c>
    </row>
    <row r="10" spans="1:17" ht="24" customHeight="1" x14ac:dyDescent="0.3">
      <c r="A10" s="10" t="s">
        <v>895</v>
      </c>
      <c r="B10" s="10" t="s">
        <v>896</v>
      </c>
      <c r="C10" s="10"/>
      <c r="D10" s="54">
        <f>착공내역서!G67</f>
        <v>2929586</v>
      </c>
      <c r="E10" s="52">
        <f>착공내역서!I67</f>
        <v>0</v>
      </c>
      <c r="F10" s="64">
        <f>착공내역서!K67</f>
        <v>0</v>
      </c>
      <c r="G10" s="54">
        <f>착공내역서!M67</f>
        <v>2929586</v>
      </c>
      <c r="Q10" s="3" t="str">
        <f ca="1">HYPERLINK("#"&amp;착공내역서!O2&amp;"!A"&amp;ROW(착공내역서!A67),"내역 →")</f>
        <v>내역 →</v>
      </c>
    </row>
    <row r="11" spans="1:17" ht="24" customHeight="1" x14ac:dyDescent="0.3">
      <c r="A11" s="10" t="s">
        <v>895</v>
      </c>
      <c r="B11" s="10" t="s">
        <v>901</v>
      </c>
      <c r="C11" s="10"/>
      <c r="D11" s="54">
        <f>착공내역서!G71</f>
        <v>53604067</v>
      </c>
      <c r="E11" s="52">
        <f>착공내역서!I71</f>
        <v>0</v>
      </c>
      <c r="F11" s="64">
        <f>착공내역서!K71</f>
        <v>53604067</v>
      </c>
      <c r="G11" s="54">
        <f>착공내역서!M71</f>
        <v>0</v>
      </c>
      <c r="Q11" s="3" t="str">
        <f ca="1">HYPERLINK("#"&amp;착공내역서!O2&amp;"!A"&amp;ROW(착공내역서!A71),"내역 →")</f>
        <v>내역 →</v>
      </c>
    </row>
    <row r="12" spans="1:17" ht="24" customHeight="1" x14ac:dyDescent="0.3">
      <c r="A12" s="10" t="s">
        <v>912</v>
      </c>
      <c r="B12" s="10" t="s">
        <v>913</v>
      </c>
      <c r="C12" s="10"/>
      <c r="D12" s="54">
        <f>착공내역서!G76</f>
        <v>173311386</v>
      </c>
      <c r="E12" s="52">
        <f>착공내역서!I76</f>
        <v>82246518</v>
      </c>
      <c r="F12" s="64">
        <f>착공내역서!K76</f>
        <v>47987107</v>
      </c>
      <c r="G12" s="54">
        <f>착공내역서!M76</f>
        <v>43077761</v>
      </c>
      <c r="Q12" s="3" t="str">
        <f ca="1">HYPERLINK("#"&amp;착공내역서!O2&amp;"!A"&amp;ROW(착공내역서!A76),"내역 →")</f>
        <v>내역 →</v>
      </c>
    </row>
    <row r="13" spans="1:17" ht="24" customHeight="1" x14ac:dyDescent="0.3">
      <c r="A13" s="10"/>
      <c r="B13" s="10" t="s">
        <v>914</v>
      </c>
      <c r="C13" s="10"/>
      <c r="D13" s="54">
        <f>ROUNDDOWN(E12*M13/100,0)</f>
        <v>13570675</v>
      </c>
      <c r="E13" s="146" t="str">
        <f>"직접노무비 x "&amp;ROUND(M13,5)&amp;"%"</f>
        <v>직접노무비 x 16.5%</v>
      </c>
      <c r="F13" s="144"/>
      <c r="G13" s="147"/>
      <c r="H13" s="17" t="s">
        <v>915</v>
      </c>
      <c r="I13" s="36">
        <v>0</v>
      </c>
      <c r="M13" s="67">
        <v>16.5</v>
      </c>
      <c r="N13" s="36">
        <v>0</v>
      </c>
      <c r="O13" s="36">
        <v>0</v>
      </c>
      <c r="P13" s="36">
        <v>0</v>
      </c>
    </row>
    <row r="14" spans="1:17" ht="24" customHeight="1" x14ac:dyDescent="0.3">
      <c r="A14" s="10"/>
      <c r="B14" s="10" t="s">
        <v>916</v>
      </c>
      <c r="C14" s="10"/>
      <c r="D14" s="54">
        <f>ROUNDDOWN(((E12+D13))*M14/100,0)</f>
        <v>3411092</v>
      </c>
      <c r="E14" s="146" t="str">
        <f>"(직접노무비+간접노무비) x "&amp;ROUND(M14,5)&amp;"%"</f>
        <v>(직접노무비+간접노무비) x 3.56%</v>
      </c>
      <c r="F14" s="144"/>
      <c r="G14" s="147"/>
      <c r="H14" s="17" t="s">
        <v>917</v>
      </c>
      <c r="I14" s="36">
        <v>0</v>
      </c>
      <c r="M14" s="67">
        <v>3.56</v>
      </c>
      <c r="N14" s="36">
        <v>0</v>
      </c>
      <c r="O14" s="36">
        <v>0</v>
      </c>
      <c r="P14" s="36">
        <v>0</v>
      </c>
    </row>
    <row r="15" spans="1:17" ht="24" customHeight="1" x14ac:dyDescent="0.3">
      <c r="A15" s="10"/>
      <c r="B15" s="10" t="s">
        <v>918</v>
      </c>
      <c r="C15" s="10"/>
      <c r="D15" s="54">
        <f>ROUNDDOWN(((E12+D13))*M15/100,0)</f>
        <v>967753</v>
      </c>
      <c r="E15" s="146" t="str">
        <f>"(직접노무비+간접노무비) x "&amp;ROUND(M15,5)&amp;"%"</f>
        <v>(직접노무비+간접노무비) x 1.01%</v>
      </c>
      <c r="F15" s="144"/>
      <c r="G15" s="147"/>
      <c r="H15" s="17" t="s">
        <v>919</v>
      </c>
      <c r="I15" s="36">
        <v>0</v>
      </c>
      <c r="M15" s="67">
        <v>1.01</v>
      </c>
      <c r="N15" s="36">
        <v>0</v>
      </c>
      <c r="O15" s="36">
        <v>0</v>
      </c>
      <c r="P15" s="36">
        <v>0</v>
      </c>
    </row>
    <row r="16" spans="1:17" ht="24" customHeight="1" x14ac:dyDescent="0.3">
      <c r="A16" s="10"/>
      <c r="B16" s="10" t="s">
        <v>920</v>
      </c>
      <c r="C16" s="10"/>
      <c r="D16" s="11">
        <v>3323139</v>
      </c>
      <c r="E16" s="148"/>
      <c r="F16" s="144"/>
      <c r="G16" s="147"/>
      <c r="H16" s="17" t="s">
        <v>921</v>
      </c>
      <c r="I16" s="36">
        <v>0</v>
      </c>
      <c r="J16" s="55">
        <f>E12</f>
        <v>82246518</v>
      </c>
      <c r="M16" s="37">
        <v>3.5449999999999999</v>
      </c>
      <c r="N16" s="36">
        <v>0</v>
      </c>
      <c r="O16" s="36">
        <v>0</v>
      </c>
      <c r="P16" s="36">
        <v>0</v>
      </c>
    </row>
    <row r="17" spans="1:16" ht="24" customHeight="1" x14ac:dyDescent="0.3">
      <c r="A17" s="10"/>
      <c r="B17" s="10" t="s">
        <v>922</v>
      </c>
      <c r="C17" s="10"/>
      <c r="D17" s="11">
        <v>430346</v>
      </c>
      <c r="E17" s="148"/>
      <c r="F17" s="144"/>
      <c r="G17" s="147"/>
      <c r="H17" s="17" t="s">
        <v>923</v>
      </c>
      <c r="I17" s="36">
        <v>0</v>
      </c>
      <c r="J17" s="55">
        <f>D16</f>
        <v>3323139</v>
      </c>
      <c r="M17" s="37">
        <v>12.95</v>
      </c>
      <c r="N17" s="36">
        <v>0</v>
      </c>
      <c r="O17" s="36">
        <v>0</v>
      </c>
      <c r="P17" s="36">
        <v>0</v>
      </c>
    </row>
    <row r="18" spans="1:16" ht="24" customHeight="1" x14ac:dyDescent="0.3">
      <c r="A18" s="10"/>
      <c r="B18" s="10" t="s">
        <v>924</v>
      </c>
      <c r="C18" s="10"/>
      <c r="D18" s="11">
        <v>4218371</v>
      </c>
      <c r="E18" s="148"/>
      <c r="F18" s="144"/>
      <c r="G18" s="147"/>
      <c r="H18" s="17" t="s">
        <v>925</v>
      </c>
      <c r="I18" s="36">
        <v>0</v>
      </c>
      <c r="J18" s="55">
        <f>E12</f>
        <v>82246518</v>
      </c>
      <c r="M18" s="37">
        <v>4.5</v>
      </c>
      <c r="N18" s="36">
        <v>0</v>
      </c>
      <c r="O18" s="36">
        <v>0</v>
      </c>
      <c r="P18" s="36">
        <v>0</v>
      </c>
    </row>
    <row r="19" spans="1:16" ht="24" customHeight="1" x14ac:dyDescent="0.3">
      <c r="A19" s="10"/>
      <c r="B19" s="10" t="s">
        <v>926</v>
      </c>
      <c r="C19" s="10"/>
      <c r="D19" s="11">
        <v>5611074</v>
      </c>
      <c r="E19" s="148"/>
      <c r="F19" s="144"/>
      <c r="G19" s="147"/>
      <c r="H19" s="17" t="s">
        <v>927</v>
      </c>
      <c r="I19" s="36">
        <v>0</v>
      </c>
      <c r="J19" s="55">
        <f>((E12+(F12))+(I31-O31)/1.1)</f>
        <v>177383253.18181819</v>
      </c>
      <c r="M19" s="37">
        <v>3.15</v>
      </c>
      <c r="N19" s="36">
        <v>0</v>
      </c>
      <c r="O19" s="36">
        <v>0</v>
      </c>
      <c r="P19" s="36">
        <v>0</v>
      </c>
    </row>
    <row r="20" spans="1:16" ht="24" customHeight="1" x14ac:dyDescent="0.3">
      <c r="A20" s="10"/>
      <c r="B20" s="10" t="s">
        <v>929</v>
      </c>
      <c r="C20" s="10"/>
      <c r="D20" s="54">
        <f>ROUNDDOWN(((((E12+D13)+(F12))))*M20/100,0)</f>
        <v>7477823</v>
      </c>
      <c r="E20" s="146" t="str">
        <f>"(직접노무비+간접노무비+재료비) x "&amp;ROUND(M20,5)&amp;"%"</f>
        <v>(직접노무비+간접노무비+재료비) x 5.2%</v>
      </c>
      <c r="F20" s="144"/>
      <c r="G20" s="147"/>
      <c r="H20" s="17" t="s">
        <v>930</v>
      </c>
      <c r="I20" s="36">
        <v>0</v>
      </c>
      <c r="M20" s="67">
        <v>5.2</v>
      </c>
      <c r="N20" s="36">
        <v>0</v>
      </c>
      <c r="O20" s="36">
        <v>0</v>
      </c>
      <c r="P20" s="36">
        <v>0</v>
      </c>
    </row>
    <row r="21" spans="1:16" ht="24" customHeight="1" x14ac:dyDescent="0.3">
      <c r="A21" s="10"/>
      <c r="B21" s="10" t="s">
        <v>931</v>
      </c>
      <c r="C21" s="10"/>
      <c r="D21" s="54">
        <f>ROUNDDOWN((D12)*M21/100,0)</f>
        <v>1386491</v>
      </c>
      <c r="E21" s="146" t="str">
        <f>"(재료비 + 직접노무비 + 산출경비) x "&amp;ROUND(M21,5)&amp;"%"</f>
        <v>(재료비 + 직접노무비 + 산출경비) x 0.8%</v>
      </c>
      <c r="F21" s="144"/>
      <c r="G21" s="147"/>
      <c r="H21" s="17" t="s">
        <v>932</v>
      </c>
      <c r="I21" s="36">
        <v>0</v>
      </c>
      <c r="M21" s="67">
        <v>0.8</v>
      </c>
      <c r="N21" s="36">
        <v>0</v>
      </c>
      <c r="O21" s="36">
        <v>0</v>
      </c>
      <c r="P21" s="36">
        <v>0</v>
      </c>
    </row>
    <row r="22" spans="1:16" ht="24" customHeight="1" x14ac:dyDescent="0.3">
      <c r="A22" s="10"/>
      <c r="B22" s="10" t="s">
        <v>933</v>
      </c>
      <c r="C22" s="10"/>
      <c r="D22" s="54">
        <f>ROUNDDOWN((D12)*M22/100,0)</f>
        <v>693245</v>
      </c>
      <c r="E22" s="146" t="str">
        <f>"(재료비 + 직접노무비 + 산출경비) x "&amp;ROUND(M22,5)&amp;"%"</f>
        <v>(재료비 + 직접노무비 + 산출경비) x 0.4%</v>
      </c>
      <c r="F22" s="144"/>
      <c r="G22" s="147"/>
      <c r="H22" s="17" t="s">
        <v>934</v>
      </c>
      <c r="I22" s="36">
        <v>0</v>
      </c>
      <c r="M22" s="67">
        <v>0.4</v>
      </c>
      <c r="N22" s="36">
        <v>0</v>
      </c>
      <c r="O22" s="36">
        <v>0</v>
      </c>
      <c r="P22" s="36">
        <v>0</v>
      </c>
    </row>
    <row r="23" spans="1:16" ht="24" customHeight="1" x14ac:dyDescent="0.3">
      <c r="A23" s="10" t="s">
        <v>935</v>
      </c>
      <c r="B23" s="10" t="s">
        <v>936</v>
      </c>
      <c r="C23" s="10"/>
      <c r="D23" s="54">
        <f>(D12+D13+D14+D15+D16+D17+D18+D19+D20+D21+D22)</f>
        <v>214401395</v>
      </c>
      <c r="E23" s="148"/>
      <c r="F23" s="144"/>
      <c r="G23" s="147"/>
      <c r="H23" s="17" t="s">
        <v>937</v>
      </c>
      <c r="I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4" customHeight="1" x14ac:dyDescent="0.3">
      <c r="A24" s="10"/>
      <c r="B24" s="10" t="s">
        <v>938</v>
      </c>
      <c r="C24" s="10"/>
      <c r="D24" s="54">
        <f>ROUNDDOWN(((D23)+0)*M24/100,0)</f>
        <v>12864083</v>
      </c>
      <c r="E24" s="146" t="str">
        <f>"(나.소  계) x "&amp;ROUND(M24,5)&amp;"%"</f>
        <v>(나.소  계) x 6%</v>
      </c>
      <c r="F24" s="144"/>
      <c r="G24" s="147"/>
      <c r="H24" s="17" t="s">
        <v>939</v>
      </c>
      <c r="I24" s="36">
        <v>0</v>
      </c>
      <c r="M24" s="66">
        <v>6</v>
      </c>
      <c r="N24" s="36">
        <v>0</v>
      </c>
      <c r="O24" s="36">
        <v>0</v>
      </c>
      <c r="P24" s="36">
        <v>0</v>
      </c>
    </row>
    <row r="25" spans="1:16" ht="24" customHeight="1" x14ac:dyDescent="0.3">
      <c r="A25" s="10" t="s">
        <v>940</v>
      </c>
      <c r="B25" s="10" t="s">
        <v>936</v>
      </c>
      <c r="C25" s="10"/>
      <c r="D25" s="54">
        <f>(D23+D24)</f>
        <v>227265478</v>
      </c>
      <c r="E25" s="148"/>
      <c r="F25" s="144"/>
      <c r="G25" s="147"/>
      <c r="H25" s="17" t="s">
        <v>941</v>
      </c>
      <c r="I25" s="36">
        <v>3</v>
      </c>
      <c r="J25" s="55">
        <f>D25</f>
        <v>227265478</v>
      </c>
      <c r="L25" s="55">
        <f>D25</f>
        <v>227265478</v>
      </c>
      <c r="M25" s="36">
        <v>0</v>
      </c>
      <c r="N25" s="36">
        <v>0</v>
      </c>
      <c r="O25" s="36">
        <v>0</v>
      </c>
      <c r="P25" s="36">
        <v>0</v>
      </c>
    </row>
    <row r="26" spans="1:16" ht="24" customHeight="1" x14ac:dyDescent="0.3">
      <c r="A26" s="10"/>
      <c r="B26" s="10" t="s">
        <v>942</v>
      </c>
      <c r="C26" s="10"/>
      <c r="D26" s="54">
        <f>ROUNDDOWN(((D25)-(F12))*M26/100,0)-I26-K26</f>
        <v>24086755</v>
      </c>
      <c r="E26" s="146" t="str">
        <f>"(다.소계 - 재료비) x "&amp;ROUND(M26,5)&amp;"% = "&amp;TEXT(J26,"#,##0")</f>
        <v>(다.소계 - 재료비) x 13.4355% = 24,086,945</v>
      </c>
      <c r="F26" s="144"/>
      <c r="G26" s="147"/>
      <c r="H26" s="17" t="s">
        <v>943</v>
      </c>
      <c r="I26" s="65">
        <f>ROUND((J32-ROUNDDOWN(J32,-I25))/1.1,0)</f>
        <v>190</v>
      </c>
      <c r="J26" s="55">
        <f>ROUNDDOWN(((J25)-(F12))*M26/100,0)</f>
        <v>24086945</v>
      </c>
      <c r="K26" s="55">
        <f>ABS(L32-ROUNDDOWN(J32,-I25))*IF(L32&gt;ROUNDDOWN(J32,-I25),1,-1)</f>
        <v>0</v>
      </c>
      <c r="L26" s="55">
        <f>ROUNDDOWN(((L25)-(F12))*M26/100,0)-I26</f>
        <v>24086755</v>
      </c>
      <c r="M26" s="67">
        <v>13.435499999999999</v>
      </c>
      <c r="N26" s="36">
        <v>0</v>
      </c>
      <c r="O26" s="36">
        <v>0</v>
      </c>
      <c r="P26" s="36">
        <v>0</v>
      </c>
    </row>
    <row r="27" spans="1:16" ht="24" customHeight="1" x14ac:dyDescent="0.3">
      <c r="A27" s="10"/>
      <c r="B27" s="10" t="s">
        <v>944</v>
      </c>
      <c r="C27" s="10"/>
      <c r="D27" s="11">
        <v>2929586</v>
      </c>
      <c r="E27" s="148"/>
      <c r="F27" s="144"/>
      <c r="G27" s="147"/>
      <c r="H27" s="17" t="s">
        <v>945</v>
      </c>
      <c r="I27" s="36">
        <v>0</v>
      </c>
      <c r="J27" s="55">
        <f>D27</f>
        <v>2929586</v>
      </c>
      <c r="L27" s="55">
        <f>D27</f>
        <v>2929586</v>
      </c>
      <c r="M27" s="36">
        <v>0</v>
      </c>
      <c r="N27" s="36">
        <v>0</v>
      </c>
      <c r="O27" s="36">
        <v>0</v>
      </c>
      <c r="P27" s="36">
        <v>0</v>
      </c>
    </row>
    <row r="28" spans="1:16" ht="24" customHeight="1" x14ac:dyDescent="0.3">
      <c r="A28" s="10" t="s">
        <v>946</v>
      </c>
      <c r="B28" s="10" t="s">
        <v>947</v>
      </c>
      <c r="C28" s="10"/>
      <c r="D28" s="54">
        <f>(D25+D26+D27)</f>
        <v>254281819</v>
      </c>
      <c r="E28" s="148"/>
      <c r="F28" s="144"/>
      <c r="G28" s="147"/>
      <c r="H28" s="17" t="s">
        <v>948</v>
      </c>
      <c r="I28" s="36">
        <v>0</v>
      </c>
      <c r="J28" s="55">
        <f>(J25+J26+J27)</f>
        <v>254282009</v>
      </c>
      <c r="L28" s="55">
        <f>(L25+L26+L27)</f>
        <v>254281819</v>
      </c>
      <c r="M28" s="36">
        <v>0</v>
      </c>
      <c r="N28" s="36">
        <v>0</v>
      </c>
      <c r="O28" s="36">
        <v>0</v>
      </c>
      <c r="P28" s="36">
        <v>0</v>
      </c>
    </row>
    <row r="29" spans="1:16" ht="24" customHeight="1" x14ac:dyDescent="0.3">
      <c r="A29" s="10"/>
      <c r="B29" s="10" t="s">
        <v>949</v>
      </c>
      <c r="C29" s="10"/>
      <c r="D29" s="54">
        <f>ROUNDDOWN((D28)*M29/100,0)+I29</f>
        <v>25428181</v>
      </c>
      <c r="E29" s="146" t="str">
        <f>"공급가액 x "&amp;ROUND(M29,5)&amp;"%"</f>
        <v>공급가액 x 10%</v>
      </c>
      <c r="F29" s="144"/>
      <c r="G29" s="147"/>
      <c r="H29" s="17" t="s">
        <v>950</v>
      </c>
      <c r="I29" s="66">
        <v>0</v>
      </c>
      <c r="J29" s="55">
        <f>ROUNDDOWN((J28)*M29/100,0)+I29</f>
        <v>25428200</v>
      </c>
      <c r="L29" s="55">
        <f>ROUNDDOWN((L28)*M29/100,0)+I29</f>
        <v>25428181</v>
      </c>
      <c r="M29" s="66">
        <v>10</v>
      </c>
      <c r="N29" s="36">
        <v>0</v>
      </c>
      <c r="O29" s="36">
        <v>0</v>
      </c>
      <c r="P29" s="36">
        <v>0</v>
      </c>
    </row>
    <row r="30" spans="1:16" ht="24" customHeight="1" x14ac:dyDescent="0.3">
      <c r="A30" s="10" t="s">
        <v>951</v>
      </c>
      <c r="B30" s="10" t="s">
        <v>952</v>
      </c>
      <c r="C30" s="10"/>
      <c r="D30" s="54">
        <f>(D28+D29)</f>
        <v>279710000</v>
      </c>
      <c r="E30" s="148"/>
      <c r="F30" s="144"/>
      <c r="G30" s="147"/>
      <c r="H30" s="17" t="s">
        <v>953</v>
      </c>
      <c r="I30" s="36">
        <v>0</v>
      </c>
      <c r="J30" s="55">
        <f>(J28+J29)</f>
        <v>279710209</v>
      </c>
      <c r="L30" s="55">
        <f>(L28+L29)</f>
        <v>279710000</v>
      </c>
      <c r="M30" s="36">
        <v>0</v>
      </c>
      <c r="N30" s="36">
        <v>0</v>
      </c>
      <c r="O30" s="36">
        <v>3</v>
      </c>
      <c r="P30" s="36">
        <v>0</v>
      </c>
    </row>
    <row r="31" spans="1:16" ht="24" customHeight="1" x14ac:dyDescent="0.3">
      <c r="A31" s="10"/>
      <c r="B31" s="10" t="s">
        <v>954</v>
      </c>
      <c r="C31" s="10"/>
      <c r="D31" s="54">
        <f>ROUNDUP(I31,-3)</f>
        <v>53605000</v>
      </c>
      <c r="E31" s="146" t="str">
        <f>"원자재대: "&amp;TEXT(I31,"#,0")&amp;" (조달수수료: "&amp;TEXT(O31,"#,0")&amp;" 포함)"</f>
        <v>원자재대: 53,604,067 (조달수수료: 1,739,476 포함)</v>
      </c>
      <c r="F31" s="144"/>
      <c r="G31" s="147"/>
      <c r="H31" s="17" t="s">
        <v>955</v>
      </c>
      <c r="I31" s="66">
        <v>53604067</v>
      </c>
      <c r="J31" s="55">
        <f>ROUNDUP(I31,-3)</f>
        <v>53605000</v>
      </c>
      <c r="L31" s="55">
        <f>ROUNDUP(I31,-3)</f>
        <v>53605000</v>
      </c>
      <c r="M31" s="36">
        <v>3</v>
      </c>
      <c r="N31" s="36">
        <v>0</v>
      </c>
      <c r="O31" s="66">
        <v>1739476</v>
      </c>
      <c r="P31" s="36">
        <v>0</v>
      </c>
    </row>
    <row r="32" spans="1:16" ht="24" customHeight="1" x14ac:dyDescent="0.3">
      <c r="A32" s="10" t="s">
        <v>956</v>
      </c>
      <c r="B32" s="10" t="s">
        <v>957</v>
      </c>
      <c r="C32" s="10"/>
      <c r="D32" s="54">
        <f>(D30+D31)</f>
        <v>333315000</v>
      </c>
      <c r="E32" s="148"/>
      <c r="F32" s="144"/>
      <c r="G32" s="147"/>
      <c r="H32" s="17" t="s">
        <v>958</v>
      </c>
      <c r="I32" s="36">
        <v>0</v>
      </c>
      <c r="J32" s="55">
        <f>(J30+J31)</f>
        <v>333315209</v>
      </c>
      <c r="L32" s="55">
        <f>(L30+L31)</f>
        <v>333315000</v>
      </c>
      <c r="M32" s="36">
        <v>0</v>
      </c>
      <c r="N32" s="36">
        <v>0</v>
      </c>
      <c r="O32" s="36">
        <v>3</v>
      </c>
      <c r="P32" s="36">
        <v>0</v>
      </c>
    </row>
  </sheetData>
  <mergeCells count="22">
    <mergeCell ref="E29:G29"/>
    <mergeCell ref="E30:G30"/>
    <mergeCell ref="E31:G31"/>
    <mergeCell ref="E32:G32"/>
    <mergeCell ref="E23:G23"/>
    <mergeCell ref="E24:G24"/>
    <mergeCell ref="E25:G25"/>
    <mergeCell ref="E26:G26"/>
    <mergeCell ref="E27:G27"/>
    <mergeCell ref="E28:G28"/>
    <mergeCell ref="E17:G17"/>
    <mergeCell ref="E18:G18"/>
    <mergeCell ref="E19:G19"/>
    <mergeCell ref="E20:G20"/>
    <mergeCell ref="E21:G21"/>
    <mergeCell ref="E22:G22"/>
    <mergeCell ref="A1:G1"/>
    <mergeCell ref="I3:P3"/>
    <mergeCell ref="E13:G13"/>
    <mergeCell ref="E14:G14"/>
    <mergeCell ref="E15:G15"/>
    <mergeCell ref="E16:G16"/>
  </mergeCells>
  <phoneticPr fontId="23" type="noConversion"/>
  <conditionalFormatting sqref="D26">
    <cfRule type="expression" dxfId="4" priority="1" stopIfTrue="1">
      <formula>($I$26+$K$26)&lt;0</formula>
    </cfRule>
  </conditionalFormatting>
  <conditionalFormatting sqref="D32">
    <cfRule type="expression" dxfId="3" priority="2" stopIfTrue="1">
      <formula>"&lt;&gt;ROUNDDOWN($J$32,-$I$25)+$I$32*10^($I$25-1)"</formula>
    </cfRule>
  </conditionalFormatting>
  <hyperlinks>
    <hyperlink ref="H1" r:id="rId1" tooltip="설계예산시스템(STmate w25.07)으로 작성 하였으며,_x000a_엑셀 인쇄품질 600 dpi에 최적화 되어 있습니다._x000a_경영정보(주) http://www.stma.co.kr_x000a_Tel) 070-4350-0040_x000a_Fax) 0505-300-3948"/>
    <hyperlink ref="Q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1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5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6" width="10" style="6" customWidth="1"/>
    <col min="7" max="7" width="11.5" style="6" customWidth="1"/>
    <col min="8" max="8" width="10" style="6" customWidth="1"/>
    <col min="9" max="9" width="11.5" style="6" customWidth="1"/>
    <col min="10" max="10" width="10" style="6" customWidth="1"/>
    <col min="11" max="11" width="11.5" style="6" customWidth="1"/>
    <col min="12" max="12" width="10" style="6" customWidth="1"/>
    <col min="13" max="13" width="11.5" style="6" customWidth="1"/>
    <col min="14" max="14" width="10" style="6" customWidth="1"/>
    <col min="15" max="15" width="9.125" style="16" hidden="1" customWidth="1"/>
    <col min="16" max="28" width="2.125" style="6" customWidth="1"/>
    <col min="29" max="29" width="9.125" style="18" customWidth="1"/>
    <col min="30" max="16384" width="9.125" style="6"/>
  </cols>
  <sheetData>
    <row r="1" spans="1:29" ht="24.95" customHeight="1" x14ac:dyDescent="0.3">
      <c r="A1" s="133" t="s">
        <v>733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5" t="s">
        <v>133</v>
      </c>
      <c r="AC1" s="19" t="s">
        <v>133</v>
      </c>
    </row>
    <row r="2" spans="1:29" ht="30.6" customHeight="1" x14ac:dyDescent="0.3">
      <c r="A2" s="1" t="s">
        <v>1</v>
      </c>
      <c r="O2" s="20" t="str">
        <f ca="1">MID(CELL("filename",$A$1),FIND("]",CELL("filename",$A$1))+1,LEN(CELL("filename",$A$1)))</f>
        <v>착공내역서</v>
      </c>
    </row>
    <row r="3" spans="1:29" ht="30.6" customHeight="1" x14ac:dyDescent="0.3">
      <c r="A3" s="149" t="s">
        <v>734</v>
      </c>
      <c r="B3" s="149" t="s">
        <v>3</v>
      </c>
      <c r="C3" s="149" t="s">
        <v>4</v>
      </c>
      <c r="D3" s="149" t="s">
        <v>735</v>
      </c>
      <c r="E3" s="149" t="s">
        <v>5</v>
      </c>
      <c r="F3" s="136" t="s">
        <v>6</v>
      </c>
      <c r="G3" s="142"/>
      <c r="H3" s="136" t="s">
        <v>7</v>
      </c>
      <c r="I3" s="142"/>
      <c r="J3" s="136" t="s">
        <v>8</v>
      </c>
      <c r="K3" s="142"/>
      <c r="L3" s="136" t="s">
        <v>9</v>
      </c>
      <c r="M3" s="142"/>
      <c r="N3" s="136" t="s">
        <v>10</v>
      </c>
    </row>
    <row r="4" spans="1:29" ht="30.6" customHeight="1" x14ac:dyDescent="0.3">
      <c r="A4" s="142"/>
      <c r="B4" s="142"/>
      <c r="C4" s="142"/>
      <c r="D4" s="142"/>
      <c r="E4" s="142"/>
      <c r="F4" s="9" t="s">
        <v>406</v>
      </c>
      <c r="G4" s="9" t="s">
        <v>736</v>
      </c>
      <c r="H4" s="9" t="s">
        <v>406</v>
      </c>
      <c r="I4" s="9" t="s">
        <v>736</v>
      </c>
      <c r="J4" s="9" t="s">
        <v>406</v>
      </c>
      <c r="K4" s="9" t="s">
        <v>736</v>
      </c>
      <c r="L4" s="9" t="s">
        <v>406</v>
      </c>
      <c r="M4" s="9" t="s">
        <v>736</v>
      </c>
      <c r="N4" s="137"/>
      <c r="AC4" s="3" t="str">
        <f>HYPERLINK("#'〓 목 차 〓'!B2","목차 →")</f>
        <v>목차 →</v>
      </c>
    </row>
    <row r="5" spans="1:29" ht="30.6" customHeight="1" x14ac:dyDescent="0.3">
      <c r="A5" s="41" t="s">
        <v>739</v>
      </c>
      <c r="B5" s="41" t="s">
        <v>740</v>
      </c>
      <c r="C5" s="43" t="s">
        <v>741</v>
      </c>
      <c r="D5" s="45"/>
      <c r="E5" s="23"/>
      <c r="F5" s="12">
        <v>0</v>
      </c>
      <c r="G5" s="52">
        <f>SUMIF(Q6:Q75,P5,G6:G75)</f>
        <v>173311386</v>
      </c>
      <c r="H5" s="13">
        <v>0</v>
      </c>
      <c r="I5" s="54">
        <f>SUMIF(Q6:Q75,P5,I6:I75)</f>
        <v>82246518</v>
      </c>
      <c r="J5" s="13">
        <v>0</v>
      </c>
      <c r="K5" s="60">
        <f>SUMIF(Q6:Q75,P5,K6:K75)</f>
        <v>47987107</v>
      </c>
      <c r="L5" s="22">
        <v>0</v>
      </c>
      <c r="M5" s="60">
        <f>SUMIF(Q6:Q75,P5,M6:M75)</f>
        <v>43077761</v>
      </c>
      <c r="N5" s="23"/>
      <c r="O5" s="17" t="str">
        <f>"_x0007_`COD|E5_x0005_`QTY1|1_x0005_`EXI|0_x0005_`ITT|0_x0005_`END|"&amp;ROW(M76)&amp;"_x0005_`"</f>
        <v>_x0007_`COD|E5_x0005_`QTY1|1_x0005_`EXI|0_x0005_`ITT|0_x0005_`END|76_x0005_`</v>
      </c>
      <c r="P5" s="7" t="s">
        <v>743</v>
      </c>
      <c r="Q5" s="7" t="s">
        <v>738</v>
      </c>
    </row>
    <row r="6" spans="1:29" ht="30.6" customHeight="1" x14ac:dyDescent="0.3">
      <c r="A6" s="10"/>
      <c r="B6" s="10"/>
      <c r="C6" s="44"/>
      <c r="D6" s="45"/>
      <c r="E6" s="23"/>
      <c r="F6" s="12">
        <v>0</v>
      </c>
      <c r="G6" s="53"/>
      <c r="H6" s="56"/>
      <c r="I6" s="56"/>
      <c r="J6" s="56"/>
      <c r="K6" s="56"/>
      <c r="L6" s="56"/>
      <c r="M6" s="63"/>
      <c r="N6" s="23"/>
      <c r="O6" s="17" t="s">
        <v>744</v>
      </c>
      <c r="P6" s="7" t="s">
        <v>742</v>
      </c>
      <c r="Q6" s="7" t="s">
        <v>743</v>
      </c>
    </row>
    <row r="7" spans="1:29" ht="30.6" customHeight="1" x14ac:dyDescent="0.3">
      <c r="A7" s="41" t="s">
        <v>747</v>
      </c>
      <c r="B7" s="41" t="s">
        <v>748</v>
      </c>
      <c r="C7" s="43"/>
      <c r="D7" s="45"/>
      <c r="E7" s="23"/>
      <c r="F7" s="12">
        <v>0</v>
      </c>
      <c r="G7" s="52">
        <f>SUMIF(Q8:Q25,P7,G8:G25)</f>
        <v>73538605</v>
      </c>
      <c r="H7" s="13">
        <v>0</v>
      </c>
      <c r="I7" s="54">
        <f>SUMIF(Q8:Q25,P7,I8:I25)</f>
        <v>40005379</v>
      </c>
      <c r="J7" s="13">
        <v>0</v>
      </c>
      <c r="K7" s="60">
        <f>SUMIF(Q8:Q25,P7,K8:K25)</f>
        <v>11773376</v>
      </c>
      <c r="L7" s="22">
        <v>0</v>
      </c>
      <c r="M7" s="60">
        <f>SUMIF(Q8:Q25,P7,M8:M25)</f>
        <v>21759850</v>
      </c>
      <c r="N7" s="23"/>
      <c r="O7" s="17" t="str">
        <f>"_x0007_`COD|E3_x0005_`QTY1|1_x0005_`EXI|0_x0005_`ITT|0_x0005_`END|"&amp;ROW(M26)&amp;"_x0005_`"</f>
        <v>_x0007_`COD|E3_x0005_`QTY1|1_x0005_`EXI|0_x0005_`ITT|0_x0005_`END|26_x0005_`</v>
      </c>
      <c r="P7" s="7" t="s">
        <v>750</v>
      </c>
      <c r="Q7" s="7" t="s">
        <v>743</v>
      </c>
    </row>
    <row r="8" spans="1:29" ht="30.6" customHeight="1" x14ac:dyDescent="0.3">
      <c r="A8" s="10" t="s">
        <v>751</v>
      </c>
      <c r="B8" s="10" t="s">
        <v>752</v>
      </c>
      <c r="C8" s="44"/>
      <c r="D8" s="45"/>
      <c r="E8" s="23"/>
      <c r="F8" s="12">
        <v>0</v>
      </c>
      <c r="G8" s="52">
        <f>SUMIF(Q9:Q9,P8,G9:G9)</f>
        <v>205024</v>
      </c>
      <c r="H8" s="13">
        <v>0</v>
      </c>
      <c r="I8" s="54">
        <f>SUMIF(Q9:Q9,P8,I9:I9)</f>
        <v>126352</v>
      </c>
      <c r="J8" s="13">
        <v>0</v>
      </c>
      <c r="K8" s="60">
        <f>SUMIF(Q9:Q9,P8,K9:K9)</f>
        <v>34866</v>
      </c>
      <c r="L8" s="22">
        <v>0</v>
      </c>
      <c r="M8" s="60">
        <f>SUMIF(Q9:Q9,P8,M9:M9)</f>
        <v>43806</v>
      </c>
      <c r="N8" s="23"/>
      <c r="O8" s="17" t="str">
        <f>"_x0007_`COD|E2_x0005_`QTY1|1_x0005_`EXI|0_x0005_`ITT|0_x0005_`END|"&amp;ROW(M10)&amp;"_x0005_`"</f>
        <v>_x0007_`COD|E2_x0005_`QTY1|1_x0005_`EXI|0_x0005_`ITT|0_x0005_`END|10_x0005_`</v>
      </c>
      <c r="P8" s="7" t="s">
        <v>754</v>
      </c>
      <c r="Q8" s="7" t="s">
        <v>750</v>
      </c>
    </row>
    <row r="9" spans="1:29" ht="30.6" customHeight="1" x14ac:dyDescent="0.3">
      <c r="A9" s="10"/>
      <c r="B9" s="10" t="s">
        <v>197</v>
      </c>
      <c r="C9" s="44" t="s">
        <v>198</v>
      </c>
      <c r="D9" s="46">
        <v>298</v>
      </c>
      <c r="E9" s="23" t="s">
        <v>14</v>
      </c>
      <c r="F9" s="49">
        <f>J9+H9+L9</f>
        <v>688</v>
      </c>
      <c r="G9" s="54">
        <f>K9+I9+M9</f>
        <v>205024</v>
      </c>
      <c r="H9" s="57">
        <f>IF(D9=0,0,단가산출근거목록표!F22)</f>
        <v>424</v>
      </c>
      <c r="I9" s="13">
        <f>ROUNDDOWN(H9*D9,0)</f>
        <v>126352</v>
      </c>
      <c r="J9" s="59">
        <f>IF(D9=0,0,단가산출근거목록표!G22)</f>
        <v>117</v>
      </c>
      <c r="K9" s="13">
        <f>ROUNDDOWN(J9*D9,0)</f>
        <v>34866</v>
      </c>
      <c r="L9" s="61">
        <f>IF(D9=0,0,단가산출근거목록표!H22)</f>
        <v>147</v>
      </c>
      <c r="M9" s="22">
        <f>ROUNDDOWN(L9*D9,0)</f>
        <v>43806</v>
      </c>
      <c r="N9" s="23" t="s">
        <v>756</v>
      </c>
      <c r="O9" s="17" t="s">
        <v>755</v>
      </c>
      <c r="P9" s="7" t="s">
        <v>753</v>
      </c>
      <c r="Q9" s="7" t="s">
        <v>754</v>
      </c>
      <c r="AC9" s="3" t="str">
        <f ca="1">HYPERLINK("#"&amp;단가산출근거목록표!J2&amp;"!A"&amp;ROW(단가산출근거목록표!A22),"D01476 →")</f>
        <v>D01476 →</v>
      </c>
    </row>
    <row r="10" spans="1:29" ht="30.6" customHeight="1" x14ac:dyDescent="0.3">
      <c r="A10" s="10" t="s">
        <v>758</v>
      </c>
      <c r="B10" s="10" t="s">
        <v>759</v>
      </c>
      <c r="C10" s="44"/>
      <c r="D10" s="45"/>
      <c r="E10" s="23"/>
      <c r="F10" s="12">
        <v>0</v>
      </c>
      <c r="G10" s="52">
        <f>SUMIF(Q11:Q14,P10,G11:G14)</f>
        <v>56015118</v>
      </c>
      <c r="H10" s="13">
        <v>0</v>
      </c>
      <c r="I10" s="54">
        <f>SUMIF(Q11:Q14,P10,I11:I14)</f>
        <v>29149820</v>
      </c>
      <c r="J10" s="13">
        <v>0</v>
      </c>
      <c r="K10" s="60">
        <f>SUMIF(Q11:Q14,P10,K11:K14)</f>
        <v>9429779</v>
      </c>
      <c r="L10" s="22">
        <v>0</v>
      </c>
      <c r="M10" s="60">
        <f>SUMIF(Q11:Q14,P10,M11:M14)</f>
        <v>17435519</v>
      </c>
      <c r="N10" s="23"/>
      <c r="O10" s="17" t="str">
        <f>"_x0007_`COD|E2_x0005_`QTY1|1_x0005_`EXI|0_x0005_`ITT|0_x0005_`END|"&amp;ROW(M15)&amp;"_x0005_`"</f>
        <v>_x0007_`COD|E2_x0005_`QTY1|1_x0005_`EXI|0_x0005_`ITT|0_x0005_`END|15_x0005_`</v>
      </c>
      <c r="P10" s="7" t="s">
        <v>754</v>
      </c>
      <c r="Q10" s="7" t="s">
        <v>750</v>
      </c>
    </row>
    <row r="11" spans="1:29" ht="30.6" customHeight="1" x14ac:dyDescent="0.3">
      <c r="A11" s="10"/>
      <c r="B11" s="10" t="s">
        <v>201</v>
      </c>
      <c r="C11" s="44" t="s">
        <v>202</v>
      </c>
      <c r="D11" s="46">
        <v>2749</v>
      </c>
      <c r="E11" s="23" t="s">
        <v>26</v>
      </c>
      <c r="F11" s="49">
        <f t="shared" ref="F11:G14" si="0">J11+H11+L11</f>
        <v>2156</v>
      </c>
      <c r="G11" s="54">
        <f t="shared" si="0"/>
        <v>5926844</v>
      </c>
      <c r="H11" s="57">
        <f>IF(D11=0,0,단가산출근거목록표!F23)</f>
        <v>1228</v>
      </c>
      <c r="I11" s="13">
        <f>ROUNDDOWN(H11*D11,0)</f>
        <v>3375772</v>
      </c>
      <c r="J11" s="59">
        <f>IF(D11=0,0,단가산출근거목록표!G23)</f>
        <v>413</v>
      </c>
      <c r="K11" s="13">
        <f>ROUNDDOWN(J11*D11,0)</f>
        <v>1135337</v>
      </c>
      <c r="L11" s="61">
        <f>IF(D11=0,0,단가산출근거목록표!H23)</f>
        <v>515</v>
      </c>
      <c r="M11" s="22">
        <f>ROUNDDOWN(L11*D11,0)</f>
        <v>1415735</v>
      </c>
      <c r="N11" s="23" t="s">
        <v>762</v>
      </c>
      <c r="O11" s="17" t="s">
        <v>761</v>
      </c>
      <c r="P11" s="7" t="s">
        <v>760</v>
      </c>
      <c r="Q11" s="7" t="s">
        <v>754</v>
      </c>
      <c r="AC11" s="3" t="str">
        <f ca="1">HYPERLINK("#"&amp;단가산출근거목록표!J2&amp;"!A"&amp;ROW(단가산출근거목록표!A23),"D01477 →")</f>
        <v>D01477 →</v>
      </c>
    </row>
    <row r="12" spans="1:29" ht="30.6" customHeight="1" x14ac:dyDescent="0.3">
      <c r="A12" s="10"/>
      <c r="B12" s="10" t="s">
        <v>205</v>
      </c>
      <c r="C12" s="44" t="s">
        <v>206</v>
      </c>
      <c r="D12" s="46">
        <v>2292</v>
      </c>
      <c r="E12" s="23" t="s">
        <v>26</v>
      </c>
      <c r="F12" s="49">
        <f t="shared" si="0"/>
        <v>21679</v>
      </c>
      <c r="G12" s="54">
        <f t="shared" si="0"/>
        <v>49688268</v>
      </c>
      <c r="H12" s="57">
        <f>IF(D12=0,0,단가산출근거목록표!F24)</f>
        <v>11147</v>
      </c>
      <c r="I12" s="13">
        <f>ROUNDDOWN(H12*D12,0)</f>
        <v>25548924</v>
      </c>
      <c r="J12" s="59">
        <f>IF(D12=0,0,단가산출근거목록표!G24)</f>
        <v>3589</v>
      </c>
      <c r="K12" s="13">
        <f>ROUNDDOWN(J12*D12,0)</f>
        <v>8225988</v>
      </c>
      <c r="L12" s="61">
        <f>IF(D12=0,0,단가산출근거목록표!H24)</f>
        <v>6943</v>
      </c>
      <c r="M12" s="22">
        <f>ROUNDDOWN(L12*D12,0)</f>
        <v>15913356</v>
      </c>
      <c r="N12" s="23" t="s">
        <v>765</v>
      </c>
      <c r="O12" s="17" t="s">
        <v>764</v>
      </c>
      <c r="P12" s="7" t="s">
        <v>763</v>
      </c>
      <c r="Q12" s="7" t="s">
        <v>754</v>
      </c>
      <c r="AC12" s="3" t="str">
        <f ca="1">HYPERLINK("#"&amp;단가산출근거목록표!J2&amp;"!A"&amp;ROW(단가산출근거목록표!A24),"D01478 →")</f>
        <v>D01478 →</v>
      </c>
    </row>
    <row r="13" spans="1:29" ht="30.6" customHeight="1" x14ac:dyDescent="0.3">
      <c r="A13" s="10"/>
      <c r="B13" s="10" t="s">
        <v>209</v>
      </c>
      <c r="C13" s="44" t="s">
        <v>210</v>
      </c>
      <c r="D13" s="46">
        <v>46</v>
      </c>
      <c r="E13" s="23" t="s">
        <v>26</v>
      </c>
      <c r="F13" s="49">
        <f t="shared" si="0"/>
        <v>2837</v>
      </c>
      <c r="G13" s="54">
        <f t="shared" si="0"/>
        <v>130502</v>
      </c>
      <c r="H13" s="57">
        <f>IF(D13=0,0,단가산출근거목록표!F25)</f>
        <v>1786</v>
      </c>
      <c r="I13" s="13">
        <f>ROUNDDOWN(H13*D13,0)</f>
        <v>82156</v>
      </c>
      <c r="J13" s="59">
        <f>IF(D13=0,0,단가산출근거목록표!G25)</f>
        <v>513</v>
      </c>
      <c r="K13" s="13">
        <f>ROUNDDOWN(J13*D13,0)</f>
        <v>23598</v>
      </c>
      <c r="L13" s="61">
        <f>IF(D13=0,0,단가산출근거목록표!H25)</f>
        <v>538</v>
      </c>
      <c r="M13" s="22">
        <f>ROUNDDOWN(L13*D13,0)</f>
        <v>24748</v>
      </c>
      <c r="N13" s="23" t="s">
        <v>768</v>
      </c>
      <c r="O13" s="17" t="s">
        <v>767</v>
      </c>
      <c r="P13" s="7" t="s">
        <v>766</v>
      </c>
      <c r="Q13" s="7" t="s">
        <v>754</v>
      </c>
      <c r="AC13" s="3" t="str">
        <f ca="1">HYPERLINK("#"&amp;단가산출근거목록표!J2&amp;"!A"&amp;ROW(단가산출근거목록표!A25),"D01479 →")</f>
        <v>D01479 →</v>
      </c>
    </row>
    <row r="14" spans="1:29" ht="30.6" customHeight="1" x14ac:dyDescent="0.3">
      <c r="A14" s="10"/>
      <c r="B14" s="10" t="s">
        <v>213</v>
      </c>
      <c r="C14" s="44" t="s">
        <v>214</v>
      </c>
      <c r="D14" s="46">
        <v>8</v>
      </c>
      <c r="E14" s="23" t="s">
        <v>26</v>
      </c>
      <c r="F14" s="49">
        <f t="shared" si="0"/>
        <v>33688</v>
      </c>
      <c r="G14" s="54">
        <f t="shared" si="0"/>
        <v>269504</v>
      </c>
      <c r="H14" s="57">
        <f>IF(D14=0,0,단가산출근거목록표!F26)</f>
        <v>17871</v>
      </c>
      <c r="I14" s="13">
        <f>ROUNDDOWN(H14*D14,0)</f>
        <v>142968</v>
      </c>
      <c r="J14" s="59">
        <f>IF(D14=0,0,단가산출근거목록표!G26)</f>
        <v>5607</v>
      </c>
      <c r="K14" s="13">
        <f>ROUNDDOWN(J14*D14,0)</f>
        <v>44856</v>
      </c>
      <c r="L14" s="61">
        <f>IF(D14=0,0,단가산출근거목록표!H26)</f>
        <v>10210</v>
      </c>
      <c r="M14" s="22">
        <f>ROUNDDOWN(L14*D14,0)</f>
        <v>81680</v>
      </c>
      <c r="N14" s="23" t="s">
        <v>771</v>
      </c>
      <c r="O14" s="17" t="s">
        <v>770</v>
      </c>
      <c r="P14" s="7" t="s">
        <v>769</v>
      </c>
      <c r="Q14" s="7" t="s">
        <v>754</v>
      </c>
      <c r="AC14" s="3" t="str">
        <f ca="1">HYPERLINK("#"&amp;단가산출근거목록표!J2&amp;"!A"&amp;ROW(단가산출근거목록표!A26),"D01480 →")</f>
        <v>D01480 →</v>
      </c>
    </row>
    <row r="15" spans="1:29" ht="30.6" customHeight="1" x14ac:dyDescent="0.3">
      <c r="A15" s="10" t="s">
        <v>772</v>
      </c>
      <c r="B15" s="10" t="s">
        <v>773</v>
      </c>
      <c r="C15" s="44"/>
      <c r="D15" s="45"/>
      <c r="E15" s="23"/>
      <c r="F15" s="12">
        <v>0</v>
      </c>
      <c r="G15" s="52">
        <f>SUMIF(Q16:Q20,P15,G16:G20)</f>
        <v>3473913</v>
      </c>
      <c r="H15" s="13">
        <v>0</v>
      </c>
      <c r="I15" s="54">
        <f>SUMIF(Q16:Q20,P15,I16:I20)</f>
        <v>1962505</v>
      </c>
      <c r="J15" s="13">
        <v>0</v>
      </c>
      <c r="K15" s="60">
        <f>SUMIF(Q16:Q20,P15,K16:K20)</f>
        <v>600197</v>
      </c>
      <c r="L15" s="22">
        <v>0</v>
      </c>
      <c r="M15" s="60">
        <f>SUMIF(Q16:Q20,P15,M16:M20)</f>
        <v>911211</v>
      </c>
      <c r="N15" s="23"/>
      <c r="O15" s="17" t="str">
        <f>"_x0007_`COD|E2_x0005_`QTY1|1_x0005_`EXI|0_x0005_`ITT|0_x0005_`END|"&amp;ROW(M21)&amp;"_x0005_`"</f>
        <v>_x0007_`COD|E2_x0005_`QTY1|1_x0005_`EXI|0_x0005_`ITT|0_x0005_`END|21_x0005_`</v>
      </c>
      <c r="P15" s="7" t="s">
        <v>754</v>
      </c>
      <c r="Q15" s="7" t="s">
        <v>750</v>
      </c>
    </row>
    <row r="16" spans="1:29" ht="30.6" customHeight="1" x14ac:dyDescent="0.3">
      <c r="A16" s="10"/>
      <c r="B16" s="10" t="s">
        <v>680</v>
      </c>
      <c r="C16" s="44"/>
      <c r="D16" s="46">
        <v>486</v>
      </c>
      <c r="E16" s="23" t="s">
        <v>26</v>
      </c>
      <c r="F16" s="49">
        <f t="shared" ref="F16:G20" si="1">J16+H16+L16</f>
        <v>0</v>
      </c>
      <c r="G16" s="54">
        <f t="shared" si="1"/>
        <v>0</v>
      </c>
      <c r="H16" s="57">
        <f>IF(D16=0,0,일식견적목록표!F8)</f>
        <v>0</v>
      </c>
      <c r="I16" s="13">
        <f>ROUNDDOWN(H16*D16,0)</f>
        <v>0</v>
      </c>
      <c r="J16" s="59">
        <f>IF(D16=0,0,일식견적목록표!G8)</f>
        <v>0</v>
      </c>
      <c r="K16" s="13">
        <f>ROUNDDOWN(J16*D16,0)</f>
        <v>0</v>
      </c>
      <c r="L16" s="61">
        <f>IF(D16=0,0,일식견적목록표!H8)</f>
        <v>0</v>
      </c>
      <c r="M16" s="22">
        <f>ROUNDDOWN(L16*D16,0)</f>
        <v>0</v>
      </c>
      <c r="N16" s="23" t="s">
        <v>681</v>
      </c>
      <c r="O16" s="17" t="s">
        <v>775</v>
      </c>
      <c r="P16" s="7" t="s">
        <v>774</v>
      </c>
      <c r="Q16" s="7" t="s">
        <v>754</v>
      </c>
      <c r="AC16" s="3" t="str">
        <f ca="1">HYPERLINK("#"&amp;일식견적목록표!J2&amp;"!A"&amp;ROW(일식견적목록표!A8),"W02336 →")</f>
        <v>W02336 →</v>
      </c>
    </row>
    <row r="17" spans="1:29" ht="30.6" customHeight="1" x14ac:dyDescent="0.3">
      <c r="A17" s="10"/>
      <c r="B17" s="10" t="s">
        <v>217</v>
      </c>
      <c r="C17" s="44" t="s">
        <v>218</v>
      </c>
      <c r="D17" s="46">
        <v>178</v>
      </c>
      <c r="E17" s="23" t="s">
        <v>26</v>
      </c>
      <c r="F17" s="49">
        <f t="shared" si="1"/>
        <v>1592</v>
      </c>
      <c r="G17" s="54">
        <f t="shared" si="1"/>
        <v>283376</v>
      </c>
      <c r="H17" s="57">
        <f>IF(D17=0,0,단가산출근거목록표!F27)</f>
        <v>695</v>
      </c>
      <c r="I17" s="13">
        <f>ROUNDDOWN(H17*D17,0)</f>
        <v>123710</v>
      </c>
      <c r="J17" s="59">
        <f>IF(D17=0,0,단가산출근거목록표!G27)</f>
        <v>480</v>
      </c>
      <c r="K17" s="13">
        <f>ROUNDDOWN(J17*D17,0)</f>
        <v>85440</v>
      </c>
      <c r="L17" s="61">
        <f>IF(D17=0,0,단가산출근거목록표!H27)</f>
        <v>417</v>
      </c>
      <c r="M17" s="22">
        <f>ROUNDDOWN(L17*D17,0)</f>
        <v>74226</v>
      </c>
      <c r="N17" s="23" t="s">
        <v>778</v>
      </c>
      <c r="O17" s="17" t="s">
        <v>777</v>
      </c>
      <c r="P17" s="7" t="s">
        <v>776</v>
      </c>
      <c r="Q17" s="7" t="s">
        <v>754</v>
      </c>
      <c r="AC17" s="3" t="str">
        <f ca="1">HYPERLINK("#"&amp;단가산출근거목록표!J2&amp;"!A"&amp;ROW(단가산출근거목록표!A27),"D01481 →")</f>
        <v>D01481 →</v>
      </c>
    </row>
    <row r="18" spans="1:29" ht="30.6" customHeight="1" x14ac:dyDescent="0.3">
      <c r="A18" s="10"/>
      <c r="B18" s="10" t="s">
        <v>221</v>
      </c>
      <c r="C18" s="44" t="s">
        <v>222</v>
      </c>
      <c r="D18" s="46">
        <v>294</v>
      </c>
      <c r="E18" s="23" t="s">
        <v>26</v>
      </c>
      <c r="F18" s="49">
        <f t="shared" si="1"/>
        <v>2400</v>
      </c>
      <c r="G18" s="54">
        <f t="shared" si="1"/>
        <v>705600</v>
      </c>
      <c r="H18" s="57">
        <f>IF(D18=0,0,단가산출근거목록표!F28)</f>
        <v>1048</v>
      </c>
      <c r="I18" s="13">
        <f>ROUNDDOWN(H18*D18,0)</f>
        <v>308112</v>
      </c>
      <c r="J18" s="59">
        <f>IF(D18=0,0,단가산출근거목록표!G28)</f>
        <v>723</v>
      </c>
      <c r="K18" s="13">
        <f>ROUNDDOWN(J18*D18,0)</f>
        <v>212562</v>
      </c>
      <c r="L18" s="61">
        <f>IF(D18=0,0,단가산출근거목록표!H28)</f>
        <v>629</v>
      </c>
      <c r="M18" s="22">
        <f>ROUNDDOWN(L18*D18,0)</f>
        <v>184926</v>
      </c>
      <c r="N18" s="23" t="s">
        <v>781</v>
      </c>
      <c r="O18" s="17" t="s">
        <v>780</v>
      </c>
      <c r="P18" s="7" t="s">
        <v>779</v>
      </c>
      <c r="Q18" s="7" t="s">
        <v>754</v>
      </c>
      <c r="AC18" s="3" t="str">
        <f ca="1">HYPERLINK("#"&amp;단가산출근거목록표!J2&amp;"!A"&amp;ROW(단가산출근거목록표!A28),"D01482 →")</f>
        <v>D01482 →</v>
      </c>
    </row>
    <row r="19" spans="1:29" ht="30.6" customHeight="1" x14ac:dyDescent="0.3">
      <c r="A19" s="10"/>
      <c r="B19" s="10" t="s">
        <v>226</v>
      </c>
      <c r="C19" s="44" t="s">
        <v>227</v>
      </c>
      <c r="D19" s="46">
        <v>147</v>
      </c>
      <c r="E19" s="23" t="s">
        <v>26</v>
      </c>
      <c r="F19" s="49">
        <f t="shared" si="1"/>
        <v>6171</v>
      </c>
      <c r="G19" s="54">
        <f t="shared" si="1"/>
        <v>907137</v>
      </c>
      <c r="H19" s="57">
        <f>IF(D19=0,0,단가산출근거목록표!F29)</f>
        <v>3889</v>
      </c>
      <c r="I19" s="13">
        <f>ROUNDDOWN(H19*D19,0)</f>
        <v>571683</v>
      </c>
      <c r="J19" s="59">
        <f>IF(D19=0,0,단가산출근거목록표!G29)</f>
        <v>785</v>
      </c>
      <c r="K19" s="13">
        <f>ROUNDDOWN(J19*D19,0)</f>
        <v>115395</v>
      </c>
      <c r="L19" s="61">
        <f>IF(D19=0,0,단가산출근거목록표!H29)</f>
        <v>1497</v>
      </c>
      <c r="M19" s="22">
        <f>ROUNDDOWN(L19*D19,0)</f>
        <v>220059</v>
      </c>
      <c r="N19" s="23" t="s">
        <v>784</v>
      </c>
      <c r="O19" s="17" t="s">
        <v>783</v>
      </c>
      <c r="P19" s="7" t="s">
        <v>782</v>
      </c>
      <c r="Q19" s="7" t="s">
        <v>754</v>
      </c>
      <c r="AC19" s="3" t="str">
        <f ca="1">HYPERLINK("#"&amp;단가산출근거목록표!J2&amp;"!A"&amp;ROW(단가산출근거목록표!A29),"D01483 →")</f>
        <v>D01483 →</v>
      </c>
    </row>
    <row r="20" spans="1:29" ht="30.6" customHeight="1" x14ac:dyDescent="0.3">
      <c r="A20" s="10"/>
      <c r="B20" s="10" t="s">
        <v>231</v>
      </c>
      <c r="C20" s="44" t="s">
        <v>232</v>
      </c>
      <c r="D20" s="46">
        <v>200</v>
      </c>
      <c r="E20" s="23" t="s">
        <v>26</v>
      </c>
      <c r="F20" s="49">
        <f t="shared" si="1"/>
        <v>7889</v>
      </c>
      <c r="G20" s="54">
        <f t="shared" si="1"/>
        <v>1577800</v>
      </c>
      <c r="H20" s="57">
        <f>IF(D20=0,0,단가산출근거목록표!F30)</f>
        <v>4795</v>
      </c>
      <c r="I20" s="13">
        <f>ROUNDDOWN(H20*D20,0)</f>
        <v>959000</v>
      </c>
      <c r="J20" s="59">
        <f>IF(D20=0,0,단가산출근거목록표!G30)</f>
        <v>934</v>
      </c>
      <c r="K20" s="13">
        <f>ROUNDDOWN(J20*D20,0)</f>
        <v>186800</v>
      </c>
      <c r="L20" s="61">
        <f>IF(D20=0,0,단가산출근거목록표!H30)</f>
        <v>2160</v>
      </c>
      <c r="M20" s="22">
        <f>ROUNDDOWN(L20*D20,0)</f>
        <v>432000</v>
      </c>
      <c r="N20" s="23" t="s">
        <v>787</v>
      </c>
      <c r="O20" s="17" t="s">
        <v>786</v>
      </c>
      <c r="P20" s="7" t="s">
        <v>785</v>
      </c>
      <c r="Q20" s="7" t="s">
        <v>754</v>
      </c>
      <c r="AC20" s="3" t="str">
        <f ca="1">HYPERLINK("#"&amp;단가산출근거목록표!J2&amp;"!A"&amp;ROW(단가산출근거목록표!A30),"D01484 →")</f>
        <v>D01484 →</v>
      </c>
    </row>
    <row r="21" spans="1:29" ht="30.6" customHeight="1" x14ac:dyDescent="0.3">
      <c r="A21" s="10" t="s">
        <v>788</v>
      </c>
      <c r="B21" s="10" t="s">
        <v>789</v>
      </c>
      <c r="C21" s="44"/>
      <c r="D21" s="45"/>
      <c r="E21" s="23"/>
      <c r="F21" s="12">
        <v>0</v>
      </c>
      <c r="G21" s="52">
        <f>SUMIF(Q22:Q23,P21,G22:G23)</f>
        <v>1308104</v>
      </c>
      <c r="H21" s="13">
        <v>0</v>
      </c>
      <c r="I21" s="54">
        <f>SUMIF(Q22:Q23,P21,I22:I23)</f>
        <v>722458</v>
      </c>
      <c r="J21" s="13">
        <v>0</v>
      </c>
      <c r="K21" s="60">
        <f>SUMIF(Q22:Q23,P21,K22:K23)</f>
        <v>242472</v>
      </c>
      <c r="L21" s="22">
        <v>0</v>
      </c>
      <c r="M21" s="60">
        <f>SUMIF(Q22:Q23,P21,M22:M23)</f>
        <v>343174</v>
      </c>
      <c r="N21" s="23"/>
      <c r="O21" s="17" t="str">
        <f>"_x0007_`COD|E2_x0005_`QTY1|1_x0005_`EXI|0_x0005_`ITT|0_x0005_`END|"&amp;ROW(M24)&amp;"_x0005_`"</f>
        <v>_x0007_`COD|E2_x0005_`QTY1|1_x0005_`EXI|0_x0005_`ITT|0_x0005_`END|24_x0005_`</v>
      </c>
      <c r="P21" s="7" t="s">
        <v>754</v>
      </c>
      <c r="Q21" s="7" t="s">
        <v>750</v>
      </c>
    </row>
    <row r="22" spans="1:29" ht="30.6" customHeight="1" x14ac:dyDescent="0.3">
      <c r="A22" s="10"/>
      <c r="B22" s="10" t="s">
        <v>236</v>
      </c>
      <c r="C22" s="44" t="s">
        <v>237</v>
      </c>
      <c r="D22" s="46">
        <v>608</v>
      </c>
      <c r="E22" s="23" t="s">
        <v>14</v>
      </c>
      <c r="F22" s="49">
        <f>J22+H22+L22</f>
        <v>1171</v>
      </c>
      <c r="G22" s="54">
        <f>K22+I22+M22</f>
        <v>711968</v>
      </c>
      <c r="H22" s="57">
        <f>IF(D22=0,0,단가산출근거목록표!F31)</f>
        <v>644</v>
      </c>
      <c r="I22" s="13">
        <f>ROUNDDOWN(H22*D22,0)</f>
        <v>391552</v>
      </c>
      <c r="J22" s="59">
        <f>IF(D22=0,0,단가산출근거목록표!G31)</f>
        <v>216</v>
      </c>
      <c r="K22" s="13">
        <f>ROUNDDOWN(J22*D22,0)</f>
        <v>131328</v>
      </c>
      <c r="L22" s="61">
        <f>IF(D22=0,0,단가산출근거목록표!H31)</f>
        <v>311</v>
      </c>
      <c r="M22" s="22">
        <f>ROUNDDOWN(L22*D22,0)</f>
        <v>189088</v>
      </c>
      <c r="N22" s="23" t="s">
        <v>792</v>
      </c>
      <c r="O22" s="17" t="s">
        <v>791</v>
      </c>
      <c r="P22" s="7" t="s">
        <v>790</v>
      </c>
      <c r="Q22" s="7" t="s">
        <v>754</v>
      </c>
      <c r="AC22" s="3" t="str">
        <f ca="1">HYPERLINK("#"&amp;단가산출근거목록표!J2&amp;"!A"&amp;ROW(단가산출근거목록표!A31),"D01485 →")</f>
        <v>D01485 →</v>
      </c>
    </row>
    <row r="23" spans="1:29" ht="30.6" customHeight="1" x14ac:dyDescent="0.3">
      <c r="A23" s="10"/>
      <c r="B23" s="10" t="s">
        <v>241</v>
      </c>
      <c r="C23" s="44"/>
      <c r="D23" s="46">
        <v>2526</v>
      </c>
      <c r="E23" s="23" t="s">
        <v>14</v>
      </c>
      <c r="F23" s="49">
        <f>J23+H23+L23</f>
        <v>236</v>
      </c>
      <c r="G23" s="54">
        <f>K23+I23+M23</f>
        <v>596136</v>
      </c>
      <c r="H23" s="57">
        <f>IF(D23=0,0,단가산출근거목록표!F32)</f>
        <v>131</v>
      </c>
      <c r="I23" s="13">
        <f>ROUNDDOWN(H23*D23,0)</f>
        <v>330906</v>
      </c>
      <c r="J23" s="59">
        <f>IF(D23=0,0,단가산출근거목록표!G32)</f>
        <v>44</v>
      </c>
      <c r="K23" s="13">
        <f>ROUNDDOWN(J23*D23,0)</f>
        <v>111144</v>
      </c>
      <c r="L23" s="61">
        <f>IF(D23=0,0,단가산출근거목록표!H32)</f>
        <v>61</v>
      </c>
      <c r="M23" s="22">
        <f>ROUNDDOWN(L23*D23,0)</f>
        <v>154086</v>
      </c>
      <c r="N23" s="23" t="s">
        <v>795</v>
      </c>
      <c r="O23" s="17" t="s">
        <v>794</v>
      </c>
      <c r="P23" s="7" t="s">
        <v>793</v>
      </c>
      <c r="Q23" s="7" t="s">
        <v>754</v>
      </c>
      <c r="AC23" s="3" t="str">
        <f ca="1">HYPERLINK("#"&amp;단가산출근거목록표!J2&amp;"!A"&amp;ROW(단가산출근거목록표!A32),"D01486 →")</f>
        <v>D01486 →</v>
      </c>
    </row>
    <row r="24" spans="1:29" ht="30.6" customHeight="1" x14ac:dyDescent="0.3">
      <c r="A24" s="10" t="s">
        <v>796</v>
      </c>
      <c r="B24" s="10" t="s">
        <v>797</v>
      </c>
      <c r="C24" s="44"/>
      <c r="D24" s="45"/>
      <c r="E24" s="23"/>
      <c r="F24" s="12">
        <v>0</v>
      </c>
      <c r="G24" s="52">
        <f>SUMIF(Q25:Q25,P24,G25:G25)</f>
        <v>12536446</v>
      </c>
      <c r="H24" s="13">
        <v>0</v>
      </c>
      <c r="I24" s="54">
        <f>SUMIF(Q25:Q25,P24,I25:I25)</f>
        <v>8044244</v>
      </c>
      <c r="J24" s="13">
        <v>0</v>
      </c>
      <c r="K24" s="60">
        <f>SUMIF(Q25:Q25,P24,K25:K25)</f>
        <v>1466062</v>
      </c>
      <c r="L24" s="22">
        <v>0</v>
      </c>
      <c r="M24" s="60">
        <f>SUMIF(Q25:Q25,P24,M25:M25)</f>
        <v>3026140</v>
      </c>
      <c r="N24" s="23"/>
      <c r="O24" s="17" t="str">
        <f>"_x0007_`COD|E2_x0005_`QTY1|1_x0005_`EXI|0_x0005_`ITT|0_x0005_`END|"&amp;ROW(M26)&amp;"_x0005_`"</f>
        <v>_x0007_`COD|E2_x0005_`QTY1|1_x0005_`EXI|0_x0005_`ITT|0_x0005_`END|26_x0005_`</v>
      </c>
      <c r="P24" s="7" t="s">
        <v>754</v>
      </c>
      <c r="Q24" s="7" t="s">
        <v>750</v>
      </c>
    </row>
    <row r="25" spans="1:29" ht="30.6" customHeight="1" x14ac:dyDescent="0.3">
      <c r="A25" s="10"/>
      <c r="B25" s="10" t="s">
        <v>245</v>
      </c>
      <c r="C25" s="44" t="s">
        <v>246</v>
      </c>
      <c r="D25" s="46">
        <v>2938</v>
      </c>
      <c r="E25" s="23" t="s">
        <v>26</v>
      </c>
      <c r="F25" s="49">
        <f>J25+H25+L25</f>
        <v>4267</v>
      </c>
      <c r="G25" s="54">
        <f>K25+I25+M25</f>
        <v>12536446</v>
      </c>
      <c r="H25" s="57">
        <f>IF(D25=0,0,단가산출근거목록표!F33)</f>
        <v>2738</v>
      </c>
      <c r="I25" s="13">
        <f>ROUNDDOWN(H25*D25,0)</f>
        <v>8044244</v>
      </c>
      <c r="J25" s="59">
        <f>IF(D25=0,0,단가산출근거목록표!G33)</f>
        <v>499</v>
      </c>
      <c r="K25" s="13">
        <f>ROUNDDOWN(J25*D25,0)</f>
        <v>1466062</v>
      </c>
      <c r="L25" s="61">
        <f>IF(D25=0,0,단가산출근거목록표!H33)</f>
        <v>1030</v>
      </c>
      <c r="M25" s="22">
        <f>ROUNDDOWN(L25*D25,0)</f>
        <v>3026140</v>
      </c>
      <c r="N25" s="23" t="s">
        <v>800</v>
      </c>
      <c r="O25" s="17" t="s">
        <v>799</v>
      </c>
      <c r="P25" s="7" t="s">
        <v>798</v>
      </c>
      <c r="Q25" s="7" t="s">
        <v>754</v>
      </c>
      <c r="AC25" s="3" t="str">
        <f ca="1">HYPERLINK("#"&amp;단가산출근거목록표!J2&amp;"!A"&amp;ROW(단가산출근거목록표!A33),"D01487 →")</f>
        <v>D01487 →</v>
      </c>
    </row>
    <row r="26" spans="1:29" ht="30.6" customHeight="1" x14ac:dyDescent="0.3">
      <c r="A26" s="10"/>
      <c r="B26" s="10"/>
      <c r="C26" s="44"/>
      <c r="D26" s="45"/>
      <c r="E26" s="23"/>
      <c r="F26" s="12">
        <v>0</v>
      </c>
      <c r="G26" s="53"/>
      <c r="H26" s="56"/>
      <c r="I26" s="56"/>
      <c r="J26" s="56"/>
      <c r="K26" s="56"/>
      <c r="L26" s="56"/>
      <c r="M26" s="63"/>
      <c r="N26" s="23"/>
      <c r="O26" s="17" t="s">
        <v>744</v>
      </c>
      <c r="P26" s="7" t="s">
        <v>742</v>
      </c>
      <c r="Q26" s="7" t="s">
        <v>743</v>
      </c>
    </row>
    <row r="27" spans="1:29" ht="30.6" customHeight="1" x14ac:dyDescent="0.3">
      <c r="A27" s="41" t="s">
        <v>749</v>
      </c>
      <c r="B27" s="41" t="s">
        <v>757</v>
      </c>
      <c r="C27" s="43"/>
      <c r="D27" s="45"/>
      <c r="E27" s="23"/>
      <c r="F27" s="12">
        <v>0</v>
      </c>
      <c r="G27" s="52">
        <f>SUMIF(Q28:Q47,P27,G28:G47)</f>
        <v>68613922</v>
      </c>
      <c r="H27" s="13">
        <v>0</v>
      </c>
      <c r="I27" s="54">
        <f>SUMIF(Q28:Q47,P27,I28:I47)</f>
        <v>39992039</v>
      </c>
      <c r="J27" s="13">
        <v>0</v>
      </c>
      <c r="K27" s="60">
        <f>SUMIF(Q28:Q47,P27,K28:K47)</f>
        <v>25169547</v>
      </c>
      <c r="L27" s="22">
        <v>0</v>
      </c>
      <c r="M27" s="60">
        <f>SUMIF(Q28:Q47,P27,M28:M47)</f>
        <v>3452336</v>
      </c>
      <c r="N27" s="23"/>
      <c r="O27" s="17" t="str">
        <f>"_x0007_`COD|E3_x0005_`QTY1|1_x0005_`EXI|0_x0005_`ITT|0_x0005_`END|"&amp;ROW(M48)&amp;"_x0005_`"</f>
        <v>_x0007_`COD|E3_x0005_`QTY1|1_x0005_`EXI|0_x0005_`ITT|0_x0005_`END|48_x0005_`</v>
      </c>
      <c r="P27" s="7" t="s">
        <v>750</v>
      </c>
      <c r="Q27" s="7" t="s">
        <v>743</v>
      </c>
    </row>
    <row r="28" spans="1:29" ht="30.6" customHeight="1" x14ac:dyDescent="0.3">
      <c r="A28" s="10" t="s">
        <v>803</v>
      </c>
      <c r="B28" s="10" t="s">
        <v>804</v>
      </c>
      <c r="C28" s="44"/>
      <c r="D28" s="45"/>
      <c r="E28" s="23"/>
      <c r="F28" s="12">
        <v>0</v>
      </c>
      <c r="G28" s="52">
        <f>SUMIF(Q29:Q30,P28,G29:G30)</f>
        <v>1215781</v>
      </c>
      <c r="H28" s="13">
        <v>0</v>
      </c>
      <c r="I28" s="54">
        <f>SUMIF(Q29:Q30,P28,I29:I30)</f>
        <v>876470</v>
      </c>
      <c r="J28" s="13">
        <v>0</v>
      </c>
      <c r="K28" s="60">
        <f>SUMIF(Q29:Q30,P28,K29:K30)</f>
        <v>141933</v>
      </c>
      <c r="L28" s="22">
        <v>0</v>
      </c>
      <c r="M28" s="60">
        <f>SUMIF(Q29:Q30,P28,M29:M30)</f>
        <v>197378</v>
      </c>
      <c r="N28" s="23"/>
      <c r="O28" s="17" t="str">
        <f>"_x0007_`COD|E2_x0005_`QTY1|1_x0005_`EXI|0_x0005_`ITT|0_x0005_`END|"&amp;ROW(M31)&amp;"_x0005_`"</f>
        <v>_x0007_`COD|E2_x0005_`QTY1|1_x0005_`EXI|0_x0005_`ITT|0_x0005_`END|31_x0005_`</v>
      </c>
      <c r="P28" s="7" t="s">
        <v>754</v>
      </c>
      <c r="Q28" s="7" t="s">
        <v>750</v>
      </c>
    </row>
    <row r="29" spans="1:29" ht="30.6" customHeight="1" x14ac:dyDescent="0.3">
      <c r="A29" s="10"/>
      <c r="B29" s="10" t="s">
        <v>48</v>
      </c>
      <c r="C29" s="44" t="s">
        <v>49</v>
      </c>
      <c r="D29" s="46">
        <v>12</v>
      </c>
      <c r="E29" s="23" t="s">
        <v>50</v>
      </c>
      <c r="F29" s="49">
        <f>J29+H29+L29</f>
        <v>46564</v>
      </c>
      <c r="G29" s="54">
        <f>K29+I29+M29</f>
        <v>558768</v>
      </c>
      <c r="H29" s="57">
        <f>IF(D29=0,0,일위대가목록표!F17)</f>
        <v>33429</v>
      </c>
      <c r="I29" s="13">
        <f>ROUNDDOWN(H29*D29,0)</f>
        <v>401148</v>
      </c>
      <c r="J29" s="59">
        <f>IF(D29=0,0,일위대가목록표!G17)</f>
        <v>5494</v>
      </c>
      <c r="K29" s="13">
        <f>ROUNDDOWN(J29*D29,0)</f>
        <v>65928</v>
      </c>
      <c r="L29" s="61">
        <f>IF(D29=0,0,일위대가목록표!H17)</f>
        <v>7641</v>
      </c>
      <c r="M29" s="22">
        <f>ROUNDDOWN(L29*D29,0)</f>
        <v>91692</v>
      </c>
      <c r="N29" s="23" t="s">
        <v>807</v>
      </c>
      <c r="O29" s="17" t="s">
        <v>806</v>
      </c>
      <c r="P29" s="7" t="s">
        <v>805</v>
      </c>
      <c r="Q29" s="7" t="s">
        <v>754</v>
      </c>
      <c r="AC29" s="3" t="str">
        <f ca="1">HYPERLINK("#"&amp;일위대가목록표!J2&amp;"!A"&amp;ROW(일위대가목록표!A17),"B02119 →")</f>
        <v>B02119 →</v>
      </c>
    </row>
    <row r="30" spans="1:29" ht="30.6" customHeight="1" x14ac:dyDescent="0.3">
      <c r="A30" s="10"/>
      <c r="B30" s="10" t="s">
        <v>80</v>
      </c>
      <c r="C30" s="44" t="s">
        <v>81</v>
      </c>
      <c r="D30" s="46">
        <v>1</v>
      </c>
      <c r="E30" s="23" t="s">
        <v>82</v>
      </c>
      <c r="F30" s="49">
        <f>J30+H30+L30</f>
        <v>657013</v>
      </c>
      <c r="G30" s="54">
        <f>K30+I30+M30</f>
        <v>657013</v>
      </c>
      <c r="H30" s="57">
        <f>IF(D30=0,0,일위대가목록표!F18)</f>
        <v>475322</v>
      </c>
      <c r="I30" s="13">
        <f>ROUNDDOWN(H30*D30,0)</f>
        <v>475322</v>
      </c>
      <c r="J30" s="59">
        <f>IF(D30=0,0,일위대가목록표!G18)</f>
        <v>76005</v>
      </c>
      <c r="K30" s="13">
        <f>ROUNDDOWN(J30*D30,0)</f>
        <v>76005</v>
      </c>
      <c r="L30" s="61">
        <f>IF(D30=0,0,일위대가목록표!H18)</f>
        <v>105686</v>
      </c>
      <c r="M30" s="22">
        <f>ROUNDDOWN(L30*D30,0)</f>
        <v>105686</v>
      </c>
      <c r="N30" s="23" t="s">
        <v>810</v>
      </c>
      <c r="O30" s="17" t="s">
        <v>809</v>
      </c>
      <c r="P30" s="7" t="s">
        <v>808</v>
      </c>
      <c r="Q30" s="7" t="s">
        <v>754</v>
      </c>
      <c r="AC30" s="3" t="str">
        <f ca="1">HYPERLINK("#"&amp;일위대가목록표!J2&amp;"!A"&amp;ROW(일위대가목록표!A18),"B02120 →")</f>
        <v>B02120 →</v>
      </c>
    </row>
    <row r="31" spans="1:29" ht="30.6" customHeight="1" x14ac:dyDescent="0.3">
      <c r="A31" s="10" t="s">
        <v>811</v>
      </c>
      <c r="B31" s="10" t="s">
        <v>812</v>
      </c>
      <c r="C31" s="44"/>
      <c r="D31" s="45"/>
      <c r="E31" s="23"/>
      <c r="F31" s="12">
        <v>0</v>
      </c>
      <c r="G31" s="52">
        <f>SUMIF(Q32:Q36,P31,G32:G36)</f>
        <v>16551201</v>
      </c>
      <c r="H31" s="13">
        <v>0</v>
      </c>
      <c r="I31" s="54">
        <f>SUMIF(Q32:Q36,P31,I32:I36)</f>
        <v>12888354</v>
      </c>
      <c r="J31" s="13">
        <v>0</v>
      </c>
      <c r="K31" s="60">
        <f>SUMIF(Q32:Q36,P31,K32:K36)</f>
        <v>1600147</v>
      </c>
      <c r="L31" s="22">
        <v>0</v>
      </c>
      <c r="M31" s="60">
        <f>SUMIF(Q32:Q36,P31,M32:M36)</f>
        <v>2062700</v>
      </c>
      <c r="N31" s="23"/>
      <c r="O31" s="17" t="str">
        <f>"_x0007_`COD|E2_x0005_`QTY1|1_x0005_`EXI|0_x0005_`ITT|0_x0005_`END|"&amp;ROW(M37)&amp;"_x0005_`"</f>
        <v>_x0007_`COD|E2_x0005_`QTY1|1_x0005_`EXI|0_x0005_`ITT|0_x0005_`END|37_x0005_`</v>
      </c>
      <c r="P31" s="7" t="s">
        <v>754</v>
      </c>
      <c r="Q31" s="7" t="s">
        <v>750</v>
      </c>
    </row>
    <row r="32" spans="1:29" ht="30.6" customHeight="1" x14ac:dyDescent="0.3">
      <c r="A32" s="10"/>
      <c r="B32" s="10" t="s">
        <v>86</v>
      </c>
      <c r="C32" s="44" t="s">
        <v>87</v>
      </c>
      <c r="D32" s="46">
        <v>70</v>
      </c>
      <c r="E32" s="23" t="s">
        <v>50</v>
      </c>
      <c r="F32" s="49">
        <f t="shared" ref="F32:G36" si="2">J32+H32+L32</f>
        <v>37466</v>
      </c>
      <c r="G32" s="54">
        <f t="shared" si="2"/>
        <v>2622620</v>
      </c>
      <c r="H32" s="57">
        <f>IF(D32=0,0,일위대가목록표!F19)</f>
        <v>31274</v>
      </c>
      <c r="I32" s="13">
        <f>ROUNDDOWN(H32*D32,0)</f>
        <v>2189180</v>
      </c>
      <c r="J32" s="59">
        <f>IF(D32=0,0,일위대가목록표!G19)</f>
        <v>3856</v>
      </c>
      <c r="K32" s="13">
        <f>ROUNDDOWN(J32*D32,0)</f>
        <v>269920</v>
      </c>
      <c r="L32" s="61">
        <f>IF(D32=0,0,일위대가목록표!H19)</f>
        <v>2336</v>
      </c>
      <c r="M32" s="22">
        <f>ROUNDDOWN(L32*D32,0)</f>
        <v>163520</v>
      </c>
      <c r="N32" s="23" t="s">
        <v>815</v>
      </c>
      <c r="O32" s="17" t="s">
        <v>814</v>
      </c>
      <c r="P32" s="7" t="s">
        <v>813</v>
      </c>
      <c r="Q32" s="7" t="s">
        <v>754</v>
      </c>
      <c r="AC32" s="3" t="str">
        <f ca="1">HYPERLINK("#"&amp;일위대가목록표!J2&amp;"!A"&amp;ROW(일위대가목록표!A19),"B02121 →")</f>
        <v>B02121 →</v>
      </c>
    </row>
    <row r="33" spans="1:29" ht="30.6" customHeight="1" x14ac:dyDescent="0.3">
      <c r="A33" s="10"/>
      <c r="B33" s="10" t="s">
        <v>91</v>
      </c>
      <c r="C33" s="44" t="s">
        <v>92</v>
      </c>
      <c r="D33" s="46">
        <v>110</v>
      </c>
      <c r="E33" s="23" t="s">
        <v>50</v>
      </c>
      <c r="F33" s="49">
        <f t="shared" si="2"/>
        <v>67529</v>
      </c>
      <c r="G33" s="54">
        <f t="shared" si="2"/>
        <v>7428190</v>
      </c>
      <c r="H33" s="57">
        <f>IF(D33=0,0,일위대가목록표!F20)</f>
        <v>52600</v>
      </c>
      <c r="I33" s="13">
        <f>ROUNDDOWN(H33*D33,0)</f>
        <v>5786000</v>
      </c>
      <c r="J33" s="59">
        <f>IF(D33=0,0,일위대가목록표!G20)</f>
        <v>6051</v>
      </c>
      <c r="K33" s="13">
        <f>ROUNDDOWN(J33*D33,0)</f>
        <v>665610</v>
      </c>
      <c r="L33" s="61">
        <f>IF(D33=0,0,일위대가목록표!H20)</f>
        <v>8878</v>
      </c>
      <c r="M33" s="22">
        <f>ROUNDDOWN(L33*D33,0)</f>
        <v>976580</v>
      </c>
      <c r="N33" s="23" t="s">
        <v>818</v>
      </c>
      <c r="O33" s="17" t="s">
        <v>817</v>
      </c>
      <c r="P33" s="7" t="s">
        <v>816</v>
      </c>
      <c r="Q33" s="7" t="s">
        <v>754</v>
      </c>
      <c r="AC33" s="3" t="str">
        <f ca="1">HYPERLINK("#"&amp;일위대가목록표!J2&amp;"!A"&amp;ROW(일위대가목록표!A20),"B02122 →")</f>
        <v>B02122 →</v>
      </c>
    </row>
    <row r="34" spans="1:29" ht="30.6" customHeight="1" x14ac:dyDescent="0.3">
      <c r="A34" s="10"/>
      <c r="B34" s="10" t="s">
        <v>96</v>
      </c>
      <c r="C34" s="44" t="s">
        <v>97</v>
      </c>
      <c r="D34" s="46">
        <v>130</v>
      </c>
      <c r="E34" s="23" t="s">
        <v>50</v>
      </c>
      <c r="F34" s="49">
        <f t="shared" si="2"/>
        <v>33828</v>
      </c>
      <c r="G34" s="54">
        <f t="shared" si="2"/>
        <v>4397640</v>
      </c>
      <c r="H34" s="57">
        <f>IF(D34=0,0,일위대가목록표!F21)</f>
        <v>25109</v>
      </c>
      <c r="I34" s="13">
        <f>ROUNDDOWN(H34*D34,0)</f>
        <v>3264170</v>
      </c>
      <c r="J34" s="59">
        <f>IF(D34=0,0,일위대가목록표!G21)</f>
        <v>3708</v>
      </c>
      <c r="K34" s="13">
        <f>ROUNDDOWN(J34*D34,0)</f>
        <v>482040</v>
      </c>
      <c r="L34" s="61">
        <f>IF(D34=0,0,일위대가목록표!H21)</f>
        <v>5011</v>
      </c>
      <c r="M34" s="22">
        <f>ROUNDDOWN(L34*D34,0)</f>
        <v>651430</v>
      </c>
      <c r="N34" s="23" t="s">
        <v>821</v>
      </c>
      <c r="O34" s="17" t="s">
        <v>820</v>
      </c>
      <c r="P34" s="7" t="s">
        <v>819</v>
      </c>
      <c r="Q34" s="7" t="s">
        <v>754</v>
      </c>
      <c r="AC34" s="3" t="str">
        <f ca="1">HYPERLINK("#"&amp;일위대가목록표!J2&amp;"!A"&amp;ROW(일위대가목록표!A21),"B02123 →")</f>
        <v>B02123 →</v>
      </c>
    </row>
    <row r="35" spans="1:29" ht="30.6" customHeight="1" x14ac:dyDescent="0.3">
      <c r="A35" s="10"/>
      <c r="B35" s="10" t="s">
        <v>101</v>
      </c>
      <c r="C35" s="44" t="s">
        <v>102</v>
      </c>
      <c r="D35" s="46">
        <v>15</v>
      </c>
      <c r="E35" s="23" t="s">
        <v>50</v>
      </c>
      <c r="F35" s="49">
        <f t="shared" si="2"/>
        <v>124335</v>
      </c>
      <c r="G35" s="54">
        <f t="shared" si="2"/>
        <v>1865025</v>
      </c>
      <c r="H35" s="57">
        <f>IF(D35=0,0,일위대가목록표!F22)</f>
        <v>97783</v>
      </c>
      <c r="I35" s="13">
        <f>ROUNDDOWN(H35*D35,0)</f>
        <v>1466745</v>
      </c>
      <c r="J35" s="59">
        <f>IF(D35=0,0,일위대가목록표!G22)</f>
        <v>10762</v>
      </c>
      <c r="K35" s="13">
        <f>ROUNDDOWN(J35*D35,0)</f>
        <v>161430</v>
      </c>
      <c r="L35" s="61">
        <f>IF(D35=0,0,일위대가목록표!H22)</f>
        <v>15790</v>
      </c>
      <c r="M35" s="22">
        <f>ROUNDDOWN(L35*D35,0)</f>
        <v>236850</v>
      </c>
      <c r="N35" s="23" t="s">
        <v>824</v>
      </c>
      <c r="O35" s="17" t="s">
        <v>823</v>
      </c>
      <c r="P35" s="7" t="s">
        <v>822</v>
      </c>
      <c r="Q35" s="7" t="s">
        <v>754</v>
      </c>
      <c r="AC35" s="3" t="str">
        <f ca="1">HYPERLINK("#"&amp;일위대가목록표!J2&amp;"!A"&amp;ROW(일위대가목록표!A22),"B02124 →")</f>
        <v>B02124 →</v>
      </c>
    </row>
    <row r="36" spans="1:29" ht="30.6" customHeight="1" x14ac:dyDescent="0.3">
      <c r="A36" s="10"/>
      <c r="B36" s="10" t="s">
        <v>39</v>
      </c>
      <c r="C36" s="44" t="s">
        <v>106</v>
      </c>
      <c r="D36" s="46">
        <v>3</v>
      </c>
      <c r="E36" s="23" t="s">
        <v>14</v>
      </c>
      <c r="F36" s="49">
        <f t="shared" si="2"/>
        <v>79242</v>
      </c>
      <c r="G36" s="54">
        <f t="shared" si="2"/>
        <v>237726</v>
      </c>
      <c r="H36" s="57">
        <f>IF(D36=0,0,일위대가목록표!F23)</f>
        <v>60753</v>
      </c>
      <c r="I36" s="13">
        <f>ROUNDDOWN(H36*D36,0)</f>
        <v>182259</v>
      </c>
      <c r="J36" s="59">
        <f>IF(D36=0,0,일위대가목록표!G23)</f>
        <v>7049</v>
      </c>
      <c r="K36" s="13">
        <f>ROUNDDOWN(J36*D36,0)</f>
        <v>21147</v>
      </c>
      <c r="L36" s="61">
        <f>IF(D36=0,0,일위대가목록표!H23)</f>
        <v>11440</v>
      </c>
      <c r="M36" s="22">
        <f>ROUNDDOWN(L36*D36,0)</f>
        <v>34320</v>
      </c>
      <c r="N36" s="23" t="s">
        <v>827</v>
      </c>
      <c r="O36" s="17" t="s">
        <v>826</v>
      </c>
      <c r="P36" s="7" t="s">
        <v>825</v>
      </c>
      <c r="Q36" s="7" t="s">
        <v>754</v>
      </c>
      <c r="AC36" s="3" t="str">
        <f ca="1">HYPERLINK("#"&amp;일위대가목록표!J2&amp;"!A"&amp;ROW(일위대가목록표!A23),"B02125 →")</f>
        <v>B02125 →</v>
      </c>
    </row>
    <row r="37" spans="1:29" ht="30.6" customHeight="1" x14ac:dyDescent="0.3">
      <c r="A37" s="10" t="s">
        <v>828</v>
      </c>
      <c r="B37" s="10" t="s">
        <v>829</v>
      </c>
      <c r="C37" s="44"/>
      <c r="D37" s="45"/>
      <c r="E37" s="23"/>
      <c r="F37" s="12">
        <v>0</v>
      </c>
      <c r="G37" s="52">
        <f>SUMIF(Q38:Q40,P37,G38:G40)</f>
        <v>27939461</v>
      </c>
      <c r="H37" s="13">
        <v>0</v>
      </c>
      <c r="I37" s="54">
        <f>SUMIF(Q38:Q40,P37,I38:I40)</f>
        <v>15404948</v>
      </c>
      <c r="J37" s="13">
        <v>0</v>
      </c>
      <c r="K37" s="60">
        <f>SUMIF(Q38:Q40,P37,K38:K40)</f>
        <v>12071000</v>
      </c>
      <c r="L37" s="22">
        <v>0</v>
      </c>
      <c r="M37" s="60">
        <f>SUMIF(Q38:Q40,P37,M38:M40)</f>
        <v>463513</v>
      </c>
      <c r="N37" s="23"/>
      <c r="O37" s="17" t="str">
        <f>"_x0007_`COD|E2_x0005_`QTY1|1_x0005_`EXI|0_x0005_`ITT|0_x0005_`END|"&amp;ROW(M41)&amp;"_x0005_`"</f>
        <v>_x0007_`COD|E2_x0005_`QTY1|1_x0005_`EXI|0_x0005_`ITT|0_x0005_`END|41_x0005_`</v>
      </c>
      <c r="P37" s="7" t="s">
        <v>754</v>
      </c>
      <c r="Q37" s="7" t="s">
        <v>750</v>
      </c>
    </row>
    <row r="38" spans="1:29" ht="30.6" customHeight="1" x14ac:dyDescent="0.3">
      <c r="A38" s="10"/>
      <c r="B38" s="10" t="s">
        <v>110</v>
      </c>
      <c r="C38" s="44" t="s">
        <v>111</v>
      </c>
      <c r="D38" s="46">
        <v>1884</v>
      </c>
      <c r="E38" s="23" t="s">
        <v>14</v>
      </c>
      <c r="F38" s="49">
        <f t="shared" ref="F38:G40" si="3">J38+H38+L38</f>
        <v>10984</v>
      </c>
      <c r="G38" s="54">
        <f t="shared" si="3"/>
        <v>20693856</v>
      </c>
      <c r="H38" s="57">
        <f>IF(D38=0,0,일위대가목록표!F24)</f>
        <v>4954</v>
      </c>
      <c r="I38" s="13">
        <f>ROUNDDOWN(H38*D38,0)</f>
        <v>9333336</v>
      </c>
      <c r="J38" s="59">
        <f>IF(D38=0,0,일위대가목록표!G24)</f>
        <v>5882</v>
      </c>
      <c r="K38" s="13">
        <f>ROUNDDOWN(J38*D38,0)</f>
        <v>11081688</v>
      </c>
      <c r="L38" s="61">
        <f>IF(D38=0,0,일위대가목록표!H24)</f>
        <v>148</v>
      </c>
      <c r="M38" s="22">
        <f>ROUNDDOWN(L38*D38,0)</f>
        <v>278832</v>
      </c>
      <c r="N38" s="23" t="s">
        <v>832</v>
      </c>
      <c r="O38" s="17" t="s">
        <v>831</v>
      </c>
      <c r="P38" s="7" t="s">
        <v>830</v>
      </c>
      <c r="Q38" s="7" t="s">
        <v>754</v>
      </c>
      <c r="AC38" s="3" t="str">
        <f ca="1">HYPERLINK("#"&amp;일위대가목록표!J2&amp;"!A"&amp;ROW(일위대가목록표!A24),"B02126 →")</f>
        <v>B02126 →</v>
      </c>
    </row>
    <row r="39" spans="1:29" ht="30.6" customHeight="1" x14ac:dyDescent="0.3">
      <c r="A39" s="10"/>
      <c r="B39" s="10" t="s">
        <v>115</v>
      </c>
      <c r="C39" s="44" t="s">
        <v>116</v>
      </c>
      <c r="D39" s="46">
        <v>1042</v>
      </c>
      <c r="E39" s="23" t="s">
        <v>50</v>
      </c>
      <c r="F39" s="49">
        <f t="shared" si="3"/>
        <v>6459</v>
      </c>
      <c r="G39" s="54">
        <f t="shared" si="3"/>
        <v>6730278</v>
      </c>
      <c r="H39" s="57">
        <f>IF(D39=0,0,일위대가목록표!F25)</f>
        <v>5532</v>
      </c>
      <c r="I39" s="13">
        <f>ROUNDDOWN(H39*D39,0)</f>
        <v>5764344</v>
      </c>
      <c r="J39" s="59">
        <f>IF(D39=0,0,일위대가목록표!G25)</f>
        <v>762</v>
      </c>
      <c r="K39" s="13">
        <f>ROUNDDOWN(J39*D39,0)</f>
        <v>794004</v>
      </c>
      <c r="L39" s="61">
        <f>IF(D39=0,0,일위대가목록표!H25)</f>
        <v>165</v>
      </c>
      <c r="M39" s="22">
        <f>ROUNDDOWN(L39*D39,0)</f>
        <v>171930</v>
      </c>
      <c r="N39" s="23" t="s">
        <v>835</v>
      </c>
      <c r="O39" s="17" t="s">
        <v>834</v>
      </c>
      <c r="P39" s="7" t="s">
        <v>833</v>
      </c>
      <c r="Q39" s="7" t="s">
        <v>754</v>
      </c>
      <c r="AC39" s="3" t="str">
        <f ca="1">HYPERLINK("#"&amp;일위대가목록표!J2&amp;"!A"&amp;ROW(일위대가목록표!A25),"B02127 →")</f>
        <v>B02127 →</v>
      </c>
    </row>
    <row r="40" spans="1:29" ht="30.6" customHeight="1" x14ac:dyDescent="0.3">
      <c r="A40" s="10"/>
      <c r="B40" s="10" t="s">
        <v>250</v>
      </c>
      <c r="C40" s="44" t="s">
        <v>110</v>
      </c>
      <c r="D40" s="46">
        <v>311</v>
      </c>
      <c r="E40" s="23" t="s">
        <v>50</v>
      </c>
      <c r="F40" s="49">
        <f t="shared" si="3"/>
        <v>1657</v>
      </c>
      <c r="G40" s="54">
        <f t="shared" si="3"/>
        <v>515327</v>
      </c>
      <c r="H40" s="57">
        <f>IF(D40=0,0,단가산출근거목록표!F34)</f>
        <v>988</v>
      </c>
      <c r="I40" s="13">
        <f>ROUNDDOWN(H40*D40,0)</f>
        <v>307268</v>
      </c>
      <c r="J40" s="59">
        <f>IF(D40=0,0,단가산출근거목록표!G34)</f>
        <v>628</v>
      </c>
      <c r="K40" s="13">
        <f>ROUNDDOWN(J40*D40,0)</f>
        <v>195308</v>
      </c>
      <c r="L40" s="61">
        <f>IF(D40=0,0,단가산출근거목록표!H34)</f>
        <v>41</v>
      </c>
      <c r="M40" s="22">
        <f>ROUNDDOWN(L40*D40,0)</f>
        <v>12751</v>
      </c>
      <c r="N40" s="23" t="s">
        <v>838</v>
      </c>
      <c r="O40" s="17" t="s">
        <v>837</v>
      </c>
      <c r="P40" s="7" t="s">
        <v>836</v>
      </c>
      <c r="Q40" s="7" t="s">
        <v>754</v>
      </c>
      <c r="AC40" s="3" t="str">
        <f ca="1">HYPERLINK("#"&amp;단가산출근거목록표!J2&amp;"!A"&amp;ROW(단가산출근거목록표!A34),"D01488 →")</f>
        <v>D01488 →</v>
      </c>
    </row>
    <row r="41" spans="1:29" ht="30.6" customHeight="1" x14ac:dyDescent="0.3">
      <c r="A41" s="10" t="s">
        <v>839</v>
      </c>
      <c r="B41" s="10" t="s">
        <v>840</v>
      </c>
      <c r="C41" s="44"/>
      <c r="D41" s="45"/>
      <c r="E41" s="23"/>
      <c r="F41" s="12">
        <v>0</v>
      </c>
      <c r="G41" s="52">
        <f>SUMIF(Q42:Q45,P41,G42:G45)</f>
        <v>22224460</v>
      </c>
      <c r="H41" s="13">
        <v>0</v>
      </c>
      <c r="I41" s="54">
        <f>SUMIF(Q42:Q45,P41,I42:I45)</f>
        <v>10419022</v>
      </c>
      <c r="J41" s="13">
        <v>0</v>
      </c>
      <c r="K41" s="60">
        <f>SUMIF(Q42:Q45,P41,K42:K45)</f>
        <v>11257458</v>
      </c>
      <c r="L41" s="22">
        <v>0</v>
      </c>
      <c r="M41" s="60">
        <f>SUMIF(Q42:Q45,P41,M42:M45)</f>
        <v>547980</v>
      </c>
      <c r="N41" s="23"/>
      <c r="O41" s="17" t="str">
        <f>"_x0007_`COD|E2_x0005_`QTY1|1_x0005_`EXI|0_x0005_`ITT|0_x0005_`END|"&amp;ROW(M46)&amp;"_x0005_`"</f>
        <v>_x0007_`COD|E2_x0005_`QTY1|1_x0005_`EXI|0_x0005_`ITT|0_x0005_`END|46_x0005_`</v>
      </c>
      <c r="P41" s="7" t="s">
        <v>754</v>
      </c>
      <c r="Q41" s="7" t="s">
        <v>750</v>
      </c>
    </row>
    <row r="42" spans="1:29" ht="30.6" customHeight="1" x14ac:dyDescent="0.3">
      <c r="A42" s="10"/>
      <c r="B42" s="10" t="s">
        <v>120</v>
      </c>
      <c r="C42" s="44" t="s">
        <v>121</v>
      </c>
      <c r="D42" s="46">
        <v>86</v>
      </c>
      <c r="E42" s="23" t="s">
        <v>50</v>
      </c>
      <c r="F42" s="49">
        <f t="shared" ref="F42:G45" si="4">J42+H42+L42</f>
        <v>35966</v>
      </c>
      <c r="G42" s="54">
        <f t="shared" si="4"/>
        <v>3093076</v>
      </c>
      <c r="H42" s="57">
        <f>IF(D42=0,0,일위대가목록표!F26)</f>
        <v>29126</v>
      </c>
      <c r="I42" s="13">
        <f>ROUNDDOWN(H42*D42,0)</f>
        <v>2504836</v>
      </c>
      <c r="J42" s="59">
        <f>IF(D42=0,0,일위대가목록표!G26)</f>
        <v>4506</v>
      </c>
      <c r="K42" s="13">
        <f>ROUNDDOWN(J42*D42,0)</f>
        <v>387516</v>
      </c>
      <c r="L42" s="61">
        <f>IF(D42=0,0,일위대가목록표!H26)</f>
        <v>2334</v>
      </c>
      <c r="M42" s="22">
        <f>ROUNDDOWN(L42*D42,0)</f>
        <v>200724</v>
      </c>
      <c r="N42" s="23" t="s">
        <v>843</v>
      </c>
      <c r="O42" s="17" t="s">
        <v>842</v>
      </c>
      <c r="P42" s="7" t="s">
        <v>841</v>
      </c>
      <c r="Q42" s="7" t="s">
        <v>754</v>
      </c>
      <c r="AC42" s="3" t="str">
        <f ca="1">HYPERLINK("#"&amp;일위대가목록표!J2&amp;"!A"&amp;ROW(일위대가목록표!A26),"B02128 →")</f>
        <v>B02128 →</v>
      </c>
    </row>
    <row r="43" spans="1:29" ht="30.6" customHeight="1" x14ac:dyDescent="0.3">
      <c r="A43" s="10"/>
      <c r="B43" s="10" t="s">
        <v>254</v>
      </c>
      <c r="C43" s="44" t="s">
        <v>255</v>
      </c>
      <c r="D43" s="46">
        <v>38</v>
      </c>
      <c r="E43" s="23" t="s">
        <v>256</v>
      </c>
      <c r="F43" s="49">
        <f t="shared" si="4"/>
        <v>369171</v>
      </c>
      <c r="G43" s="54">
        <f t="shared" si="4"/>
        <v>14028498</v>
      </c>
      <c r="H43" s="57">
        <f>IF(D43=0,0,단가산출근거목록표!F35)</f>
        <v>159891</v>
      </c>
      <c r="I43" s="13">
        <f>ROUNDDOWN(H43*D43,0)</f>
        <v>6075858</v>
      </c>
      <c r="J43" s="59">
        <f>IF(D43=0,0,단가산출근거목록표!G35)</f>
        <v>202128</v>
      </c>
      <c r="K43" s="13">
        <f>ROUNDDOWN(J43*D43,0)</f>
        <v>7680864</v>
      </c>
      <c r="L43" s="61">
        <f>IF(D43=0,0,단가산출근거목록표!H35)</f>
        <v>7152</v>
      </c>
      <c r="M43" s="22">
        <f>ROUNDDOWN(L43*D43,0)</f>
        <v>271776</v>
      </c>
      <c r="N43" s="23" t="s">
        <v>846</v>
      </c>
      <c r="O43" s="17" t="s">
        <v>845</v>
      </c>
      <c r="P43" s="7" t="s">
        <v>844</v>
      </c>
      <c r="Q43" s="7" t="s">
        <v>754</v>
      </c>
      <c r="AC43" s="3" t="str">
        <f ca="1">HYPERLINK("#"&amp;단가산출근거목록표!J2&amp;"!A"&amp;ROW(단가산출근거목록표!A35),"D01489 →")</f>
        <v>D01489 →</v>
      </c>
    </row>
    <row r="44" spans="1:29" ht="30.6" customHeight="1" x14ac:dyDescent="0.3">
      <c r="A44" s="10"/>
      <c r="B44" s="10" t="s">
        <v>260</v>
      </c>
      <c r="C44" s="44" t="s">
        <v>255</v>
      </c>
      <c r="D44" s="46">
        <v>4</v>
      </c>
      <c r="E44" s="23" t="s">
        <v>256</v>
      </c>
      <c r="F44" s="49">
        <f t="shared" si="4"/>
        <v>929862</v>
      </c>
      <c r="G44" s="54">
        <f t="shared" si="4"/>
        <v>3719448</v>
      </c>
      <c r="H44" s="57">
        <f>IF(D44=0,0,단가산출근거목록표!F36)</f>
        <v>159891</v>
      </c>
      <c r="I44" s="13">
        <f>ROUNDDOWN(H44*D44,0)</f>
        <v>639564</v>
      </c>
      <c r="J44" s="59">
        <f>IF(D44=0,0,단가산출근거목록표!G36)</f>
        <v>762819</v>
      </c>
      <c r="K44" s="13">
        <f>ROUNDDOWN(J44*D44,0)</f>
        <v>3051276</v>
      </c>
      <c r="L44" s="61">
        <f>IF(D44=0,0,단가산출근거목록표!H36)</f>
        <v>7152</v>
      </c>
      <c r="M44" s="22">
        <f>ROUNDDOWN(L44*D44,0)</f>
        <v>28608</v>
      </c>
      <c r="N44" s="23" t="s">
        <v>849</v>
      </c>
      <c r="O44" s="17" t="s">
        <v>848</v>
      </c>
      <c r="P44" s="7" t="s">
        <v>847</v>
      </c>
      <c r="Q44" s="7" t="s">
        <v>754</v>
      </c>
      <c r="AC44" s="3" t="str">
        <f ca="1">HYPERLINK("#"&amp;단가산출근거목록표!J2&amp;"!A"&amp;ROW(단가산출근거목록표!A36),"D01490 →")</f>
        <v>D01490 →</v>
      </c>
    </row>
    <row r="45" spans="1:29" ht="30.6" customHeight="1" x14ac:dyDescent="0.3">
      <c r="A45" s="10"/>
      <c r="B45" s="10" t="s">
        <v>86</v>
      </c>
      <c r="C45" s="44" t="s">
        <v>125</v>
      </c>
      <c r="D45" s="46">
        <v>42</v>
      </c>
      <c r="E45" s="23" t="s">
        <v>82</v>
      </c>
      <c r="F45" s="49">
        <f t="shared" si="4"/>
        <v>32939</v>
      </c>
      <c r="G45" s="54">
        <f t="shared" si="4"/>
        <v>1383438</v>
      </c>
      <c r="H45" s="57">
        <f>IF(D45=0,0,일위대가목록표!F27)</f>
        <v>28542</v>
      </c>
      <c r="I45" s="13">
        <f>ROUNDDOWN(H45*D45,0)</f>
        <v>1198764</v>
      </c>
      <c r="J45" s="59">
        <f>IF(D45=0,0,일위대가목록표!G27)</f>
        <v>3281</v>
      </c>
      <c r="K45" s="13">
        <f>ROUNDDOWN(J45*D45,0)</f>
        <v>137802</v>
      </c>
      <c r="L45" s="61">
        <f>IF(D45=0,0,일위대가목록표!H27)</f>
        <v>1116</v>
      </c>
      <c r="M45" s="22">
        <f>ROUNDDOWN(L45*D45,0)</f>
        <v>46872</v>
      </c>
      <c r="N45" s="23" t="s">
        <v>852</v>
      </c>
      <c r="O45" s="17" t="s">
        <v>851</v>
      </c>
      <c r="P45" s="7" t="s">
        <v>850</v>
      </c>
      <c r="Q45" s="7" t="s">
        <v>754</v>
      </c>
      <c r="AC45" s="3" t="str">
        <f ca="1">HYPERLINK("#"&amp;일위대가목록표!J2&amp;"!A"&amp;ROW(일위대가목록표!A27),"B02129 →")</f>
        <v>B02129 →</v>
      </c>
    </row>
    <row r="46" spans="1:29" ht="30.6" customHeight="1" x14ac:dyDescent="0.3">
      <c r="A46" s="10" t="s">
        <v>853</v>
      </c>
      <c r="B46" s="10" t="s">
        <v>854</v>
      </c>
      <c r="C46" s="44"/>
      <c r="D46" s="45"/>
      <c r="E46" s="23"/>
      <c r="F46" s="12">
        <v>0</v>
      </c>
      <c r="G46" s="52">
        <f>SUMIF(Q47:Q47,P46,G47:G47)</f>
        <v>683019</v>
      </c>
      <c r="H46" s="13">
        <v>0</v>
      </c>
      <c r="I46" s="54">
        <f>SUMIF(Q47:Q47,P46,I47:I47)</f>
        <v>403245</v>
      </c>
      <c r="J46" s="13">
        <v>0</v>
      </c>
      <c r="K46" s="60">
        <f>SUMIF(Q47:Q47,P46,K47:K47)</f>
        <v>99009</v>
      </c>
      <c r="L46" s="22">
        <v>0</v>
      </c>
      <c r="M46" s="60">
        <f>SUMIF(Q47:Q47,P46,M47:M47)</f>
        <v>180765</v>
      </c>
      <c r="N46" s="23"/>
      <c r="O46" s="17" t="str">
        <f>"_x0007_`COD|E2_x0005_`QTY1|1_x0005_`EXI|0_x0005_`ITT|0_x0005_`END|"&amp;ROW(M48)&amp;"_x0005_`"</f>
        <v>_x0007_`COD|E2_x0005_`QTY1|1_x0005_`EXI|0_x0005_`ITT|0_x0005_`END|48_x0005_`</v>
      </c>
      <c r="P46" s="7" t="s">
        <v>754</v>
      </c>
      <c r="Q46" s="7" t="s">
        <v>750</v>
      </c>
    </row>
    <row r="47" spans="1:29" ht="30.6" customHeight="1" x14ac:dyDescent="0.3">
      <c r="A47" s="10"/>
      <c r="B47" s="10" t="s">
        <v>264</v>
      </c>
      <c r="C47" s="44" t="s">
        <v>265</v>
      </c>
      <c r="D47" s="46">
        <v>27</v>
      </c>
      <c r="E47" s="23" t="s">
        <v>26</v>
      </c>
      <c r="F47" s="49">
        <f>J47+H47+L47</f>
        <v>25297</v>
      </c>
      <c r="G47" s="54">
        <f>K47+I47+M47</f>
        <v>683019</v>
      </c>
      <c r="H47" s="57">
        <f>IF(D47=0,0,단가산출근거목록표!F37)</f>
        <v>14935</v>
      </c>
      <c r="I47" s="13">
        <f>ROUNDDOWN(H47*D47,0)</f>
        <v>403245</v>
      </c>
      <c r="J47" s="59">
        <f>IF(D47=0,0,단가산출근거목록표!G37)</f>
        <v>3667</v>
      </c>
      <c r="K47" s="13">
        <f>ROUNDDOWN(J47*D47,0)</f>
        <v>99009</v>
      </c>
      <c r="L47" s="61">
        <f>IF(D47=0,0,단가산출근거목록표!H37)</f>
        <v>6695</v>
      </c>
      <c r="M47" s="22">
        <f>ROUNDDOWN(L47*D47,0)</f>
        <v>180765</v>
      </c>
      <c r="N47" s="23" t="s">
        <v>857</v>
      </c>
      <c r="O47" s="17" t="s">
        <v>856</v>
      </c>
      <c r="P47" s="7" t="s">
        <v>855</v>
      </c>
      <c r="Q47" s="7" t="s">
        <v>754</v>
      </c>
      <c r="AC47" s="3" t="str">
        <f ca="1">HYPERLINK("#"&amp;단가산출근거목록표!J2&amp;"!A"&amp;ROW(단가산출근거목록표!A37),"D01491 →")</f>
        <v>D01491 →</v>
      </c>
    </row>
    <row r="48" spans="1:29" ht="30.6" customHeight="1" x14ac:dyDescent="0.3">
      <c r="A48" s="10"/>
      <c r="B48" s="10"/>
      <c r="C48" s="44"/>
      <c r="D48" s="45"/>
      <c r="E48" s="23"/>
      <c r="F48" s="12">
        <v>0</v>
      </c>
      <c r="G48" s="53"/>
      <c r="H48" s="56"/>
      <c r="I48" s="56"/>
      <c r="J48" s="56"/>
      <c r="K48" s="56"/>
      <c r="L48" s="56"/>
      <c r="M48" s="63"/>
      <c r="N48" s="23"/>
      <c r="O48" s="17" t="s">
        <v>744</v>
      </c>
      <c r="P48" s="7" t="s">
        <v>742</v>
      </c>
      <c r="Q48" s="7" t="s">
        <v>743</v>
      </c>
    </row>
    <row r="49" spans="1:29" ht="30.6" customHeight="1" x14ac:dyDescent="0.3">
      <c r="A49" s="41" t="s">
        <v>802</v>
      </c>
      <c r="B49" s="41" t="s">
        <v>801</v>
      </c>
      <c r="C49" s="43"/>
      <c r="D49" s="45"/>
      <c r="E49" s="23"/>
      <c r="F49" s="12">
        <v>0</v>
      </c>
      <c r="G49" s="52">
        <f>SUMIF(Q50:Q51,P49,G50:G51)</f>
        <v>2876040</v>
      </c>
      <c r="H49" s="13">
        <v>0</v>
      </c>
      <c r="I49" s="54">
        <f>SUMIF(Q50:Q51,P49,I50:I51)</f>
        <v>2249100</v>
      </c>
      <c r="J49" s="13">
        <v>0</v>
      </c>
      <c r="K49" s="60">
        <f>SUMIF(Q50:Q51,P49,K50:K51)</f>
        <v>626940</v>
      </c>
      <c r="L49" s="22">
        <v>0</v>
      </c>
      <c r="M49" s="60">
        <f>SUMIF(Q50:Q51,P49,M50:M51)</f>
        <v>0</v>
      </c>
      <c r="N49" s="23"/>
      <c r="O49" s="17" t="str">
        <f>"_x0007_`COD|E3_x0005_`QTY1|1_x0005_`EXI|0_x0005_`ITT|0_x0005_`END|"&amp;ROW(M52)&amp;"_x0005_`"</f>
        <v>_x0007_`COD|E3_x0005_`QTY1|1_x0005_`EXI|0_x0005_`ITT|0_x0005_`END|52_x0005_`</v>
      </c>
      <c r="P49" s="7" t="s">
        <v>750</v>
      </c>
      <c r="Q49" s="7" t="s">
        <v>743</v>
      </c>
    </row>
    <row r="50" spans="1:29" ht="30.6" customHeight="1" x14ac:dyDescent="0.3">
      <c r="A50" s="10"/>
      <c r="B50" s="10" t="s">
        <v>129</v>
      </c>
      <c r="C50" s="44" t="s">
        <v>130</v>
      </c>
      <c r="D50" s="46">
        <v>110</v>
      </c>
      <c r="E50" s="23" t="s">
        <v>50</v>
      </c>
      <c r="F50" s="49">
        <f>J50+H50+L50</f>
        <v>7714</v>
      </c>
      <c r="G50" s="54">
        <f>K50+I50+M50</f>
        <v>848540</v>
      </c>
      <c r="H50" s="57">
        <f>IF(D50=0,0,일위대가목록표!F28)</f>
        <v>5060</v>
      </c>
      <c r="I50" s="13">
        <f>ROUNDDOWN(H50*D50,0)</f>
        <v>556600</v>
      </c>
      <c r="J50" s="59">
        <f>IF(D50=0,0,일위대가목록표!G28)</f>
        <v>2654</v>
      </c>
      <c r="K50" s="13">
        <f>ROUNDDOWN(J50*D50,0)</f>
        <v>291940</v>
      </c>
      <c r="L50" s="61">
        <f>IF(D50=0,0,일위대가목록표!H28)</f>
        <v>0</v>
      </c>
      <c r="M50" s="22">
        <f>ROUNDDOWN(L50*D50,0)</f>
        <v>0</v>
      </c>
      <c r="N50" s="23" t="s">
        <v>860</v>
      </c>
      <c r="O50" s="17" t="s">
        <v>859</v>
      </c>
      <c r="P50" s="7" t="s">
        <v>858</v>
      </c>
      <c r="Q50" s="7" t="s">
        <v>750</v>
      </c>
      <c r="AC50" s="3" t="str">
        <f ca="1">HYPERLINK("#"&amp;일위대가목록표!J2&amp;"!A"&amp;ROW(일위대가목록표!A28),"B02130 →")</f>
        <v>B02130 →</v>
      </c>
    </row>
    <row r="51" spans="1:29" ht="30.6" customHeight="1" x14ac:dyDescent="0.3">
      <c r="A51" s="10"/>
      <c r="B51" s="10" t="s">
        <v>269</v>
      </c>
      <c r="C51" s="44"/>
      <c r="D51" s="46">
        <v>1250</v>
      </c>
      <c r="E51" s="23" t="s">
        <v>50</v>
      </c>
      <c r="F51" s="49">
        <f>J51+H51+L51</f>
        <v>1622</v>
      </c>
      <c r="G51" s="54">
        <f>K51+I51+M51</f>
        <v>2027500</v>
      </c>
      <c r="H51" s="57">
        <f>IF(D51=0,0,단가산출근거목록표!F38)</f>
        <v>1354</v>
      </c>
      <c r="I51" s="13">
        <f>ROUNDDOWN(H51*D51,0)</f>
        <v>1692500</v>
      </c>
      <c r="J51" s="59">
        <f>IF(D51=0,0,단가산출근거목록표!G38)</f>
        <v>268</v>
      </c>
      <c r="K51" s="13">
        <f>ROUNDDOWN(J51*D51,0)</f>
        <v>335000</v>
      </c>
      <c r="L51" s="61">
        <f>IF(D51=0,0,단가산출근거목록표!H38)</f>
        <v>0</v>
      </c>
      <c r="M51" s="22">
        <f>ROUNDDOWN(L51*D51,0)</f>
        <v>0</v>
      </c>
      <c r="N51" s="23" t="s">
        <v>863</v>
      </c>
      <c r="O51" s="17" t="s">
        <v>862</v>
      </c>
      <c r="P51" s="7" t="s">
        <v>861</v>
      </c>
      <c r="Q51" s="7" t="s">
        <v>750</v>
      </c>
      <c r="AC51" s="3" t="str">
        <f ca="1">HYPERLINK("#"&amp;단가산출근거목록표!J2&amp;"!A"&amp;ROW(단가산출근거목록표!A38),"D01492 →")</f>
        <v>D01492 →</v>
      </c>
    </row>
    <row r="52" spans="1:29" ht="30.6" customHeight="1" x14ac:dyDescent="0.3">
      <c r="A52" s="10"/>
      <c r="B52" s="10"/>
      <c r="C52" s="44"/>
      <c r="D52" s="45"/>
      <c r="E52" s="23"/>
      <c r="F52" s="12">
        <v>0</v>
      </c>
      <c r="G52" s="53"/>
      <c r="H52" s="56"/>
      <c r="I52" s="56"/>
      <c r="J52" s="56"/>
      <c r="K52" s="56"/>
      <c r="L52" s="56"/>
      <c r="M52" s="63"/>
      <c r="N52" s="23"/>
      <c r="O52" s="17" t="s">
        <v>744</v>
      </c>
      <c r="P52" s="7" t="s">
        <v>742</v>
      </c>
      <c r="Q52" s="7" t="s">
        <v>743</v>
      </c>
    </row>
    <row r="53" spans="1:29" ht="30.6" customHeight="1" x14ac:dyDescent="0.3">
      <c r="A53" s="41" t="s">
        <v>864</v>
      </c>
      <c r="B53" s="41" t="s">
        <v>865</v>
      </c>
      <c r="C53" s="43"/>
      <c r="D53" s="45"/>
      <c r="E53" s="23"/>
      <c r="F53" s="12">
        <v>0</v>
      </c>
      <c r="G53" s="52">
        <f>SUMIF(Q54:Q58,P53,G54:G58)</f>
        <v>14935989</v>
      </c>
      <c r="H53" s="13">
        <v>0</v>
      </c>
      <c r="I53" s="54">
        <f>SUMIF(Q54:Q58,P53,I54:I58)</f>
        <v>0</v>
      </c>
      <c r="J53" s="13">
        <v>0</v>
      </c>
      <c r="K53" s="60">
        <f>SUMIF(Q54:Q58,P53,K54:K58)</f>
        <v>0</v>
      </c>
      <c r="L53" s="22">
        <v>0</v>
      </c>
      <c r="M53" s="60">
        <f>SUMIF(Q54:Q58,P53,M54:M58)</f>
        <v>14935989</v>
      </c>
      <c r="N53" s="23"/>
      <c r="O53" s="17" t="str">
        <f>"_x0007_`COD|E3_x0005_`QTY1|1_x0005_`EXI|0_x0005_`ITT|0_x0005_`END|"&amp;ROW(M59)&amp;"_x0005_`"</f>
        <v>_x0007_`COD|E3_x0005_`QTY1|1_x0005_`EXI|0_x0005_`ITT|0_x0005_`END|59_x0005_`</v>
      </c>
      <c r="P53" s="7" t="s">
        <v>750</v>
      </c>
      <c r="Q53" s="7" t="s">
        <v>743</v>
      </c>
    </row>
    <row r="54" spans="1:29" ht="30.6" customHeight="1" x14ac:dyDescent="0.3">
      <c r="A54" s="10"/>
      <c r="B54" s="10" t="s">
        <v>273</v>
      </c>
      <c r="C54" s="44" t="s">
        <v>274</v>
      </c>
      <c r="D54" s="46">
        <v>1</v>
      </c>
      <c r="E54" s="23" t="s">
        <v>275</v>
      </c>
      <c r="F54" s="49">
        <f t="shared" ref="F54:G58" si="5">J54+H54+L54</f>
        <v>1514976</v>
      </c>
      <c r="G54" s="54">
        <f t="shared" si="5"/>
        <v>1514976</v>
      </c>
      <c r="H54" s="57">
        <f>IF(D54=0,0,단가산출근거목록표!F39)</f>
        <v>0</v>
      </c>
      <c r="I54" s="13">
        <f>ROUNDDOWN(H54*D54,0)</f>
        <v>0</v>
      </c>
      <c r="J54" s="59">
        <f>IF(D54=0,0,단가산출근거목록표!G39)</f>
        <v>0</v>
      </c>
      <c r="K54" s="13">
        <f>ROUNDDOWN(J54*D54,0)</f>
        <v>0</v>
      </c>
      <c r="L54" s="61">
        <f>IF(D54=0,0,단가산출근거목록표!H39)</f>
        <v>1514976</v>
      </c>
      <c r="M54" s="22">
        <f>ROUNDDOWN(L54*D54,0)</f>
        <v>1514976</v>
      </c>
      <c r="N54" s="23" t="s">
        <v>868</v>
      </c>
      <c r="O54" s="17" t="s">
        <v>867</v>
      </c>
      <c r="P54" s="7" t="s">
        <v>866</v>
      </c>
      <c r="Q54" s="7" t="s">
        <v>750</v>
      </c>
      <c r="AC54" s="3" t="str">
        <f ca="1">HYPERLINK("#"&amp;단가산출근거목록표!J2&amp;"!A"&amp;ROW(단가산출근거목록표!A39),"D01493 →")</f>
        <v>D01493 →</v>
      </c>
    </row>
    <row r="55" spans="1:29" ht="30.6" customHeight="1" x14ac:dyDescent="0.3">
      <c r="A55" s="10"/>
      <c r="B55" s="10" t="s">
        <v>279</v>
      </c>
      <c r="C55" s="44" t="s">
        <v>280</v>
      </c>
      <c r="D55" s="46">
        <v>26</v>
      </c>
      <c r="E55" s="23" t="s">
        <v>26</v>
      </c>
      <c r="F55" s="49">
        <f t="shared" si="5"/>
        <v>56451</v>
      </c>
      <c r="G55" s="54">
        <f t="shared" si="5"/>
        <v>1467726</v>
      </c>
      <c r="H55" s="57">
        <f>IF(D55=0,0,단가산출근거목록표!F40)</f>
        <v>0</v>
      </c>
      <c r="I55" s="13">
        <f>ROUNDDOWN(H55*D55,0)</f>
        <v>0</v>
      </c>
      <c r="J55" s="59">
        <f>IF(D55=0,0,단가산출근거목록표!G40)</f>
        <v>0</v>
      </c>
      <c r="K55" s="13">
        <f>ROUNDDOWN(J55*D55,0)</f>
        <v>0</v>
      </c>
      <c r="L55" s="61">
        <f>IF(D55=0,0,단가산출근거목록표!H40)</f>
        <v>56451</v>
      </c>
      <c r="M55" s="22">
        <f>ROUNDDOWN(L55*D55,0)</f>
        <v>1467726</v>
      </c>
      <c r="N55" s="23" t="s">
        <v>871</v>
      </c>
      <c r="O55" s="17" t="s">
        <v>870</v>
      </c>
      <c r="P55" s="7" t="s">
        <v>869</v>
      </c>
      <c r="Q55" s="7" t="s">
        <v>750</v>
      </c>
      <c r="AC55" s="3" t="str">
        <f ca="1">HYPERLINK("#"&amp;단가산출근거목록표!J2&amp;"!A"&amp;ROW(단가산출근거목록표!A40),"D01494 →")</f>
        <v>D01494 →</v>
      </c>
    </row>
    <row r="56" spans="1:29" ht="30.6" customHeight="1" x14ac:dyDescent="0.3">
      <c r="A56" s="10"/>
      <c r="B56" s="10" t="s">
        <v>284</v>
      </c>
      <c r="C56" s="44" t="s">
        <v>285</v>
      </c>
      <c r="D56" s="46">
        <v>75</v>
      </c>
      <c r="E56" s="23" t="s">
        <v>26</v>
      </c>
      <c r="F56" s="49">
        <f t="shared" si="5"/>
        <v>44049</v>
      </c>
      <c r="G56" s="54">
        <f t="shared" si="5"/>
        <v>3303675</v>
      </c>
      <c r="H56" s="57">
        <f>IF(D56=0,0,단가산출근거목록표!F41)</f>
        <v>0</v>
      </c>
      <c r="I56" s="13">
        <f>ROUNDDOWN(H56*D56,0)</f>
        <v>0</v>
      </c>
      <c r="J56" s="59">
        <f>IF(D56=0,0,단가산출근거목록표!G41)</f>
        <v>0</v>
      </c>
      <c r="K56" s="13">
        <f>ROUNDDOWN(J56*D56,0)</f>
        <v>0</v>
      </c>
      <c r="L56" s="61">
        <f>IF(D56=0,0,단가산출근거목록표!H41)</f>
        <v>44049</v>
      </c>
      <c r="M56" s="22">
        <f>ROUNDDOWN(L56*D56,0)</f>
        <v>3303675</v>
      </c>
      <c r="N56" s="23" t="s">
        <v>874</v>
      </c>
      <c r="O56" s="17" t="s">
        <v>873</v>
      </c>
      <c r="P56" s="7" t="s">
        <v>872</v>
      </c>
      <c r="Q56" s="7" t="s">
        <v>750</v>
      </c>
      <c r="AC56" s="3" t="str">
        <f ca="1">HYPERLINK("#"&amp;단가산출근거목록표!J2&amp;"!A"&amp;ROW(단가산출근거목록표!A41),"D01495 →")</f>
        <v>D01495 →</v>
      </c>
    </row>
    <row r="57" spans="1:29" ht="30.6" customHeight="1" x14ac:dyDescent="0.3">
      <c r="A57" s="10"/>
      <c r="B57" s="10" t="s">
        <v>289</v>
      </c>
      <c r="C57" s="44" t="s">
        <v>285</v>
      </c>
      <c r="D57" s="46">
        <v>387</v>
      </c>
      <c r="E57" s="23" t="s">
        <v>290</v>
      </c>
      <c r="F57" s="49">
        <f t="shared" si="5"/>
        <v>6576</v>
      </c>
      <c r="G57" s="54">
        <f t="shared" si="5"/>
        <v>2544912</v>
      </c>
      <c r="H57" s="57">
        <f>IF(D57=0,0,단가산출근거목록표!F42)</f>
        <v>0</v>
      </c>
      <c r="I57" s="13">
        <f>ROUNDDOWN(H57*D57,0)</f>
        <v>0</v>
      </c>
      <c r="J57" s="59">
        <f>IF(D57=0,0,단가산출근거목록표!G42)</f>
        <v>0</v>
      </c>
      <c r="K57" s="13">
        <f>ROUNDDOWN(J57*D57,0)</f>
        <v>0</v>
      </c>
      <c r="L57" s="61">
        <f>IF(D57=0,0,단가산출근거목록표!H42)</f>
        <v>6576</v>
      </c>
      <c r="M57" s="22">
        <f>ROUNDDOWN(L57*D57,0)</f>
        <v>2544912</v>
      </c>
      <c r="N57" s="23" t="s">
        <v>877</v>
      </c>
      <c r="O57" s="17" t="s">
        <v>876</v>
      </c>
      <c r="P57" s="7" t="s">
        <v>875</v>
      </c>
      <c r="Q57" s="7" t="s">
        <v>750</v>
      </c>
      <c r="AC57" s="3" t="str">
        <f ca="1">HYPERLINK("#"&amp;단가산출근거목록표!J2&amp;"!A"&amp;ROW(단가산출근거목록표!A42),"D01496 →")</f>
        <v>D01496 →</v>
      </c>
    </row>
    <row r="58" spans="1:29" ht="30.6" customHeight="1" x14ac:dyDescent="0.3">
      <c r="A58" s="10"/>
      <c r="B58" s="10" t="s">
        <v>294</v>
      </c>
      <c r="C58" s="44" t="s">
        <v>285</v>
      </c>
      <c r="D58" s="46">
        <v>210</v>
      </c>
      <c r="E58" s="23" t="s">
        <v>295</v>
      </c>
      <c r="F58" s="49">
        <f t="shared" si="5"/>
        <v>29070</v>
      </c>
      <c r="G58" s="54">
        <f t="shared" si="5"/>
        <v>6104700</v>
      </c>
      <c r="H58" s="57">
        <f>IF(D58=0,0,단가산출근거목록표!F43)</f>
        <v>0</v>
      </c>
      <c r="I58" s="13">
        <f>ROUNDDOWN(H58*D58,0)</f>
        <v>0</v>
      </c>
      <c r="J58" s="59">
        <f>IF(D58=0,0,단가산출근거목록표!G43)</f>
        <v>0</v>
      </c>
      <c r="K58" s="13">
        <f>ROUNDDOWN(J58*D58,0)</f>
        <v>0</v>
      </c>
      <c r="L58" s="61">
        <f>IF(D58=0,0,단가산출근거목록표!H43)</f>
        <v>29070</v>
      </c>
      <c r="M58" s="22">
        <f>ROUNDDOWN(L58*D58,0)</f>
        <v>6104700</v>
      </c>
      <c r="N58" s="23" t="s">
        <v>880</v>
      </c>
      <c r="O58" s="17" t="s">
        <v>879</v>
      </c>
      <c r="P58" s="7" t="s">
        <v>878</v>
      </c>
      <c r="Q58" s="7" t="s">
        <v>750</v>
      </c>
      <c r="AC58" s="3" t="str">
        <f ca="1">HYPERLINK("#"&amp;단가산출근거목록표!J2&amp;"!A"&amp;ROW(단가산출근거목록표!A43),"D01497 →")</f>
        <v>D01497 →</v>
      </c>
    </row>
    <row r="59" spans="1:29" ht="30.6" customHeight="1" x14ac:dyDescent="0.3">
      <c r="A59" s="10"/>
      <c r="B59" s="10"/>
      <c r="C59" s="44"/>
      <c r="D59" s="45"/>
      <c r="E59" s="23"/>
      <c r="F59" s="12">
        <v>0</v>
      </c>
      <c r="G59" s="53"/>
      <c r="H59" s="56"/>
      <c r="I59" s="56"/>
      <c r="J59" s="56"/>
      <c r="K59" s="56"/>
      <c r="L59" s="56"/>
      <c r="M59" s="63"/>
      <c r="N59" s="23"/>
      <c r="O59" s="17" t="s">
        <v>744</v>
      </c>
      <c r="P59" s="7" t="s">
        <v>742</v>
      </c>
      <c r="Q59" s="7" t="s">
        <v>743</v>
      </c>
    </row>
    <row r="60" spans="1:29" ht="30.6" customHeight="1" x14ac:dyDescent="0.3">
      <c r="A60" s="41" t="s">
        <v>881</v>
      </c>
      <c r="B60" s="41" t="s">
        <v>882</v>
      </c>
      <c r="C60" s="43"/>
      <c r="D60" s="45"/>
      <c r="E60" s="23"/>
      <c r="F60" s="12">
        <v>0</v>
      </c>
      <c r="G60" s="52">
        <f>SUMIF(Q61:Q66,P60,G61:G66)</f>
        <v>10417244</v>
      </c>
      <c r="H60" s="13">
        <v>0</v>
      </c>
      <c r="I60" s="54">
        <f>SUMIF(Q61:Q66,P60,I61:I66)</f>
        <v>0</v>
      </c>
      <c r="J60" s="13">
        <v>0</v>
      </c>
      <c r="K60" s="60">
        <f>SUMIF(Q61:Q66,P60,K61:K66)</f>
        <v>10417244</v>
      </c>
      <c r="L60" s="22">
        <v>0</v>
      </c>
      <c r="M60" s="60">
        <f>SUMIF(Q61:Q66,P60,M61:M66)</f>
        <v>0</v>
      </c>
      <c r="N60" s="23"/>
      <c r="O60" s="17" t="str">
        <f>"_x0007_`COD|E3_x0005_`QTY1|1_x0005_`EXI|0_x0005_`ITT|0_x0005_`END|"&amp;ROW(M67)&amp;"_x0005_`"</f>
        <v>_x0007_`COD|E3_x0005_`QTY1|1_x0005_`EXI|0_x0005_`ITT|0_x0005_`END|67_x0005_`</v>
      </c>
      <c r="P60" s="7" t="s">
        <v>750</v>
      </c>
      <c r="Q60" s="7" t="s">
        <v>743</v>
      </c>
    </row>
    <row r="61" spans="1:29" ht="30.6" customHeight="1" x14ac:dyDescent="0.3">
      <c r="A61" s="10"/>
      <c r="B61" s="10" t="s">
        <v>494</v>
      </c>
      <c r="C61" s="44" t="s">
        <v>538</v>
      </c>
      <c r="D61" s="46">
        <v>26</v>
      </c>
      <c r="E61" s="23" t="s">
        <v>449</v>
      </c>
      <c r="F61" s="49">
        <f t="shared" ref="F61:G66" si="6">J61+H61+L61</f>
        <v>20181</v>
      </c>
      <c r="G61" s="54">
        <f t="shared" si="6"/>
        <v>524706</v>
      </c>
      <c r="H61" s="58">
        <v>0</v>
      </c>
      <c r="I61" s="22">
        <f t="shared" ref="I61:I66" si="7">ROUNDDOWN(H61*D61,0)</f>
        <v>0</v>
      </c>
      <c r="J61" s="59">
        <f>IF(D61=0,0,재료비목록표!E35)</f>
        <v>20181</v>
      </c>
      <c r="K61" s="13">
        <f t="shared" ref="K61:K66" si="8">ROUNDDOWN(J61*D61,0)</f>
        <v>524706</v>
      </c>
      <c r="L61" s="62">
        <v>0</v>
      </c>
      <c r="M61" s="22">
        <f t="shared" ref="M61:M66" si="9">ROUNDDOWN(L61*D61,0)</f>
        <v>0</v>
      </c>
      <c r="N61" s="23" t="s">
        <v>540</v>
      </c>
      <c r="O61" s="17" t="s">
        <v>884</v>
      </c>
      <c r="P61" s="7" t="s">
        <v>883</v>
      </c>
      <c r="Q61" s="7" t="s">
        <v>750</v>
      </c>
      <c r="AC61" s="3" t="str">
        <f ca="1">HYPERLINK("#"&amp;재료비목록표!G2&amp;"!A"&amp;ROW(재료비목록표!A35),"M01514 →")</f>
        <v>M01514 →</v>
      </c>
    </row>
    <row r="62" spans="1:29" ht="30.6" customHeight="1" x14ac:dyDescent="0.3">
      <c r="A62" s="10"/>
      <c r="B62" s="10" t="s">
        <v>542</v>
      </c>
      <c r="C62" s="44" t="s">
        <v>543</v>
      </c>
      <c r="D62" s="46">
        <v>30</v>
      </c>
      <c r="E62" s="23" t="s">
        <v>449</v>
      </c>
      <c r="F62" s="49">
        <f t="shared" si="6"/>
        <v>15794</v>
      </c>
      <c r="G62" s="54">
        <f t="shared" si="6"/>
        <v>473820</v>
      </c>
      <c r="H62" s="58">
        <v>0</v>
      </c>
      <c r="I62" s="22">
        <f t="shared" si="7"/>
        <v>0</v>
      </c>
      <c r="J62" s="59">
        <f>IF(D62=0,0,재료비목록표!E36)</f>
        <v>15794</v>
      </c>
      <c r="K62" s="13">
        <f t="shared" si="8"/>
        <v>473820</v>
      </c>
      <c r="L62" s="62">
        <v>0</v>
      </c>
      <c r="M62" s="22">
        <f t="shared" si="9"/>
        <v>0</v>
      </c>
      <c r="N62" s="23" t="s">
        <v>545</v>
      </c>
      <c r="O62" s="17" t="s">
        <v>886</v>
      </c>
      <c r="P62" s="7" t="s">
        <v>885</v>
      </c>
      <c r="Q62" s="7" t="s">
        <v>750</v>
      </c>
      <c r="AC62" s="3" t="str">
        <f ca="1">HYPERLINK("#"&amp;재료비목록표!G2&amp;"!A"&amp;ROW(재료비목록표!A36),"M01515 →")</f>
        <v>M01515 →</v>
      </c>
    </row>
    <row r="63" spans="1:29" ht="30.6" customHeight="1" x14ac:dyDescent="0.3">
      <c r="A63" s="10"/>
      <c r="B63" s="10" t="s">
        <v>547</v>
      </c>
      <c r="C63" s="44" t="s">
        <v>543</v>
      </c>
      <c r="D63" s="46">
        <v>45</v>
      </c>
      <c r="E63" s="23" t="s">
        <v>449</v>
      </c>
      <c r="F63" s="49">
        <f t="shared" si="6"/>
        <v>15794</v>
      </c>
      <c r="G63" s="54">
        <f t="shared" si="6"/>
        <v>710730</v>
      </c>
      <c r="H63" s="58">
        <v>0</v>
      </c>
      <c r="I63" s="22">
        <f t="shared" si="7"/>
        <v>0</v>
      </c>
      <c r="J63" s="59">
        <f>IF(D63=0,0,재료비목록표!E37)</f>
        <v>15794</v>
      </c>
      <c r="K63" s="13">
        <f t="shared" si="8"/>
        <v>710730</v>
      </c>
      <c r="L63" s="62">
        <v>0</v>
      </c>
      <c r="M63" s="22">
        <f t="shared" si="9"/>
        <v>0</v>
      </c>
      <c r="N63" s="23" t="s">
        <v>549</v>
      </c>
      <c r="O63" s="17" t="s">
        <v>888</v>
      </c>
      <c r="P63" s="7" t="s">
        <v>887</v>
      </c>
      <c r="Q63" s="7" t="s">
        <v>750</v>
      </c>
      <c r="AC63" s="3" t="str">
        <f ca="1">HYPERLINK("#"&amp;재료비목록표!G2&amp;"!A"&amp;ROW(재료비목록표!A37),"M01516 →")</f>
        <v>M01516 →</v>
      </c>
    </row>
    <row r="64" spans="1:29" ht="30.6" customHeight="1" x14ac:dyDescent="0.3">
      <c r="A64" s="10"/>
      <c r="B64" s="10" t="s">
        <v>444</v>
      </c>
      <c r="C64" s="44" t="s">
        <v>551</v>
      </c>
      <c r="D64" s="46">
        <v>387</v>
      </c>
      <c r="E64" s="23" t="s">
        <v>290</v>
      </c>
      <c r="F64" s="49">
        <f t="shared" si="6"/>
        <v>4641</v>
      </c>
      <c r="G64" s="54">
        <f t="shared" si="6"/>
        <v>1796067</v>
      </c>
      <c r="H64" s="58">
        <v>0</v>
      </c>
      <c r="I64" s="22">
        <f t="shared" si="7"/>
        <v>0</v>
      </c>
      <c r="J64" s="59">
        <f>IF(D64=0,0,재료비목록표!E38)</f>
        <v>4641</v>
      </c>
      <c r="K64" s="13">
        <f t="shared" si="8"/>
        <v>1796067</v>
      </c>
      <c r="L64" s="62">
        <v>0</v>
      </c>
      <c r="M64" s="22">
        <f t="shared" si="9"/>
        <v>0</v>
      </c>
      <c r="N64" s="23" t="s">
        <v>553</v>
      </c>
      <c r="O64" s="17" t="s">
        <v>890</v>
      </c>
      <c r="P64" s="7" t="s">
        <v>889</v>
      </c>
      <c r="Q64" s="7" t="s">
        <v>750</v>
      </c>
      <c r="AC64" s="3" t="str">
        <f ca="1">HYPERLINK("#"&amp;재료비목록표!G2&amp;"!A"&amp;ROW(재료비목록표!A38),"M01517 →")</f>
        <v>M01517 →</v>
      </c>
    </row>
    <row r="65" spans="1:29" ht="30.6" customHeight="1" x14ac:dyDescent="0.3">
      <c r="A65" s="10"/>
      <c r="B65" s="10" t="s">
        <v>555</v>
      </c>
      <c r="C65" s="44" t="s">
        <v>556</v>
      </c>
      <c r="D65" s="46">
        <v>0.13800000000000001</v>
      </c>
      <c r="E65" s="23" t="s">
        <v>467</v>
      </c>
      <c r="F65" s="49">
        <f t="shared" si="6"/>
        <v>683126</v>
      </c>
      <c r="G65" s="54">
        <f t="shared" si="6"/>
        <v>94271</v>
      </c>
      <c r="H65" s="58">
        <v>0</v>
      </c>
      <c r="I65" s="22">
        <f t="shared" si="7"/>
        <v>0</v>
      </c>
      <c r="J65" s="59">
        <f>IF(D65=0,0,재료비목록표!E39)</f>
        <v>683126</v>
      </c>
      <c r="K65" s="13">
        <f t="shared" si="8"/>
        <v>94271</v>
      </c>
      <c r="L65" s="62">
        <v>0</v>
      </c>
      <c r="M65" s="22">
        <f t="shared" si="9"/>
        <v>0</v>
      </c>
      <c r="N65" s="23" t="s">
        <v>558</v>
      </c>
      <c r="O65" s="17" t="s">
        <v>892</v>
      </c>
      <c r="P65" s="7" t="s">
        <v>891</v>
      </c>
      <c r="Q65" s="7" t="s">
        <v>750</v>
      </c>
      <c r="AC65" s="3" t="str">
        <f ca="1">HYPERLINK("#"&amp;재료비목록표!G2&amp;"!A"&amp;ROW(재료비목록표!A39),"M01518 →")</f>
        <v>M01518 →</v>
      </c>
    </row>
    <row r="66" spans="1:29" ht="30.6" customHeight="1" x14ac:dyDescent="0.3">
      <c r="A66" s="10"/>
      <c r="B66" s="10" t="s">
        <v>560</v>
      </c>
      <c r="C66" s="44" t="s">
        <v>543</v>
      </c>
      <c r="D66" s="46">
        <v>210</v>
      </c>
      <c r="E66" s="23" t="s">
        <v>295</v>
      </c>
      <c r="F66" s="49">
        <f t="shared" si="6"/>
        <v>32465</v>
      </c>
      <c r="G66" s="54">
        <f t="shared" si="6"/>
        <v>6817650</v>
      </c>
      <c r="H66" s="58">
        <v>0</v>
      </c>
      <c r="I66" s="22">
        <f t="shared" si="7"/>
        <v>0</v>
      </c>
      <c r="J66" s="59">
        <f>IF(D66=0,0,재료비목록표!E40)</f>
        <v>32465</v>
      </c>
      <c r="K66" s="13">
        <f t="shared" si="8"/>
        <v>6817650</v>
      </c>
      <c r="L66" s="62">
        <v>0</v>
      </c>
      <c r="M66" s="22">
        <f t="shared" si="9"/>
        <v>0</v>
      </c>
      <c r="N66" s="23" t="s">
        <v>562</v>
      </c>
      <c r="O66" s="17" t="s">
        <v>894</v>
      </c>
      <c r="P66" s="7" t="s">
        <v>893</v>
      </c>
      <c r="Q66" s="7" t="s">
        <v>750</v>
      </c>
      <c r="AC66" s="3" t="str">
        <f ca="1">HYPERLINK("#"&amp;재료비목록표!G2&amp;"!A"&amp;ROW(재료비목록표!A40),"M01519 →")</f>
        <v>M01519 →</v>
      </c>
    </row>
    <row r="67" spans="1:29" ht="30.6" customHeight="1" x14ac:dyDescent="0.3">
      <c r="A67" s="41" t="s">
        <v>895</v>
      </c>
      <c r="B67" s="41" t="s">
        <v>896</v>
      </c>
      <c r="C67" s="43"/>
      <c r="D67" s="45"/>
      <c r="E67" s="23"/>
      <c r="F67" s="12">
        <v>0</v>
      </c>
      <c r="G67" s="52">
        <f>SUMIF(Q68:Q69,P67,G68:G69)</f>
        <v>2929586</v>
      </c>
      <c r="H67" s="13">
        <v>0</v>
      </c>
      <c r="I67" s="54">
        <f>SUMIF(Q68:Q69,P67,I68:I69)</f>
        <v>0</v>
      </c>
      <c r="J67" s="13">
        <v>0</v>
      </c>
      <c r="K67" s="60">
        <f>SUMIF(Q68:Q69,P67,K68:K69)</f>
        <v>0</v>
      </c>
      <c r="L67" s="22">
        <v>0</v>
      </c>
      <c r="M67" s="60">
        <f>SUMIF(Q68:Q69,P67,M68:M69)</f>
        <v>2929586</v>
      </c>
      <c r="N67" s="23"/>
      <c r="O67" s="17" t="str">
        <f>"_x0007_`COD|E3_x0005_`QTY1|1_x0005_`EXI|0_x0005_`ITT|0_x0005_`END|"&amp;ROW(M70)&amp;"_x0005_`"</f>
        <v>_x0007_`COD|E3_x0005_`QTY1|1_x0005_`EXI|0_x0005_`ITT|0_x0005_`END|70_x0005_`</v>
      </c>
      <c r="P67" s="7" t="s">
        <v>750</v>
      </c>
      <c r="Q67" s="7" t="s">
        <v>743</v>
      </c>
    </row>
    <row r="68" spans="1:29" ht="30.6" customHeight="1" x14ac:dyDescent="0.3">
      <c r="A68" s="10"/>
      <c r="B68" s="10" t="s">
        <v>670</v>
      </c>
      <c r="C68" s="44" t="s">
        <v>671</v>
      </c>
      <c r="D68" s="46">
        <v>61</v>
      </c>
      <c r="E68" s="23" t="s">
        <v>467</v>
      </c>
      <c r="F68" s="49">
        <f>J68+H68+L68</f>
        <v>19510</v>
      </c>
      <c r="G68" s="54">
        <f>K68+I68+M68</f>
        <v>1190110</v>
      </c>
      <c r="H68" s="57">
        <f>IF(D68=0,0,일식견적목록표!F5)</f>
        <v>0</v>
      </c>
      <c r="I68" s="13">
        <f>ROUNDDOWN(H68*D68,0)</f>
        <v>0</v>
      </c>
      <c r="J68" s="59">
        <f>IF(D68=0,0,일식견적목록표!G5)</f>
        <v>0</v>
      </c>
      <c r="K68" s="13">
        <f>ROUNDDOWN(J68*D68,0)</f>
        <v>0</v>
      </c>
      <c r="L68" s="61">
        <f>IF(D68=0,0,일식견적목록표!H5)</f>
        <v>19510</v>
      </c>
      <c r="M68" s="22">
        <f>ROUNDDOWN(L68*D68,0)</f>
        <v>1190110</v>
      </c>
      <c r="N68" s="23" t="s">
        <v>672</v>
      </c>
      <c r="O68" s="17" t="s">
        <v>898</v>
      </c>
      <c r="P68" s="7" t="s">
        <v>897</v>
      </c>
      <c r="Q68" s="7" t="s">
        <v>750</v>
      </c>
      <c r="AC68" s="3" t="str">
        <f ca="1">HYPERLINK("#"&amp;일식견적목록표!J2&amp;"!A"&amp;ROW(일식견적목록표!A5),"W00046 →")</f>
        <v>W00046 →</v>
      </c>
    </row>
    <row r="69" spans="1:29" ht="30.6" customHeight="1" x14ac:dyDescent="0.3">
      <c r="A69" s="10"/>
      <c r="B69" s="10" t="s">
        <v>666</v>
      </c>
      <c r="C69" s="44" t="s">
        <v>667</v>
      </c>
      <c r="D69" s="46">
        <v>61</v>
      </c>
      <c r="E69" s="23" t="s">
        <v>467</v>
      </c>
      <c r="F69" s="49">
        <f>J69+H69+L69</f>
        <v>28516</v>
      </c>
      <c r="G69" s="54">
        <f>K69+I69+M69</f>
        <v>1739476</v>
      </c>
      <c r="H69" s="57">
        <f>IF(D69=0,0,일식견적목록표!F4)</f>
        <v>0</v>
      </c>
      <c r="I69" s="13">
        <f>ROUNDDOWN(H69*D69,0)</f>
        <v>0</v>
      </c>
      <c r="J69" s="59">
        <f>IF(D69=0,0,일식견적목록표!G4)</f>
        <v>0</v>
      </c>
      <c r="K69" s="13">
        <f>ROUNDDOWN(J69*D69,0)</f>
        <v>0</v>
      </c>
      <c r="L69" s="61">
        <f>IF(D69=0,0,일식견적목록표!H4)</f>
        <v>28516</v>
      </c>
      <c r="M69" s="22">
        <f>ROUNDDOWN(L69*D69,0)</f>
        <v>1739476</v>
      </c>
      <c r="N69" s="23" t="s">
        <v>668</v>
      </c>
      <c r="O69" s="17" t="s">
        <v>900</v>
      </c>
      <c r="P69" s="7" t="s">
        <v>899</v>
      </c>
      <c r="Q69" s="7" t="s">
        <v>750</v>
      </c>
      <c r="AC69" s="3" t="str">
        <f ca="1">HYPERLINK("#"&amp;일식견적목록표!J2&amp;"!A"&amp;ROW(일식견적목록표!A4),"W00045 →")</f>
        <v>W00045 →</v>
      </c>
    </row>
    <row r="70" spans="1:29" ht="30.6" customHeight="1" x14ac:dyDescent="0.3">
      <c r="A70" s="10"/>
      <c r="B70" s="10"/>
      <c r="C70" s="44"/>
      <c r="D70" s="45"/>
      <c r="E70" s="23"/>
      <c r="F70" s="12">
        <v>0</v>
      </c>
      <c r="G70" s="53"/>
      <c r="H70" s="56"/>
      <c r="I70" s="56"/>
      <c r="J70" s="56"/>
      <c r="K70" s="56"/>
      <c r="L70" s="56"/>
      <c r="M70" s="63"/>
      <c r="N70" s="23"/>
      <c r="O70" s="17" t="s">
        <v>744</v>
      </c>
      <c r="P70" s="7" t="s">
        <v>742</v>
      </c>
      <c r="Q70" s="7" t="s">
        <v>743</v>
      </c>
    </row>
    <row r="71" spans="1:29" ht="30.6" customHeight="1" x14ac:dyDescent="0.3">
      <c r="A71" s="41" t="s">
        <v>895</v>
      </c>
      <c r="B71" s="41" t="s">
        <v>901</v>
      </c>
      <c r="C71" s="43"/>
      <c r="D71" s="45"/>
      <c r="E71" s="23"/>
      <c r="F71" s="12">
        <v>0</v>
      </c>
      <c r="G71" s="52">
        <f>SUMIF(Q72:Q75,P71,G72:G75)</f>
        <v>53604067</v>
      </c>
      <c r="H71" s="13">
        <v>0</v>
      </c>
      <c r="I71" s="54">
        <f>SUMIF(Q72:Q75,P71,I72:I75)</f>
        <v>0</v>
      </c>
      <c r="J71" s="13">
        <v>0</v>
      </c>
      <c r="K71" s="60">
        <f>SUMIF(Q72:Q75,P71,K72:K75)</f>
        <v>53604067</v>
      </c>
      <c r="L71" s="22">
        <v>0</v>
      </c>
      <c r="M71" s="60">
        <f>SUMIF(Q72:Q75,P71,M72:M75)</f>
        <v>0</v>
      </c>
      <c r="N71" s="23" t="s">
        <v>902</v>
      </c>
      <c r="O71" s="17" t="str">
        <f>"_x0007_`COD|C3_x0005_`QTY1|1_x0005_`EXI|1_x0005_`ITT|0_x0005_`END|"&amp;ROW(M76)&amp;"_x0005_`"</f>
        <v>_x0007_`COD|C3_x0005_`QTY1|1_x0005_`EXI|1_x0005_`ITT|0_x0005_`END|76_x0005_`</v>
      </c>
      <c r="P71" s="7" t="s">
        <v>911</v>
      </c>
    </row>
    <row r="72" spans="1:29" ht="30.6" customHeight="1" x14ac:dyDescent="0.3">
      <c r="A72" s="10"/>
      <c r="B72" s="10" t="s">
        <v>483</v>
      </c>
      <c r="C72" s="44" t="s">
        <v>487</v>
      </c>
      <c r="D72" s="46">
        <v>431</v>
      </c>
      <c r="E72" s="23" t="s">
        <v>449</v>
      </c>
      <c r="F72" s="49">
        <f t="shared" ref="F72:G75" si="10">J72+H72+L72</f>
        <v>114700</v>
      </c>
      <c r="G72" s="54">
        <f t="shared" si="10"/>
        <v>49435700</v>
      </c>
      <c r="H72" s="58">
        <v>0</v>
      </c>
      <c r="I72" s="22">
        <f>ROUNDDOWN(H72*D72,0)</f>
        <v>0</v>
      </c>
      <c r="J72" s="59">
        <f>IF(D72=0,0,재료비목록표!E23)</f>
        <v>114700</v>
      </c>
      <c r="K72" s="13">
        <f>ROUNDDOWN(J72*D72,0)</f>
        <v>49435700</v>
      </c>
      <c r="L72" s="62">
        <v>0</v>
      </c>
      <c r="M72" s="22">
        <f>ROUNDDOWN(L72*D72,0)</f>
        <v>0</v>
      </c>
      <c r="N72" s="23" t="s">
        <v>489</v>
      </c>
      <c r="O72" s="17" t="s">
        <v>904</v>
      </c>
      <c r="P72" s="7" t="s">
        <v>903</v>
      </c>
      <c r="Q72" s="7" t="s">
        <v>911</v>
      </c>
      <c r="AC72" s="3" t="str">
        <f ca="1">HYPERLINK("#"&amp;재료비목록표!G2&amp;"!A"&amp;ROW(재료비목록표!A23),"M00424 →")</f>
        <v>M00424 →</v>
      </c>
    </row>
    <row r="73" spans="1:29" ht="30.6" customHeight="1" x14ac:dyDescent="0.3">
      <c r="A73" s="10"/>
      <c r="B73" s="10" t="s">
        <v>483</v>
      </c>
      <c r="C73" s="44" t="s">
        <v>484</v>
      </c>
      <c r="D73" s="46">
        <v>22</v>
      </c>
      <c r="E73" s="23" t="s">
        <v>449</v>
      </c>
      <c r="F73" s="49">
        <f t="shared" si="10"/>
        <v>107390</v>
      </c>
      <c r="G73" s="54">
        <f t="shared" si="10"/>
        <v>2362580</v>
      </c>
      <c r="H73" s="58">
        <v>0</v>
      </c>
      <c r="I73" s="22">
        <f>ROUNDDOWN(H73*D73,0)</f>
        <v>0</v>
      </c>
      <c r="J73" s="59">
        <f>IF(D73=0,0,재료비목록표!E22)</f>
        <v>107390</v>
      </c>
      <c r="K73" s="13">
        <f>ROUNDDOWN(J73*D73,0)</f>
        <v>2362580</v>
      </c>
      <c r="L73" s="62">
        <v>0</v>
      </c>
      <c r="M73" s="22">
        <f>ROUNDDOWN(L73*D73,0)</f>
        <v>0</v>
      </c>
      <c r="N73" s="23" t="s">
        <v>486</v>
      </c>
      <c r="O73" s="17" t="s">
        <v>906</v>
      </c>
      <c r="P73" s="7" t="s">
        <v>905</v>
      </c>
      <c r="Q73" s="7" t="s">
        <v>911</v>
      </c>
      <c r="AC73" s="3" t="str">
        <f ca="1">HYPERLINK("#"&amp;재료비목록표!G2&amp;"!A"&amp;ROW(재료비목록표!A22),"M00344 →")</f>
        <v>M00344 →</v>
      </c>
    </row>
    <row r="74" spans="1:29" ht="30.6" customHeight="1" x14ac:dyDescent="0.3">
      <c r="A74" s="10"/>
      <c r="B74" s="10" t="s">
        <v>533</v>
      </c>
      <c r="C74" s="44" t="s">
        <v>534</v>
      </c>
      <c r="D74" s="46">
        <v>12</v>
      </c>
      <c r="E74" s="23" t="s">
        <v>414</v>
      </c>
      <c r="F74" s="49">
        <f t="shared" si="10"/>
        <v>126490</v>
      </c>
      <c r="G74" s="54">
        <f t="shared" si="10"/>
        <v>1517880</v>
      </c>
      <c r="H74" s="58">
        <v>0</v>
      </c>
      <c r="I74" s="22">
        <f>ROUNDDOWN(H74*D74,0)</f>
        <v>0</v>
      </c>
      <c r="J74" s="59">
        <f>IF(D74=0,0,재료비목록표!E34)</f>
        <v>126490</v>
      </c>
      <c r="K74" s="13">
        <f>ROUNDDOWN(J74*D74,0)</f>
        <v>1517880</v>
      </c>
      <c r="L74" s="62">
        <v>0</v>
      </c>
      <c r="M74" s="22">
        <f>ROUNDDOWN(L74*D74,0)</f>
        <v>0</v>
      </c>
      <c r="N74" s="23" t="s">
        <v>536</v>
      </c>
      <c r="O74" s="17" t="s">
        <v>908</v>
      </c>
      <c r="P74" s="7" t="s">
        <v>907</v>
      </c>
      <c r="Q74" s="7" t="s">
        <v>911</v>
      </c>
      <c r="AC74" s="3" t="str">
        <f ca="1">HYPERLINK("#"&amp;재료비목록표!G2&amp;"!A"&amp;ROW(재료비목록표!A34),"M01513 →")</f>
        <v>M01513 →</v>
      </c>
    </row>
    <row r="75" spans="1:29" ht="30.6" customHeight="1" x14ac:dyDescent="0.3">
      <c r="A75" s="10"/>
      <c r="B75" s="10" t="s">
        <v>498</v>
      </c>
      <c r="C75" s="44"/>
      <c r="D75" s="46">
        <v>0.54</v>
      </c>
      <c r="E75" s="23" t="s">
        <v>441</v>
      </c>
      <c r="F75" s="49">
        <f t="shared" si="10"/>
        <v>53316160</v>
      </c>
      <c r="G75" s="54">
        <f t="shared" si="10"/>
        <v>287907</v>
      </c>
      <c r="H75" s="58">
        <v>0</v>
      </c>
      <c r="I75" s="11">
        <f>ROUNDDOWN(H75*D75/100,0)</f>
        <v>0</v>
      </c>
      <c r="J75" s="58">
        <v>53316160</v>
      </c>
      <c r="K75" s="22">
        <f>ROUNDDOWN(J75*D75/100,0)</f>
        <v>287907</v>
      </c>
      <c r="L75" s="62">
        <v>0</v>
      </c>
      <c r="M75" s="22">
        <f>ROUNDDOWN(L75*D75/100,0)</f>
        <v>0</v>
      </c>
      <c r="N75" s="23" t="s">
        <v>500</v>
      </c>
      <c r="O75" s="17" t="s">
        <v>910</v>
      </c>
      <c r="P75" s="7" t="s">
        <v>909</v>
      </c>
      <c r="Q75" s="7" t="s">
        <v>911</v>
      </c>
      <c r="AC75" s="3" t="str">
        <f ca="1">HYPERLINK("#"&amp;재료비목록표!G2&amp;"!A"&amp;ROW(재료비목록표!A26),"M00918 →")</f>
        <v>M00918 →</v>
      </c>
    </row>
    <row r="76" spans="1:29" hidden="1" x14ac:dyDescent="0.3">
      <c r="B76" s="7" t="s">
        <v>737</v>
      </c>
      <c r="G76" s="55">
        <f>SUMIF(Q5:Q75,"E10_1",G5:G75)</f>
        <v>173311386</v>
      </c>
      <c r="I76" s="55">
        <f>SUMIF(Q5:Q75,"E10_1",I5:I75)</f>
        <v>82246518</v>
      </c>
      <c r="K76" s="55">
        <f>SUMIF(Q5:Q75,"E10_1",K5:K75)</f>
        <v>47987107</v>
      </c>
      <c r="M76" s="55">
        <f>SUMIF(Q5:Q75,"E10_1",M5:M75)</f>
        <v>43077761</v>
      </c>
    </row>
    <row r="77" spans="1:29" ht="30.6" customHeight="1" x14ac:dyDescent="0.3">
      <c r="A77" s="42"/>
      <c r="B77" s="42"/>
      <c r="C77" s="42"/>
      <c r="D77" s="47"/>
      <c r="E77" s="25"/>
      <c r="F77" s="50"/>
      <c r="G77" s="50"/>
      <c r="H77" s="50"/>
      <c r="I77" s="50"/>
      <c r="J77" s="50"/>
      <c r="K77" s="50"/>
      <c r="L77" s="50"/>
      <c r="M77" s="50"/>
      <c r="N77" s="14"/>
    </row>
    <row r="78" spans="1:29" ht="30.6" customHeight="1" x14ac:dyDescent="0.3">
      <c r="A78" s="10"/>
      <c r="B78" s="10"/>
      <c r="C78" s="10"/>
      <c r="D78" s="48"/>
      <c r="E78" s="32"/>
      <c r="F78" s="51"/>
      <c r="G78" s="51"/>
      <c r="H78" s="51"/>
      <c r="I78" s="51"/>
      <c r="J78" s="51"/>
      <c r="K78" s="51"/>
      <c r="L78" s="51"/>
      <c r="M78" s="51"/>
      <c r="N78" s="23"/>
    </row>
    <row r="79" spans="1:29" ht="30.6" customHeight="1" x14ac:dyDescent="0.3">
      <c r="A79" s="10"/>
      <c r="B79" s="10"/>
      <c r="C79" s="10"/>
      <c r="D79" s="48"/>
      <c r="E79" s="32"/>
      <c r="F79" s="51"/>
      <c r="G79" s="51"/>
      <c r="H79" s="51"/>
      <c r="I79" s="51"/>
      <c r="J79" s="51"/>
      <c r="K79" s="51"/>
      <c r="L79" s="51"/>
      <c r="M79" s="51"/>
      <c r="N79" s="23"/>
    </row>
    <row r="80" spans="1:29" ht="30.6" customHeight="1" x14ac:dyDescent="0.3">
      <c r="A80" s="10"/>
      <c r="B80" s="10"/>
      <c r="C80" s="10"/>
      <c r="D80" s="48"/>
      <c r="E80" s="32"/>
      <c r="F80" s="51"/>
      <c r="G80" s="51"/>
      <c r="H80" s="51"/>
      <c r="I80" s="51"/>
      <c r="J80" s="51"/>
      <c r="K80" s="51"/>
      <c r="L80" s="51"/>
      <c r="M80" s="51"/>
      <c r="N80" s="23"/>
    </row>
    <row r="81" spans="1:14" ht="30.6" customHeight="1" x14ac:dyDescent="0.3">
      <c r="A81" s="10"/>
      <c r="B81" s="10"/>
      <c r="C81" s="10"/>
      <c r="D81" s="48"/>
      <c r="E81" s="32"/>
      <c r="F81" s="51"/>
      <c r="G81" s="51"/>
      <c r="H81" s="51"/>
      <c r="I81" s="51"/>
      <c r="J81" s="51"/>
      <c r="K81" s="51"/>
      <c r="L81" s="51"/>
      <c r="M81" s="51"/>
      <c r="N81" s="23"/>
    </row>
    <row r="82" spans="1:14" ht="30.6" customHeight="1" x14ac:dyDescent="0.3">
      <c r="A82" s="10"/>
      <c r="B82" s="10"/>
      <c r="C82" s="10"/>
      <c r="D82" s="48"/>
      <c r="E82" s="32"/>
      <c r="F82" s="51"/>
      <c r="G82" s="51"/>
      <c r="H82" s="51"/>
      <c r="I82" s="51"/>
      <c r="J82" s="51"/>
      <c r="K82" s="51"/>
      <c r="L82" s="51"/>
      <c r="M82" s="51"/>
      <c r="N82" s="23"/>
    </row>
    <row r="83" spans="1:14" ht="30.6" customHeight="1" x14ac:dyDescent="0.3">
      <c r="A83" s="10"/>
      <c r="B83" s="10"/>
      <c r="C83" s="10"/>
      <c r="D83" s="48"/>
      <c r="E83" s="32"/>
      <c r="F83" s="51"/>
      <c r="G83" s="51"/>
      <c r="H83" s="51"/>
      <c r="I83" s="51"/>
      <c r="J83" s="51"/>
      <c r="K83" s="51"/>
      <c r="L83" s="51"/>
      <c r="M83" s="51"/>
      <c r="N83" s="23"/>
    </row>
    <row r="84" spans="1:14" ht="30.6" customHeight="1" x14ac:dyDescent="0.3">
      <c r="A84" s="10"/>
      <c r="B84" s="10"/>
      <c r="C84" s="10"/>
      <c r="D84" s="48"/>
      <c r="E84" s="32"/>
      <c r="F84" s="51"/>
      <c r="G84" s="51"/>
      <c r="H84" s="51"/>
      <c r="I84" s="51"/>
      <c r="J84" s="51"/>
      <c r="K84" s="51"/>
      <c r="L84" s="51"/>
      <c r="M84" s="51"/>
      <c r="N84" s="23"/>
    </row>
    <row r="85" spans="1:14" ht="30.6" customHeight="1" x14ac:dyDescent="0.3">
      <c r="A85" s="10"/>
      <c r="B85" s="10"/>
      <c r="C85" s="10"/>
      <c r="D85" s="48"/>
      <c r="E85" s="32"/>
      <c r="F85" s="51"/>
      <c r="G85" s="51"/>
      <c r="H85" s="51"/>
      <c r="I85" s="51"/>
      <c r="J85" s="51"/>
      <c r="K85" s="51"/>
      <c r="L85" s="51"/>
      <c r="M85" s="51"/>
      <c r="N85" s="23"/>
    </row>
  </sheetData>
  <mergeCells count="11">
    <mergeCell ref="N3:N4"/>
    <mergeCell ref="A1:N1"/>
    <mergeCell ref="A3:A4"/>
    <mergeCell ref="B3:B4"/>
    <mergeCell ref="C3:C4"/>
    <mergeCell ref="D3:D4"/>
    <mergeCell ref="E3:E4"/>
    <mergeCell ref="F3:G3"/>
    <mergeCell ref="H3:I3"/>
    <mergeCell ref="J3:K3"/>
    <mergeCell ref="L3:M3"/>
  </mergeCells>
  <phoneticPr fontId="23" type="noConversion"/>
  <conditionalFormatting sqref="D5:D85">
    <cfRule type="expression" dxfId="6" priority="1" stopIfTrue="1">
      <formula>AND(D5&lt;&gt;0,INT(D5)=D5)</formula>
    </cfRule>
  </conditionalFormatting>
  <conditionalFormatting sqref="F5:N85">
    <cfRule type="expression" dxfId="5" priority="2" stopIfTrue="1">
      <formula>AND(F5&lt;&gt;0,INT(F5)=F5)</formula>
    </cfRule>
  </conditionalFormatting>
  <hyperlinks>
    <hyperlink ref="AC1" r:id="rId1" tooltip="설계예산시스템(STmate w25.07)으로 작성 하였으며,_x000a_엑셀 인쇄품질 600 dpi에 최적화 되어 있습니다._x000a_경영정보(주) http://www.stma.co.kr_x000a_Tel) 070-4350-0040_x000a_Fax) 0505-300-3948"/>
    <hyperlink ref="O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69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8" width="11.5" style="6" customWidth="1"/>
    <col min="9" max="9" width="10" style="6" customWidth="1"/>
    <col min="10" max="10" width="9.125" style="16" hidden="1" customWidth="1"/>
    <col min="11" max="11" width="9.125" style="18" customWidth="1"/>
    <col min="12" max="16384" width="9.125" style="6"/>
  </cols>
  <sheetData>
    <row r="1" spans="1:11" ht="24.95" customHeight="1" x14ac:dyDescent="0.3">
      <c r="A1" s="133" t="s">
        <v>0</v>
      </c>
      <c r="B1" s="132"/>
      <c r="C1" s="132"/>
      <c r="D1" s="132"/>
      <c r="E1" s="132"/>
      <c r="F1" s="132"/>
      <c r="G1" s="132"/>
      <c r="H1" s="132"/>
      <c r="I1" s="132"/>
      <c r="J1" s="5" t="s">
        <v>133</v>
      </c>
      <c r="K1" s="19" t="s">
        <v>133</v>
      </c>
    </row>
    <row r="2" spans="1:11" ht="22.35" customHeight="1" x14ac:dyDescent="0.3">
      <c r="A2" s="1" t="s">
        <v>1</v>
      </c>
      <c r="J2" s="20" t="str">
        <f ca="1">MID(CELL("filename",$A$1),FIND("]",CELL("filename",$A$1))+1,LEN(CELL("filename",$A$1)))</f>
        <v>일위대가목록표</v>
      </c>
    </row>
    <row r="3" spans="1:11" ht="22.3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K3" s="3" t="str">
        <f>HYPERLINK("#'〓 목 차 〓'!B2","목차 →")</f>
        <v>목차 →</v>
      </c>
    </row>
    <row r="4" spans="1:11" ht="22.35" customHeight="1" x14ac:dyDescent="0.3">
      <c r="A4" s="9" t="s">
        <v>11</v>
      </c>
      <c r="B4" s="10" t="s">
        <v>12</v>
      </c>
      <c r="C4" s="10" t="s">
        <v>13</v>
      </c>
      <c r="D4" s="9" t="s">
        <v>14</v>
      </c>
      <c r="E4" s="54">
        <f>일위대가표!F13</f>
        <v>41540</v>
      </c>
      <c r="F4" s="52">
        <f>일위대가표!H13</f>
        <v>36032</v>
      </c>
      <c r="G4" s="64">
        <f>일위대가표!J13</f>
        <v>4428</v>
      </c>
      <c r="H4" s="54">
        <f>일위대가표!L13</f>
        <v>1080</v>
      </c>
      <c r="I4" s="15" t="s">
        <v>15</v>
      </c>
      <c r="J4" s="17" t="str">
        <f>"_x0007_`COD|B00011_x0005_`QTY1|1_x0005_`BQC|_x0005_`EQC|_x0005_`JDC|_x0005_`WQC|_x0005_`EDT|_x0005_`ADJ|F_x0005_`NAG|0_x0005_`UC|F_x0005_`DET|"&amp;ROW(일위대가표!A5)&amp;"_x0005_`"</f>
        <v>_x0007_`COD|B00011_x0005_`QTY1|1_x0005_`BQC|_x0005_`EQC|_x0005_`JDC|_x0005_`WQC|_x0005_`EDT|_x0005_`ADJ|F_x0005_`NAG|0_x0005_`UC|F_x0005_`DET|5_x0005_`</v>
      </c>
      <c r="K4" s="3" t="str">
        <f ca="1">HYPERLINK("#"&amp;일위대가표!N2&amp;"!A"&amp;ROW(일위대가표!A5),"B00011 →")</f>
        <v>B00011 →</v>
      </c>
    </row>
    <row r="5" spans="1:11" ht="22.35" customHeight="1" x14ac:dyDescent="0.3">
      <c r="A5" s="9" t="s">
        <v>17</v>
      </c>
      <c r="B5" s="10" t="s">
        <v>18</v>
      </c>
      <c r="C5" s="10" t="s">
        <v>19</v>
      </c>
      <c r="D5" s="9" t="s">
        <v>20</v>
      </c>
      <c r="E5" s="54">
        <f>일위대가표!F20</f>
        <v>239350</v>
      </c>
      <c r="F5" s="52">
        <f>일위대가표!H20</f>
        <v>219588</v>
      </c>
      <c r="G5" s="64">
        <f>일위대가표!J20</f>
        <v>0</v>
      </c>
      <c r="H5" s="54">
        <f>일위대가표!L20</f>
        <v>19762</v>
      </c>
      <c r="I5" s="15" t="s">
        <v>21</v>
      </c>
      <c r="J5" s="17" t="str">
        <f>"_x0007_`COD|B00032_x0005_`QTY1|1_x0005_`BQC|_x0005_`EQC|_x0005_`JDC|_x0005_`WQC|_x0005_`EDT|_x0005_`ADJ|F_x0005_`NAG|0_x0005_`UC|F_x0005_`DET|"&amp;ROW(일위대가표!A14)&amp;"_x0005_`"</f>
        <v>_x0007_`COD|B00032_x0005_`QTY1|1_x0005_`BQC|_x0005_`EQC|_x0005_`JDC|_x0005_`WQC|_x0005_`EDT|_x0005_`ADJ|F_x0005_`NAG|0_x0005_`UC|F_x0005_`DET|14_x0005_`</v>
      </c>
      <c r="K5" s="3" t="str">
        <f ca="1">HYPERLINK("#"&amp;일위대가표!N2&amp;"!A"&amp;ROW(일위대가표!A14),"B00032 →")</f>
        <v>B00032 →</v>
      </c>
    </row>
    <row r="6" spans="1:11" ht="22.35" customHeight="1" x14ac:dyDescent="0.3">
      <c r="A6" s="9" t="s">
        <v>23</v>
      </c>
      <c r="B6" s="10" t="s">
        <v>24</v>
      </c>
      <c r="C6" s="10" t="s">
        <v>25</v>
      </c>
      <c r="D6" s="9" t="s">
        <v>26</v>
      </c>
      <c r="E6" s="54">
        <f>일위대가표!F27</f>
        <v>112070</v>
      </c>
      <c r="F6" s="52">
        <f>일위대가표!H27</f>
        <v>112070</v>
      </c>
      <c r="G6" s="64">
        <f>일위대가표!J27</f>
        <v>0</v>
      </c>
      <c r="H6" s="54">
        <f>일위대가표!L27</f>
        <v>0</v>
      </c>
      <c r="I6" s="15" t="s">
        <v>27</v>
      </c>
      <c r="J6" s="17" t="str">
        <f>"_x0007_`COD|B00048_x0005_`QTY1|1_x0005_`BQC|_x0005_`EQC|_x0005_`JDC|_x0005_`WQC|_x0005_`EDT|_x0005_`ADJ|F_x0005_`NAG|0_x0005_`UC|F_x0005_`DET|"&amp;ROW(일위대가표!A21)&amp;"_x0005_`"</f>
        <v>_x0007_`COD|B00048_x0005_`QTY1|1_x0005_`BQC|_x0005_`EQC|_x0005_`JDC|_x0005_`WQC|_x0005_`EDT|_x0005_`ADJ|F_x0005_`NAG|0_x0005_`UC|F_x0005_`DET|21_x0005_`</v>
      </c>
      <c r="K6" s="3" t="str">
        <f ca="1">HYPERLINK("#"&amp;일위대가표!N2&amp;"!A"&amp;ROW(일위대가표!A21),"B00048 →")</f>
        <v>B00048 →</v>
      </c>
    </row>
    <row r="7" spans="1:11" ht="22.35" customHeight="1" x14ac:dyDescent="0.3">
      <c r="A7" s="9" t="s">
        <v>29</v>
      </c>
      <c r="B7" s="10" t="s">
        <v>30</v>
      </c>
      <c r="C7" s="10"/>
      <c r="D7" s="9" t="s">
        <v>14</v>
      </c>
      <c r="E7" s="54">
        <f>일위대가표!F35</f>
        <v>27886</v>
      </c>
      <c r="F7" s="52">
        <f>일위대가표!H35</f>
        <v>24192</v>
      </c>
      <c r="G7" s="64">
        <f>일위대가표!J35</f>
        <v>3694</v>
      </c>
      <c r="H7" s="54">
        <f>일위대가표!L35</f>
        <v>0</v>
      </c>
      <c r="I7" s="15" t="s">
        <v>31</v>
      </c>
      <c r="J7" s="17" t="str">
        <f>"_x0007_`COD|B00233_x0005_`QTY1|1_x0005_`BQC|_x0005_`EQC|_x0005_`JDC|_x0005_`WQC|_x0005_`EDT|_x0005_`ADJ|F_x0005_`NAG|0_x0005_`UC|F_x0005_`DET|"&amp;ROW(일위대가표!A28)&amp;"_x0005_`"</f>
        <v>_x0007_`COD|B00233_x0005_`QTY1|1_x0005_`BQC|_x0005_`EQC|_x0005_`JDC|_x0005_`WQC|_x0005_`EDT|_x0005_`ADJ|F_x0005_`NAG|0_x0005_`UC|F_x0005_`DET|28_x0005_`</v>
      </c>
      <c r="K7" s="3" t="str">
        <f ca="1">HYPERLINK("#"&amp;일위대가표!N2&amp;"!A"&amp;ROW(일위대가표!A28),"B00233 →")</f>
        <v>B00233 →</v>
      </c>
    </row>
    <row r="8" spans="1:11" ht="22.35" customHeight="1" x14ac:dyDescent="0.3">
      <c r="A8" s="9" t="s">
        <v>33</v>
      </c>
      <c r="B8" s="10" t="s">
        <v>34</v>
      </c>
      <c r="C8" s="10"/>
      <c r="D8" s="9" t="s">
        <v>35</v>
      </c>
      <c r="E8" s="54">
        <f>일위대가표!F40</f>
        <v>817</v>
      </c>
      <c r="F8" s="52">
        <f>일위대가표!H40</f>
        <v>776</v>
      </c>
      <c r="G8" s="64">
        <f>일위대가표!J40</f>
        <v>11</v>
      </c>
      <c r="H8" s="54">
        <f>일위대가표!L40</f>
        <v>30</v>
      </c>
      <c r="I8" s="15" t="s">
        <v>36</v>
      </c>
      <c r="J8" s="17" t="str">
        <f>"_x0007_`COD|B00287_x0005_`QTY1|1_x0005_`BQC|_x0005_`EQC|_x0005_`JDC|_x0005_`WQC|_x0005_`EDT|_x0005_`ADJ|F_x0005_`NAG|0_x0005_`UC|F_x0005_`DET|"&amp;ROW(일위대가표!A36)&amp;"_x0005_`"</f>
        <v>_x0007_`COD|B00287_x0005_`QTY1|1_x0005_`BQC|_x0005_`EQC|_x0005_`JDC|_x0005_`WQC|_x0005_`EDT|_x0005_`ADJ|F_x0005_`NAG|0_x0005_`UC|F_x0005_`DET|36_x0005_`</v>
      </c>
      <c r="K8" s="3" t="str">
        <f ca="1">HYPERLINK("#"&amp;일위대가표!N2&amp;"!A"&amp;ROW(일위대가표!A36),"B00287 →")</f>
        <v>B00287 →</v>
      </c>
    </row>
    <row r="9" spans="1:11" ht="22.35" customHeight="1" x14ac:dyDescent="0.3">
      <c r="A9" s="9" t="s">
        <v>38</v>
      </c>
      <c r="B9" s="10" t="s">
        <v>39</v>
      </c>
      <c r="C9" s="10" t="s">
        <v>40</v>
      </c>
      <c r="D9" s="9" t="s">
        <v>14</v>
      </c>
      <c r="E9" s="54">
        <f>일위대가표!F47</f>
        <v>68589</v>
      </c>
      <c r="F9" s="52">
        <f>일위대가표!H47</f>
        <v>55673</v>
      </c>
      <c r="G9" s="64">
        <f>일위대가표!J47</f>
        <v>4886</v>
      </c>
      <c r="H9" s="54">
        <f>일위대가표!L47</f>
        <v>8030</v>
      </c>
      <c r="I9" s="15" t="s">
        <v>41</v>
      </c>
      <c r="J9" s="17" t="str">
        <f>"_x0007_`COD|B00374_x0005_`QTY1|1_x0005_`BQC|품_x0005_`EQC|_x0005_`JDC|_x0005_`WQC|_x0005_`EDT|_x0005_`ADJ|F_x0005_`NAG|0_x0005_`UC|F_x0005_`DET|"&amp;ROW(일위대가표!A41)&amp;"_x0005_`"</f>
        <v>_x0007_`COD|B00374_x0005_`QTY1|1_x0005_`BQC|품_x0005_`EQC|_x0005_`JDC|_x0005_`WQC|_x0005_`EDT|_x0005_`ADJ|F_x0005_`NAG|0_x0005_`UC|F_x0005_`DET|41_x0005_`</v>
      </c>
      <c r="K9" s="3" t="str">
        <f ca="1">HYPERLINK("#"&amp;일위대가표!N2&amp;"!A"&amp;ROW(일위대가표!A41),"B00374 →")</f>
        <v>B00374 →</v>
      </c>
    </row>
    <row r="10" spans="1:11" ht="22.35" customHeight="1" x14ac:dyDescent="0.3">
      <c r="A10" s="9" t="s">
        <v>43</v>
      </c>
      <c r="B10" s="10" t="s">
        <v>39</v>
      </c>
      <c r="C10" s="10" t="s">
        <v>44</v>
      </c>
      <c r="D10" s="9" t="s">
        <v>14</v>
      </c>
      <c r="E10" s="54">
        <f>일위대가표!F54</f>
        <v>54553</v>
      </c>
      <c r="F10" s="52">
        <f>일위대가표!H54</f>
        <v>43704</v>
      </c>
      <c r="G10" s="64">
        <f>일위대가표!J54</f>
        <v>4104</v>
      </c>
      <c r="H10" s="54">
        <f>일위대가표!L54</f>
        <v>6745</v>
      </c>
      <c r="I10" s="15" t="s">
        <v>45</v>
      </c>
      <c r="J10" s="17" t="str">
        <f>"_x0007_`COD|B00378_x0005_`QTY1|1_x0005_`BQC|품_x0005_`EQC|_x0005_`JDC|_x0005_`WQC|_x0005_`EDT|_x0005_`ADJ|F_x0005_`NAG|0_x0005_`UC|F_x0005_`DET|"&amp;ROW(일위대가표!A48)&amp;"_x0005_`"</f>
        <v>_x0007_`COD|B00378_x0005_`QTY1|1_x0005_`BQC|품_x0005_`EQC|_x0005_`JDC|_x0005_`WQC|_x0005_`EDT|_x0005_`ADJ|F_x0005_`NAG|0_x0005_`UC|F_x0005_`DET|48_x0005_`</v>
      </c>
      <c r="K10" s="3" t="str">
        <f ca="1">HYPERLINK("#"&amp;일위대가표!N2&amp;"!A"&amp;ROW(일위대가표!A48),"B00378 →")</f>
        <v>B00378 →</v>
      </c>
    </row>
    <row r="11" spans="1:11" ht="22.35" customHeight="1" x14ac:dyDescent="0.3">
      <c r="A11" s="9" t="s">
        <v>47</v>
      </c>
      <c r="B11" s="10" t="s">
        <v>48</v>
      </c>
      <c r="C11" s="10" t="s">
        <v>49</v>
      </c>
      <c r="D11" s="9" t="s">
        <v>50</v>
      </c>
      <c r="E11" s="54">
        <f>일위대가표!F62</f>
        <v>16519</v>
      </c>
      <c r="F11" s="52">
        <f>일위대가표!H62</f>
        <v>15477</v>
      </c>
      <c r="G11" s="64">
        <f>일위대가표!J62</f>
        <v>345</v>
      </c>
      <c r="H11" s="54">
        <f>일위대가표!L62</f>
        <v>697</v>
      </c>
      <c r="I11" s="15" t="s">
        <v>51</v>
      </c>
      <c r="J11" s="17" t="str">
        <f>"_x0007_`COD|B00437_x0005_`QTY1|1_x0005_`BQC|품_x0005_`EQC|_x0005_`JDC|_x0005_`WQC|_x0005_`EDT|_x0005_`ADJ|F_x0005_`NAG|0_x0005_`UC|F_x0005_`DET|"&amp;ROW(일위대가표!A55)&amp;"_x0005_`"</f>
        <v>_x0007_`COD|B00437_x0005_`QTY1|1_x0005_`BQC|품_x0005_`EQC|_x0005_`JDC|_x0005_`WQC|_x0005_`EDT|_x0005_`ADJ|F_x0005_`NAG|0_x0005_`UC|F_x0005_`DET|55_x0005_`</v>
      </c>
      <c r="K11" s="3" t="str">
        <f ca="1">HYPERLINK("#"&amp;일위대가표!N2&amp;"!A"&amp;ROW(일위대가표!A55),"B00437 →")</f>
        <v>B00437 →</v>
      </c>
    </row>
    <row r="12" spans="1:11" ht="22.35" customHeight="1" x14ac:dyDescent="0.3">
      <c r="A12" s="9" t="s">
        <v>53</v>
      </c>
      <c r="B12" s="10" t="s">
        <v>54</v>
      </c>
      <c r="C12" s="10" t="s">
        <v>55</v>
      </c>
      <c r="D12" s="9" t="s">
        <v>50</v>
      </c>
      <c r="E12" s="54">
        <f>일위대가표!F67</f>
        <v>1912</v>
      </c>
      <c r="F12" s="52">
        <f>일위대가표!H67</f>
        <v>0</v>
      </c>
      <c r="G12" s="64">
        <f>일위대가표!J67</f>
        <v>1912</v>
      </c>
      <c r="H12" s="54">
        <f>일위대가표!L67</f>
        <v>0</v>
      </c>
      <c r="I12" s="15" t="s">
        <v>56</v>
      </c>
      <c r="J12" s="17" t="str">
        <f>"_x0007_`COD|B00442_x0005_`QTY1|1_x0005_`BQC|_x0005_`EQC|_x0005_`JDC|_x0005_`WQC|_x0005_`EDT|_x0005_`ADJ|F_x0005_`NAG|0_x0005_`UC|F_x0005_`DET|"&amp;ROW(일위대가표!A63)&amp;"_x0005_`"</f>
        <v>_x0007_`COD|B00442_x0005_`QTY1|1_x0005_`BQC|_x0005_`EQC|_x0005_`JDC|_x0005_`WQC|_x0005_`EDT|_x0005_`ADJ|F_x0005_`NAG|0_x0005_`UC|F_x0005_`DET|63_x0005_`</v>
      </c>
      <c r="K12" s="3" t="str">
        <f ca="1">HYPERLINK("#"&amp;일위대가표!N2&amp;"!A"&amp;ROW(일위대가표!A63),"B00442 →")</f>
        <v>B00442 →</v>
      </c>
    </row>
    <row r="13" spans="1:11" ht="22.35" customHeight="1" x14ac:dyDescent="0.3">
      <c r="A13" s="9" t="s">
        <v>58</v>
      </c>
      <c r="B13" s="10" t="s">
        <v>12</v>
      </c>
      <c r="C13" s="10" t="s">
        <v>59</v>
      </c>
      <c r="D13" s="9" t="s">
        <v>14</v>
      </c>
      <c r="E13" s="54">
        <f>일위대가표!F76</f>
        <v>36111</v>
      </c>
      <c r="F13" s="52">
        <f>일위대가표!H76</f>
        <v>31528</v>
      </c>
      <c r="G13" s="64">
        <f>일위대가표!J76</f>
        <v>3638</v>
      </c>
      <c r="H13" s="54">
        <f>일위대가표!L76</f>
        <v>945</v>
      </c>
      <c r="I13" s="15" t="s">
        <v>60</v>
      </c>
      <c r="J13" s="17" t="str">
        <f>"_x0007_`COD|B01299_x0005_`QTY1|1_x0005_`BQC|_x0005_`EQC|_x0005_`JDC|_x0005_`WQC|_x0005_`EDT|_x0005_`ADJ|F_x0005_`NAG|0_x0005_`UC|F_x0005_`DET|"&amp;ROW(일위대가표!A68)&amp;"_x0005_`"</f>
        <v>_x0007_`COD|B01299_x0005_`QTY1|1_x0005_`BQC|_x0005_`EQC|_x0005_`JDC|_x0005_`WQC|_x0005_`EDT|_x0005_`ADJ|F_x0005_`NAG|0_x0005_`UC|F_x0005_`DET|68_x0005_`</v>
      </c>
      <c r="K13" s="3" t="str">
        <f ca="1">HYPERLINK("#"&amp;일위대가표!N2&amp;"!A"&amp;ROW(일위대가표!A68),"B01299 →")</f>
        <v>B01299 →</v>
      </c>
    </row>
    <row r="14" spans="1:11" ht="22.35" customHeight="1" x14ac:dyDescent="0.3">
      <c r="A14" s="9" t="s">
        <v>62</v>
      </c>
      <c r="B14" s="10" t="s">
        <v>63</v>
      </c>
      <c r="C14" s="10" t="s">
        <v>19</v>
      </c>
      <c r="D14" s="9" t="s">
        <v>20</v>
      </c>
      <c r="E14" s="54">
        <f>일위대가표!F85</f>
        <v>579340</v>
      </c>
      <c r="F14" s="52">
        <f>일위대가표!H85</f>
        <v>557084</v>
      </c>
      <c r="G14" s="64">
        <f>일위대가표!J85</f>
        <v>11115</v>
      </c>
      <c r="H14" s="54">
        <f>일위대가표!L85</f>
        <v>11141</v>
      </c>
      <c r="I14" s="15" t="s">
        <v>64</v>
      </c>
      <c r="J14" s="17" t="str">
        <f>"_x0007_`COD|B01582_x0005_`QTY1|1_x0005_`BQC|_x0005_`EQC|_x0005_`JDC|_x0005_`WQC|_x0005_`EDT|_x0005_`ADJ|F_x0005_`NAG|0_x0005_`UC|F_x0005_`DET|"&amp;ROW(일위대가표!A77)&amp;"_x0005_`"</f>
        <v>_x0007_`COD|B01582_x0005_`QTY1|1_x0005_`BQC|_x0005_`EQC|_x0005_`JDC|_x0005_`WQC|_x0005_`EDT|_x0005_`ADJ|F_x0005_`NAG|0_x0005_`UC|F_x0005_`DET|77_x0005_`</v>
      </c>
      <c r="K14" s="3" t="str">
        <f ca="1">HYPERLINK("#"&amp;일위대가표!N2&amp;"!A"&amp;ROW(일위대가표!A77),"B01582 →")</f>
        <v>B01582 →</v>
      </c>
    </row>
    <row r="15" spans="1:11" ht="22.35" customHeight="1" x14ac:dyDescent="0.3">
      <c r="A15" s="9" t="s">
        <v>66</v>
      </c>
      <c r="B15" s="10" t="s">
        <v>67</v>
      </c>
      <c r="C15" s="10" t="s">
        <v>68</v>
      </c>
      <c r="D15" s="9" t="s">
        <v>14</v>
      </c>
      <c r="E15" s="54">
        <f>일위대가표!F92</f>
        <v>54642</v>
      </c>
      <c r="F15" s="52">
        <f>일위대가표!H92</f>
        <v>40693</v>
      </c>
      <c r="G15" s="64">
        <f>일위대가표!J92</f>
        <v>5277</v>
      </c>
      <c r="H15" s="54">
        <f>일위대가표!L92</f>
        <v>8672</v>
      </c>
      <c r="I15" s="15" t="s">
        <v>69</v>
      </c>
      <c r="J15" s="17" t="str">
        <f>"_x0007_`COD|B01608_x0005_`QTY1|1_x0005_`BQC|품_x0005_`EQC|_x0005_`JDC|_x0005_`WQC|_x0005_`EDT|_x0005_`ADJ|F_x0005_`NAG|0_x0005_`UC|F_x0005_`DET|"&amp;ROW(일위대가표!A86)&amp;"_x0005_`"</f>
        <v>_x0007_`COD|B01608_x0005_`QTY1|1_x0005_`BQC|품_x0005_`EQC|_x0005_`JDC|_x0005_`WQC|_x0005_`EDT|_x0005_`ADJ|F_x0005_`NAG|0_x0005_`UC|F_x0005_`DET|86_x0005_`</v>
      </c>
      <c r="K15" s="3" t="str">
        <f ca="1">HYPERLINK("#"&amp;일위대가표!N2&amp;"!A"&amp;ROW(일위대가표!A86),"B01608 →")</f>
        <v>B01608 →</v>
      </c>
    </row>
    <row r="16" spans="1:11" ht="22.35" customHeight="1" x14ac:dyDescent="0.3">
      <c r="A16" s="9" t="s">
        <v>71</v>
      </c>
      <c r="B16" s="10" t="s">
        <v>72</v>
      </c>
      <c r="C16" s="10" t="s">
        <v>73</v>
      </c>
      <c r="D16" s="9" t="s">
        <v>14</v>
      </c>
      <c r="E16" s="54">
        <f>일위대가표!F99</f>
        <v>68895</v>
      </c>
      <c r="F16" s="52">
        <f>일위대가표!H99</f>
        <v>51872</v>
      </c>
      <c r="G16" s="64">
        <f>일위대가표!J99</f>
        <v>7232</v>
      </c>
      <c r="H16" s="54">
        <f>일위대가표!L99</f>
        <v>9791</v>
      </c>
      <c r="I16" s="15" t="s">
        <v>74</v>
      </c>
      <c r="J16" s="17" t="str">
        <f>"_x0007_`COD|B01680_x0005_`QTY1|1_x0005_`BQC|품_x0005_`EQC|_x0005_`JDC|_x0005_`WQC|_x0005_`EDT|_x0005_`ADJ|F_x0005_`NAG|0_x0005_`UC|F_x0005_`DET|"&amp;ROW(일위대가표!A93)&amp;"_x0005_`"</f>
        <v>_x0007_`COD|B01680_x0005_`QTY1|1_x0005_`BQC|품_x0005_`EQC|_x0005_`JDC|_x0005_`WQC|_x0005_`EDT|_x0005_`ADJ|F_x0005_`NAG|0_x0005_`UC|F_x0005_`DET|93_x0005_`</v>
      </c>
      <c r="K16" s="3" t="str">
        <f ca="1">HYPERLINK("#"&amp;일위대가표!N2&amp;"!A"&amp;ROW(일위대가표!A93),"B01680 →")</f>
        <v>B01680 →</v>
      </c>
    </row>
    <row r="17" spans="1:11" ht="22.35" customHeight="1" x14ac:dyDescent="0.3">
      <c r="A17" s="9" t="s">
        <v>76</v>
      </c>
      <c r="B17" s="10" t="s">
        <v>48</v>
      </c>
      <c r="C17" s="10" t="s">
        <v>49</v>
      </c>
      <c r="D17" s="9" t="s">
        <v>50</v>
      </c>
      <c r="E17" s="54">
        <f>일위대가표!F108</f>
        <v>46564</v>
      </c>
      <c r="F17" s="52">
        <f>일위대가표!H108</f>
        <v>33429</v>
      </c>
      <c r="G17" s="64">
        <f>일위대가표!J108</f>
        <v>5494</v>
      </c>
      <c r="H17" s="54">
        <f>일위대가표!L108</f>
        <v>7641</v>
      </c>
      <c r="I17" s="15" t="s">
        <v>77</v>
      </c>
      <c r="J17" s="17" t="str">
        <f>"_x0007_`COD|B02119_x0005_`QTY1|1_x0005_`BQC|관 별도_x0005_`EQC|_x0005_`JDC|_x0005_`WQC|_x0005_`EDT|_x0005_`ADJ|F_x0005_`NAG|87.745_x0005_`UC|T_x0005_`DET|"&amp;ROW(일위대가표!A100)&amp;"_x0005_`"</f>
        <v>_x0007_`COD|B02119_x0005_`QTY1|1_x0005_`BQC|관 별도_x0005_`EQC|_x0005_`JDC|_x0005_`WQC|_x0005_`EDT|_x0005_`ADJ|F_x0005_`NAG|87.745_x0005_`UC|T_x0005_`DET|100_x0005_`</v>
      </c>
      <c r="K17" s="3" t="str">
        <f ca="1">HYPERLINK("#"&amp;일위대가표!N2&amp;"!A"&amp;ROW(일위대가표!A100),"B02119 →")</f>
        <v>B02119 →</v>
      </c>
    </row>
    <row r="18" spans="1:11" ht="22.35" customHeight="1" x14ac:dyDescent="0.3">
      <c r="A18" s="9" t="s">
        <v>79</v>
      </c>
      <c r="B18" s="10" t="s">
        <v>80</v>
      </c>
      <c r="C18" s="10" t="s">
        <v>81</v>
      </c>
      <c r="D18" s="9" t="s">
        <v>82</v>
      </c>
      <c r="E18" s="54">
        <f>일위대가표!F123</f>
        <v>657013</v>
      </c>
      <c r="F18" s="52">
        <f>일위대가표!H123</f>
        <v>475322</v>
      </c>
      <c r="G18" s="64">
        <f>일위대가표!J123</f>
        <v>76005</v>
      </c>
      <c r="H18" s="54">
        <f>일위대가표!L123</f>
        <v>105686</v>
      </c>
      <c r="I18" s="15" t="s">
        <v>83</v>
      </c>
      <c r="J18" s="17" t="str">
        <f>"_x0007_`COD|B02120_x0005_`QTY1|1_x0005_`BQC|_x0005_`EQC|_x0005_`JDC|_x0005_`WQC|_x0005_`EDT|_x0005_`ADJ|F_x0005_`NAG|87.745_x0005_`UC|T_x0005_`DET|"&amp;ROW(일위대가표!A109)&amp;"_x0005_`"</f>
        <v>_x0007_`COD|B02120_x0005_`QTY1|1_x0005_`BQC|_x0005_`EQC|_x0005_`JDC|_x0005_`WQC|_x0005_`EDT|_x0005_`ADJ|F_x0005_`NAG|87.745_x0005_`UC|T_x0005_`DET|109_x0005_`</v>
      </c>
      <c r="K18" s="3" t="str">
        <f ca="1">HYPERLINK("#"&amp;일위대가표!N2&amp;"!A"&amp;ROW(일위대가표!A109),"B02120 →")</f>
        <v>B02120 →</v>
      </c>
    </row>
    <row r="19" spans="1:11" ht="22.35" customHeight="1" x14ac:dyDescent="0.3">
      <c r="A19" s="9" t="s">
        <v>85</v>
      </c>
      <c r="B19" s="10" t="s">
        <v>86</v>
      </c>
      <c r="C19" s="10" t="s">
        <v>87</v>
      </c>
      <c r="D19" s="9" t="s">
        <v>50</v>
      </c>
      <c r="E19" s="54">
        <f>일위대가표!F132</f>
        <v>37466</v>
      </c>
      <c r="F19" s="52">
        <f>일위대가표!H132</f>
        <v>31274</v>
      </c>
      <c r="G19" s="64">
        <f>일위대가표!J132</f>
        <v>3856</v>
      </c>
      <c r="H19" s="54">
        <f>일위대가표!L132</f>
        <v>2336</v>
      </c>
      <c r="I19" s="15" t="s">
        <v>88</v>
      </c>
      <c r="J19" s="17" t="str">
        <f>"_x0007_`COD|B02121_x0005_`QTY1|1_x0005_`BQC|-_x0005_`EQC|_x0005_`JDC|_x0005_`WQC|_x0005_`EDT|_x0005_`ADJ|F_x0005_`NAG|87.745_x0005_`UC|T_x0005_`DET|"&amp;ROW(일위대가표!A124)&amp;"_x0005_`"</f>
        <v>_x0007_`COD|B02121_x0005_`QTY1|1_x0005_`BQC|-_x0005_`EQC|_x0005_`JDC|_x0005_`WQC|_x0005_`EDT|_x0005_`ADJ|F_x0005_`NAG|87.745_x0005_`UC|T_x0005_`DET|124_x0005_`</v>
      </c>
      <c r="K19" s="3" t="str">
        <f ca="1">HYPERLINK("#"&amp;일위대가표!N2&amp;"!A"&amp;ROW(일위대가표!A124),"B02121 →")</f>
        <v>B02121 →</v>
      </c>
    </row>
    <row r="20" spans="1:11" ht="22.35" customHeight="1" x14ac:dyDescent="0.3">
      <c r="A20" s="9" t="s">
        <v>90</v>
      </c>
      <c r="B20" s="10" t="s">
        <v>91</v>
      </c>
      <c r="C20" s="10" t="s">
        <v>92</v>
      </c>
      <c r="D20" s="9" t="s">
        <v>50</v>
      </c>
      <c r="E20" s="54">
        <f>일위대가표!F146</f>
        <v>67529</v>
      </c>
      <c r="F20" s="52">
        <f>일위대가표!H146</f>
        <v>52600</v>
      </c>
      <c r="G20" s="64">
        <f>일위대가표!J146</f>
        <v>6051</v>
      </c>
      <c r="H20" s="54">
        <f>일위대가표!L146</f>
        <v>8878</v>
      </c>
      <c r="I20" s="15" t="s">
        <v>93</v>
      </c>
      <c r="J20" s="17" t="str">
        <f>"_x0007_`COD|B02122_x0005_`QTY1|1_x0005_`BQC|_x0005_`EQC|돌자갈구입_x0005_`JDC|_x0005_`WQC|_x0005_`EDT|_x0005_`ADJ|F_x0005_`NAG|87.745_x0005_`UC|T_x0005_`DET|"&amp;ROW(일위대가표!A133)&amp;"_x0005_`"</f>
        <v>_x0007_`COD|B02122_x0005_`QTY1|1_x0005_`BQC|_x0005_`EQC|돌자갈구입_x0005_`JDC|_x0005_`WQC|_x0005_`EDT|_x0005_`ADJ|F_x0005_`NAG|87.745_x0005_`UC|T_x0005_`DET|133_x0005_`</v>
      </c>
      <c r="K20" s="3" t="str">
        <f ca="1">HYPERLINK("#"&amp;일위대가표!N2&amp;"!A"&amp;ROW(일위대가표!A133),"B02122 →")</f>
        <v>B02122 →</v>
      </c>
    </row>
    <row r="21" spans="1:11" ht="22.35" customHeight="1" x14ac:dyDescent="0.3">
      <c r="A21" s="9" t="s">
        <v>95</v>
      </c>
      <c r="B21" s="10" t="s">
        <v>96</v>
      </c>
      <c r="C21" s="10" t="s">
        <v>97</v>
      </c>
      <c r="D21" s="9" t="s">
        <v>50</v>
      </c>
      <c r="E21" s="54">
        <f>일위대가표!F157</f>
        <v>33828</v>
      </c>
      <c r="F21" s="52">
        <f>일위대가표!H157</f>
        <v>25109</v>
      </c>
      <c r="G21" s="64">
        <f>일위대가표!J157</f>
        <v>3708</v>
      </c>
      <c r="H21" s="54">
        <f>일위대가표!L157</f>
        <v>5011</v>
      </c>
      <c r="I21" s="15" t="s">
        <v>98</v>
      </c>
      <c r="J21" s="17" t="str">
        <f>"_x0007_`COD|B02123_x0005_`QTY1|1_x0005_`BQC|_x0005_`EQC|돌자갈구입_x0005_`JDC|_x0005_`WQC|_x0005_`EDT|_x0005_`ADJ|F_x0005_`NAG|87.745_x0005_`UC|T_x0005_`DET|"&amp;ROW(일위대가표!A147)&amp;"_x0005_`"</f>
        <v>_x0007_`COD|B02123_x0005_`QTY1|1_x0005_`BQC|_x0005_`EQC|돌자갈구입_x0005_`JDC|_x0005_`WQC|_x0005_`EDT|_x0005_`ADJ|F_x0005_`NAG|87.745_x0005_`UC|T_x0005_`DET|147_x0005_`</v>
      </c>
      <c r="K21" s="3" t="str">
        <f ca="1">HYPERLINK("#"&amp;일위대가표!N2&amp;"!A"&amp;ROW(일위대가표!A147),"B02123 →")</f>
        <v>B02123 →</v>
      </c>
    </row>
    <row r="22" spans="1:11" ht="22.35" customHeight="1" x14ac:dyDescent="0.3">
      <c r="A22" s="9" t="s">
        <v>100</v>
      </c>
      <c r="B22" s="10" t="s">
        <v>101</v>
      </c>
      <c r="C22" s="10" t="s">
        <v>102</v>
      </c>
      <c r="D22" s="9" t="s">
        <v>50</v>
      </c>
      <c r="E22" s="54">
        <f>일위대가표!F170</f>
        <v>124335</v>
      </c>
      <c r="F22" s="52">
        <f>일위대가표!H170</f>
        <v>97783</v>
      </c>
      <c r="G22" s="64">
        <f>일위대가표!J170</f>
        <v>10762</v>
      </c>
      <c r="H22" s="54">
        <f>일위대가표!L170</f>
        <v>15790</v>
      </c>
      <c r="I22" s="15" t="s">
        <v>103</v>
      </c>
      <c r="J22" s="17" t="str">
        <f>"_x0007_`COD|B02124_x0005_`QTY1|1_x0005_`BQC|_x0005_`EQC|_x0005_`JDC|_x0005_`WQC|_x0005_`EDT|_x0005_`ADJ|F_x0005_`NAG|87.745_x0005_`UC|T_x0005_`DET|"&amp;ROW(일위대가표!A158)&amp;"_x0005_`"</f>
        <v>_x0007_`COD|B02124_x0005_`QTY1|1_x0005_`BQC|_x0005_`EQC|_x0005_`JDC|_x0005_`WQC|_x0005_`EDT|_x0005_`ADJ|F_x0005_`NAG|87.745_x0005_`UC|T_x0005_`DET|158_x0005_`</v>
      </c>
      <c r="K22" s="3" t="str">
        <f ca="1">HYPERLINK("#"&amp;일위대가표!N2&amp;"!A"&amp;ROW(일위대가표!A158),"B02124 →")</f>
        <v>B02124 →</v>
      </c>
    </row>
    <row r="23" spans="1:11" ht="22.35" customHeight="1" x14ac:dyDescent="0.3">
      <c r="A23" s="9" t="s">
        <v>105</v>
      </c>
      <c r="B23" s="10" t="s">
        <v>39</v>
      </c>
      <c r="C23" s="10" t="s">
        <v>106</v>
      </c>
      <c r="D23" s="9" t="s">
        <v>14</v>
      </c>
      <c r="E23" s="54">
        <f>일위대가표!F179</f>
        <v>79242</v>
      </c>
      <c r="F23" s="52">
        <f>일위대가표!H179</f>
        <v>60753</v>
      </c>
      <c r="G23" s="64">
        <f>일위대가표!J179</f>
        <v>7049</v>
      </c>
      <c r="H23" s="54">
        <f>일위대가표!L179</f>
        <v>11440</v>
      </c>
      <c r="I23" s="15" t="s">
        <v>107</v>
      </c>
      <c r="J23" s="17" t="str">
        <f>"_x0007_`COD|B02125_x0005_`QTY1|1_x0005_`BQC|_x0005_`EQC|채집_x0005_`JDC|_x0005_`WQC|_x0005_`EDT|_x0005_`ADJ|F_x0005_`NAG|87.745_x0005_`UC|T_x0005_`DET|"&amp;ROW(일위대가표!A171)&amp;"_x0005_`"</f>
        <v>_x0007_`COD|B02125_x0005_`QTY1|1_x0005_`BQC|_x0005_`EQC|채집_x0005_`JDC|_x0005_`WQC|_x0005_`EDT|_x0005_`ADJ|F_x0005_`NAG|87.745_x0005_`UC|T_x0005_`DET|171_x0005_`</v>
      </c>
      <c r="K23" s="3" t="str">
        <f ca="1">HYPERLINK("#"&amp;일위대가표!N2&amp;"!A"&amp;ROW(일위대가표!A171),"B02125 →")</f>
        <v>B02125 →</v>
      </c>
    </row>
    <row r="24" spans="1:11" ht="22.35" customHeight="1" x14ac:dyDescent="0.3">
      <c r="A24" s="9" t="s">
        <v>109</v>
      </c>
      <c r="B24" s="10" t="s">
        <v>110</v>
      </c>
      <c r="C24" s="10" t="s">
        <v>111</v>
      </c>
      <c r="D24" s="9" t="s">
        <v>14</v>
      </c>
      <c r="E24" s="54">
        <f>일위대가표!F187</f>
        <v>10984</v>
      </c>
      <c r="F24" s="52">
        <f>일위대가표!H187</f>
        <v>4954</v>
      </c>
      <c r="G24" s="64">
        <f>일위대가표!J187</f>
        <v>5882</v>
      </c>
      <c r="H24" s="54">
        <f>일위대가표!L187</f>
        <v>148</v>
      </c>
      <c r="I24" s="15" t="s">
        <v>112</v>
      </c>
      <c r="J24" s="17" t="str">
        <f>"_x0007_`COD|B02126_x0005_`QTY1|1_x0005_`BQC|_x0005_`EQC|철망포함_x0005_`JDC|_x0005_`WQC|_x0005_`EDT|_x0005_`ADJ|F_x0005_`NAG|87.745_x0005_`UC|T_x0005_`DET|"&amp;ROW(일위대가표!A180)&amp;"_x0005_`"</f>
        <v>_x0007_`COD|B02126_x0005_`QTY1|1_x0005_`BQC|_x0005_`EQC|철망포함_x0005_`JDC|_x0005_`WQC|_x0005_`EDT|_x0005_`ADJ|F_x0005_`NAG|87.745_x0005_`UC|T_x0005_`DET|180_x0005_`</v>
      </c>
      <c r="K24" s="3" t="str">
        <f ca="1">HYPERLINK("#"&amp;일위대가표!N2&amp;"!A"&amp;ROW(일위대가표!A180),"B02126 →")</f>
        <v>B02126 →</v>
      </c>
    </row>
    <row r="25" spans="1:11" ht="22.35" customHeight="1" x14ac:dyDescent="0.3">
      <c r="A25" s="9" t="s">
        <v>114</v>
      </c>
      <c r="B25" s="10" t="s">
        <v>115</v>
      </c>
      <c r="C25" s="10" t="s">
        <v>116</v>
      </c>
      <c r="D25" s="9" t="s">
        <v>50</v>
      </c>
      <c r="E25" s="54">
        <f>일위대가표!F193</f>
        <v>6459</v>
      </c>
      <c r="F25" s="52">
        <f>일위대가표!H193</f>
        <v>5532</v>
      </c>
      <c r="G25" s="64">
        <f>일위대가표!J193</f>
        <v>762</v>
      </c>
      <c r="H25" s="54">
        <f>일위대가표!L193</f>
        <v>165</v>
      </c>
      <c r="I25" s="15" t="s">
        <v>117</v>
      </c>
      <c r="J25" s="17" t="str">
        <f>"_x0007_`COD|B02127_x0005_`QTY1|1_x0005_`BQC|_x0005_`EQC|유로폼-_x0005_`JDC|_x0005_`WQC|_x0005_`EDT|_x0005_`ADJ|F_x0005_`NAG|87.745_x0005_`UC|T_x0005_`DET|"&amp;ROW(일위대가표!A188)&amp;"_x0005_`"</f>
        <v>_x0007_`COD|B02127_x0005_`QTY1|1_x0005_`BQC|_x0005_`EQC|유로폼-_x0005_`JDC|_x0005_`WQC|_x0005_`EDT|_x0005_`ADJ|F_x0005_`NAG|87.745_x0005_`UC|T_x0005_`DET|188_x0005_`</v>
      </c>
      <c r="K25" s="3" t="str">
        <f ca="1">HYPERLINK("#"&amp;일위대가표!N2&amp;"!A"&amp;ROW(일위대가표!A188),"B02127 →")</f>
        <v>B02127 →</v>
      </c>
    </row>
    <row r="26" spans="1:11" ht="22.35" customHeight="1" x14ac:dyDescent="0.3">
      <c r="A26" s="9" t="s">
        <v>119</v>
      </c>
      <c r="B26" s="10" t="s">
        <v>120</v>
      </c>
      <c r="C26" s="10" t="s">
        <v>121</v>
      </c>
      <c r="D26" s="9" t="s">
        <v>50</v>
      </c>
      <c r="E26" s="54">
        <f>일위대가표!F205</f>
        <v>35966</v>
      </c>
      <c r="F26" s="52">
        <f>일위대가표!H205</f>
        <v>29126</v>
      </c>
      <c r="G26" s="64">
        <f>일위대가표!J205</f>
        <v>4506</v>
      </c>
      <c r="H26" s="54">
        <f>일위대가표!L205</f>
        <v>2334</v>
      </c>
      <c r="I26" s="15" t="s">
        <v>122</v>
      </c>
      <c r="J26" s="17" t="str">
        <f>"_x0007_`COD|B02128_x0005_`QTY1|1_x0005_`BQC|_x0005_`EQC|_x0005_`JDC|_x0005_`WQC|_x0005_`EDT|_x0005_`ADJ|F_x0005_`NAG|87.745_x0005_`UC|T_x0005_`DET|"&amp;ROW(일위대가표!A194)&amp;"_x0005_`"</f>
        <v>_x0007_`COD|B02128_x0005_`QTY1|1_x0005_`BQC|_x0005_`EQC|_x0005_`JDC|_x0005_`WQC|_x0005_`EDT|_x0005_`ADJ|F_x0005_`NAG|87.745_x0005_`UC|T_x0005_`DET|194_x0005_`</v>
      </c>
      <c r="K26" s="3" t="str">
        <f ca="1">HYPERLINK("#"&amp;일위대가표!N2&amp;"!A"&amp;ROW(일위대가표!A194),"B02128 →")</f>
        <v>B02128 →</v>
      </c>
    </row>
    <row r="27" spans="1:11" ht="22.35" customHeight="1" x14ac:dyDescent="0.3">
      <c r="A27" s="9" t="s">
        <v>124</v>
      </c>
      <c r="B27" s="10" t="s">
        <v>86</v>
      </c>
      <c r="C27" s="10" t="s">
        <v>125</v>
      </c>
      <c r="D27" s="9" t="s">
        <v>82</v>
      </c>
      <c r="E27" s="54">
        <f>일위대가표!F211</f>
        <v>32939</v>
      </c>
      <c r="F27" s="52">
        <f>일위대가표!H211</f>
        <v>28542</v>
      </c>
      <c r="G27" s="64">
        <f>일위대가표!J211</f>
        <v>3281</v>
      </c>
      <c r="H27" s="54">
        <f>일위대가표!L211</f>
        <v>1116</v>
      </c>
      <c r="I27" s="15" t="s">
        <v>126</v>
      </c>
      <c r="J27" s="17" t="str">
        <f>"_x0007_`COD|B02129_x0005_`QTY1|1_x0005_`BQC|-_x0005_`EQC|_x0005_`JDC|_x0005_`WQC|_x0005_`EDT|_x0005_`ADJ|F_x0005_`NAG|87.745_x0005_`UC|T_x0005_`DET|"&amp;ROW(일위대가표!A206)&amp;"_x0005_`"</f>
        <v>_x0007_`COD|B02129_x0005_`QTY1|1_x0005_`BQC|-_x0005_`EQC|_x0005_`JDC|_x0005_`WQC|_x0005_`EDT|_x0005_`ADJ|F_x0005_`NAG|87.745_x0005_`UC|T_x0005_`DET|206_x0005_`</v>
      </c>
      <c r="K27" s="3" t="str">
        <f ca="1">HYPERLINK("#"&amp;일위대가표!N2&amp;"!A"&amp;ROW(일위대가표!A206),"B02129 →")</f>
        <v>B02129 →</v>
      </c>
    </row>
    <row r="28" spans="1:11" ht="22.35" customHeight="1" x14ac:dyDescent="0.3">
      <c r="A28" s="9" t="s">
        <v>128</v>
      </c>
      <c r="B28" s="10" t="s">
        <v>129</v>
      </c>
      <c r="C28" s="10" t="s">
        <v>130</v>
      </c>
      <c r="D28" s="9" t="s">
        <v>50</v>
      </c>
      <c r="E28" s="54">
        <f>일위대가표!F220</f>
        <v>7714</v>
      </c>
      <c r="F28" s="52">
        <f>일위대가표!H220</f>
        <v>5060</v>
      </c>
      <c r="G28" s="64">
        <f>일위대가표!J220</f>
        <v>2654</v>
      </c>
      <c r="H28" s="54">
        <f>일위대가표!L220</f>
        <v>0</v>
      </c>
      <c r="I28" s="15" t="s">
        <v>131</v>
      </c>
      <c r="J28" s="17" t="str">
        <f>"_x0007_`COD|B02130_x0005_`QTY1|1_x0005_`BQC|건설품셈_x0005_`EQC|떼값포함_x0005_`JDC|_x0005_`WQC|_x0005_`EDT|_x0005_`ADJ|F_x0005_`NAG|87.745_x0005_`UC|T_x0005_`DET|"&amp;ROW(일위대가표!A212)&amp;"_x0005_`"</f>
        <v>_x0007_`COD|B02130_x0005_`QTY1|1_x0005_`BQC|건설품셈_x0005_`EQC|떼값포함_x0005_`JDC|_x0005_`WQC|_x0005_`EDT|_x0005_`ADJ|F_x0005_`NAG|87.745_x0005_`UC|T_x0005_`DET|212_x0005_`</v>
      </c>
      <c r="K28" s="3" t="str">
        <f ca="1">HYPERLINK("#"&amp;일위대가표!N2&amp;"!A"&amp;ROW(일위대가표!A212),"B02130 →")</f>
        <v>B02130 →</v>
      </c>
    </row>
  </sheetData>
  <mergeCells count="1">
    <mergeCell ref="A1:I1"/>
  </mergeCells>
  <phoneticPr fontId="23" type="noConversion"/>
  <hyperlinks>
    <hyperlink ref="K1" r:id="rId1" tooltip="설계예산시스템(STmate w25.07)으로 작성 하였으며,_x000a_엑셀 인쇄품질 600 dpi에 최적화 되어 있습니다._x000a_경영정보(주) http://www.stma.co.kr_x000a_Tel) 070-4350-0040_x000a_Fax) 0505-300-3948"/>
    <hyperlink ref="J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20"/>
  <sheetViews>
    <sheetView workbookViewId="0">
      <pane ySplit="4" topLeftCell="A5" activePane="bottomLeft" state="frozenSplit"/>
      <selection pane="bottomLeft" activeCell="A5" sqref="A5"/>
    </sheetView>
  </sheetViews>
  <sheetFormatPr defaultColWidth="9.125" defaultRowHeight="16.5" x14ac:dyDescent="0.3"/>
  <cols>
    <col min="1" max="2" width="24.25" style="6" customWidth="1"/>
    <col min="3" max="3" width="10" style="6" customWidth="1"/>
    <col min="4" max="4" width="5.5" style="6" customWidth="1"/>
    <col min="5" max="5" width="10" style="6" customWidth="1"/>
    <col min="6" max="6" width="11.5" style="6" customWidth="1"/>
    <col min="7" max="7" width="10" style="6" customWidth="1"/>
    <col min="8" max="8" width="11.5" style="6" customWidth="1"/>
    <col min="9" max="9" width="10" style="6" customWidth="1"/>
    <col min="10" max="10" width="11.5" style="6" customWidth="1"/>
    <col min="11" max="11" width="10" style="6" customWidth="1"/>
    <col min="12" max="13" width="11.5" style="6" customWidth="1"/>
    <col min="14" max="14" width="9.125" style="96" hidden="1" customWidth="1"/>
    <col min="15" max="25" width="2.125" style="6" customWidth="1"/>
    <col min="26" max="26" width="9.125" style="18" customWidth="1"/>
    <col min="27" max="16384" width="9.125" style="6"/>
  </cols>
  <sheetData>
    <row r="1" spans="1:26" ht="24.95" customHeight="1" x14ac:dyDescent="0.3">
      <c r="A1" s="133" t="s">
        <v>989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5" t="s">
        <v>133</v>
      </c>
      <c r="Z1" s="19" t="s">
        <v>133</v>
      </c>
    </row>
    <row r="2" spans="1:26" ht="28.7" customHeight="1" x14ac:dyDescent="0.3">
      <c r="A2" s="1" t="s">
        <v>1</v>
      </c>
      <c r="N2" s="20" t="str">
        <f ca="1">MID(CELL("filename",$A$1),FIND("]",CELL("filename",$A$1))+1,LEN(CELL("filename",$A$1)))</f>
        <v>일위대가표</v>
      </c>
    </row>
    <row r="3" spans="1:26" ht="28.7" customHeight="1" x14ac:dyDescent="0.3">
      <c r="A3" s="149" t="s">
        <v>3</v>
      </c>
      <c r="B3" s="149" t="s">
        <v>4</v>
      </c>
      <c r="C3" s="149" t="s">
        <v>735</v>
      </c>
      <c r="D3" s="149" t="s">
        <v>5</v>
      </c>
      <c r="E3" s="136" t="s">
        <v>6</v>
      </c>
      <c r="F3" s="142"/>
      <c r="G3" s="136" t="s">
        <v>7</v>
      </c>
      <c r="H3" s="142"/>
      <c r="I3" s="136" t="s">
        <v>8</v>
      </c>
      <c r="J3" s="142"/>
      <c r="K3" s="136" t="s">
        <v>9</v>
      </c>
      <c r="L3" s="142"/>
      <c r="M3" s="136" t="s">
        <v>10</v>
      </c>
    </row>
    <row r="4" spans="1:26" ht="28.7" customHeight="1" x14ac:dyDescent="0.3">
      <c r="A4" s="142"/>
      <c r="B4" s="142"/>
      <c r="C4" s="142"/>
      <c r="D4" s="142"/>
      <c r="E4" s="9" t="s">
        <v>406</v>
      </c>
      <c r="F4" s="9" t="s">
        <v>736</v>
      </c>
      <c r="G4" s="9" t="s">
        <v>406</v>
      </c>
      <c r="H4" s="9" t="s">
        <v>736</v>
      </c>
      <c r="I4" s="9" t="s">
        <v>406</v>
      </c>
      <c r="J4" s="9" t="s">
        <v>736</v>
      </c>
      <c r="K4" s="9" t="s">
        <v>406</v>
      </c>
      <c r="L4" s="9" t="s">
        <v>736</v>
      </c>
      <c r="M4" s="137"/>
      <c r="Z4" s="3" t="str">
        <f>HYPERLINK("#'〓 목 차 〓'!B2","목차 →")</f>
        <v>목차 →</v>
      </c>
    </row>
    <row r="5" spans="1:26" ht="28.7" customHeight="1" x14ac:dyDescent="0.3">
      <c r="A5" s="82" t="s">
        <v>990</v>
      </c>
      <c r="B5" s="82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97" t="str">
        <f>HYPERLINK("#N"&amp;ROW(N12),"_x0005_`BDCOD|B00011_x0007_`POSS|"&amp;ROW(N7)&amp;"_x0007_`POSE|"&amp;ROW(N12)&amp;"_x0007_`")</f>
        <v>_x0005_`BDCOD|B00011_x0007_`POSS|7_x0007_`POSE|12_x0007_`</v>
      </c>
    </row>
    <row r="6" spans="1:26" ht="28.7" customHeight="1" x14ac:dyDescent="0.3">
      <c r="A6" s="43" t="s">
        <v>12</v>
      </c>
      <c r="B6" s="43" t="s">
        <v>13</v>
      </c>
      <c r="C6" s="84"/>
      <c r="D6" s="87" t="s">
        <v>14</v>
      </c>
      <c r="E6" s="84"/>
      <c r="F6" s="84"/>
      <c r="G6" s="84"/>
      <c r="H6" s="84"/>
      <c r="I6" s="84"/>
      <c r="J6" s="84"/>
      <c r="K6" s="84"/>
      <c r="L6" s="84"/>
      <c r="M6" s="87" t="s">
        <v>15</v>
      </c>
      <c r="O6" s="7" t="s">
        <v>15</v>
      </c>
    </row>
    <row r="7" spans="1:26" ht="28.7" customHeight="1" x14ac:dyDescent="0.3">
      <c r="A7" s="10" t="s">
        <v>991</v>
      </c>
      <c r="B7" s="10"/>
      <c r="C7" s="85">
        <v>0</v>
      </c>
      <c r="D7" s="32"/>
      <c r="E7" s="22">
        <v>0</v>
      </c>
      <c r="F7" s="11">
        <v>0</v>
      </c>
      <c r="G7" s="45"/>
      <c r="H7" s="11">
        <v>0</v>
      </c>
      <c r="I7" s="45"/>
      <c r="J7" s="22">
        <v>0</v>
      </c>
      <c r="K7" s="51"/>
      <c r="L7" s="22">
        <v>0</v>
      </c>
      <c r="M7" s="23" t="s">
        <v>994</v>
      </c>
      <c r="N7" s="17" t="s">
        <v>992</v>
      </c>
      <c r="O7" s="7" t="s">
        <v>993</v>
      </c>
      <c r="P7" s="7" t="s">
        <v>993</v>
      </c>
    </row>
    <row r="8" spans="1:26" ht="28.7" customHeight="1" x14ac:dyDescent="0.3">
      <c r="A8" s="10" t="s">
        <v>452</v>
      </c>
      <c r="B8" s="10" t="s">
        <v>453</v>
      </c>
      <c r="C8" s="85">
        <v>8.8999999999999996E-2</v>
      </c>
      <c r="D8" s="32" t="s">
        <v>419</v>
      </c>
      <c r="E8" s="62">
        <f t="shared" ref="E8:F12" si="0">I8+G8+K8</f>
        <v>31000</v>
      </c>
      <c r="F8" s="89">
        <f t="shared" si="0"/>
        <v>2759</v>
      </c>
      <c r="G8" s="58">
        <v>0</v>
      </c>
      <c r="H8" s="90">
        <f>IF(C8=0,0,ROUNDDOWN(G8*C8,1))</f>
        <v>0</v>
      </c>
      <c r="I8" s="91">
        <f>재료비목록표!E14</f>
        <v>31000</v>
      </c>
      <c r="J8" s="93">
        <f>IF(C8=0,0,ROUNDDOWN(I8*C8,1))</f>
        <v>2759</v>
      </c>
      <c r="K8" s="58">
        <v>0</v>
      </c>
      <c r="L8" s="90">
        <f>IF(C8=0,0,ROUNDDOWN(K8*C8,1))</f>
        <v>0</v>
      </c>
      <c r="M8" s="23" t="s">
        <v>998</v>
      </c>
      <c r="N8" s="17" t="s">
        <v>995</v>
      </c>
      <c r="O8" s="7" t="s">
        <v>997</v>
      </c>
      <c r="P8" s="7" t="s">
        <v>1011</v>
      </c>
      <c r="Q8" s="7" t="s">
        <v>996</v>
      </c>
      <c r="Z8" s="3" t="str">
        <f ca="1">HYPERLINK("#"&amp;재료비목록표!G2&amp;"!A"&amp;ROW(재료비목록표!A14),"M00131 →")</f>
        <v>M00131 →</v>
      </c>
    </row>
    <row r="9" spans="1:26" ht="28.7" customHeight="1" x14ac:dyDescent="0.3">
      <c r="A9" s="10" t="s">
        <v>456</v>
      </c>
      <c r="B9" s="10" t="s">
        <v>457</v>
      </c>
      <c r="C9" s="85">
        <v>3.0000000000000001E-3</v>
      </c>
      <c r="D9" s="32" t="s">
        <v>419</v>
      </c>
      <c r="E9" s="62">
        <f t="shared" si="0"/>
        <v>20500</v>
      </c>
      <c r="F9" s="89">
        <f t="shared" si="0"/>
        <v>61.5</v>
      </c>
      <c r="G9" s="58">
        <v>0</v>
      </c>
      <c r="H9" s="90">
        <f>IF(C9=0,0,ROUNDDOWN(G9*C9,1))</f>
        <v>0</v>
      </c>
      <c r="I9" s="91">
        <f>재료비목록표!E15</f>
        <v>20500</v>
      </c>
      <c r="J9" s="93">
        <f>IF(C9=0,0,ROUNDDOWN(I9*C9,1))</f>
        <v>61.5</v>
      </c>
      <c r="K9" s="58">
        <v>0</v>
      </c>
      <c r="L9" s="90">
        <f>IF(C9=0,0,ROUNDDOWN(K9*C9,1))</f>
        <v>0</v>
      </c>
      <c r="M9" s="23" t="s">
        <v>1001</v>
      </c>
      <c r="N9" s="17" t="s">
        <v>999</v>
      </c>
      <c r="O9" s="7" t="s">
        <v>1000</v>
      </c>
      <c r="P9" s="7" t="s">
        <v>1011</v>
      </c>
      <c r="Q9" s="7" t="s">
        <v>996</v>
      </c>
      <c r="Z9" s="3" t="str">
        <f ca="1">HYPERLINK("#"&amp;재료비목록표!G2&amp;"!A"&amp;ROW(재료비목록표!A15),"M00132 →")</f>
        <v>M00132 →</v>
      </c>
    </row>
    <row r="10" spans="1:26" ht="28.7" customHeight="1" x14ac:dyDescent="0.3">
      <c r="A10" s="10" t="s">
        <v>1002</v>
      </c>
      <c r="B10" s="10" t="s">
        <v>1003</v>
      </c>
      <c r="C10" s="85">
        <v>52</v>
      </c>
      <c r="D10" s="32" t="s">
        <v>441</v>
      </c>
      <c r="E10" s="62">
        <f t="shared" si="0"/>
        <v>2820.5</v>
      </c>
      <c r="F10" s="89">
        <f t="shared" si="0"/>
        <v>1466.6</v>
      </c>
      <c r="G10" s="13">
        <v>0</v>
      </c>
      <c r="H10" s="89">
        <f>IF(C10=0,0,ROUNDDOWN(G10*C10/100,1))</f>
        <v>0</v>
      </c>
      <c r="I10" s="94">
        <f>J8+J9</f>
        <v>2820.5</v>
      </c>
      <c r="J10" s="90">
        <f>IF(C10=0,0,ROUNDDOWN(I10*C10/100,1))</f>
        <v>1466.6</v>
      </c>
      <c r="K10" s="22">
        <v>0</v>
      </c>
      <c r="L10" s="90">
        <f>IF(C10=0,0,ROUNDDOWN(K10*C10/100,1))</f>
        <v>0</v>
      </c>
      <c r="M10" s="23"/>
      <c r="N10" s="17" t="s">
        <v>1004</v>
      </c>
      <c r="O10" s="7" t="s">
        <v>1005</v>
      </c>
      <c r="P10" s="7" t="s">
        <v>1011</v>
      </c>
    </row>
    <row r="11" spans="1:26" ht="28.7" customHeight="1" x14ac:dyDescent="0.3">
      <c r="A11" s="10" t="s">
        <v>1006</v>
      </c>
      <c r="B11" s="10" t="s">
        <v>1007</v>
      </c>
      <c r="C11" s="85">
        <v>5</v>
      </c>
      <c r="D11" s="32" t="s">
        <v>441</v>
      </c>
      <c r="E11" s="62">
        <f t="shared" si="0"/>
        <v>2820.5</v>
      </c>
      <c r="F11" s="89">
        <f t="shared" si="0"/>
        <v>141</v>
      </c>
      <c r="G11" s="13">
        <v>0</v>
      </c>
      <c r="H11" s="89">
        <f>IF(C11=0,0,ROUNDDOWN(G11*C11/100,1))</f>
        <v>0</v>
      </c>
      <c r="I11" s="94">
        <f>J8+J9</f>
        <v>2820.5</v>
      </c>
      <c r="J11" s="90">
        <f>IF(C11=0,0,ROUNDDOWN(I11*C11/100,1))</f>
        <v>141</v>
      </c>
      <c r="K11" s="22">
        <v>0</v>
      </c>
      <c r="L11" s="90">
        <f>IF(C11=0,0,ROUNDDOWN(K11*C11/100,1))</f>
        <v>0</v>
      </c>
      <c r="M11" s="23"/>
      <c r="N11" s="17" t="s">
        <v>1004</v>
      </c>
      <c r="O11" s="7" t="s">
        <v>1005</v>
      </c>
      <c r="P11" s="7" t="s">
        <v>1011</v>
      </c>
    </row>
    <row r="12" spans="1:26" ht="28.7" customHeight="1" x14ac:dyDescent="0.3">
      <c r="A12" s="10" t="s">
        <v>174</v>
      </c>
      <c r="B12" s="10" t="s">
        <v>13</v>
      </c>
      <c r="C12" s="85">
        <v>1</v>
      </c>
      <c r="D12" s="32" t="s">
        <v>14</v>
      </c>
      <c r="E12" s="62">
        <f t="shared" si="0"/>
        <v>37112</v>
      </c>
      <c r="F12" s="90">
        <f t="shared" si="0"/>
        <v>37112</v>
      </c>
      <c r="G12" s="91">
        <f>단가산출근거목록표!F16</f>
        <v>36032</v>
      </c>
      <c r="H12" s="92">
        <f>IF(C12=0,0,ROUNDDOWN(G12*C12,1))</f>
        <v>36032</v>
      </c>
      <c r="I12" s="91">
        <f>단가산출근거목록표!G16</f>
        <v>0</v>
      </c>
      <c r="J12" s="92">
        <f>IF(C12=0,0,ROUNDDOWN(I12*C12,1))</f>
        <v>0</v>
      </c>
      <c r="K12" s="91">
        <f>단가산출근거목록표!H16</f>
        <v>1080</v>
      </c>
      <c r="L12" s="92">
        <f>IF(C12=0,0,ROUNDDOWN(K12*C12,1))</f>
        <v>1080</v>
      </c>
      <c r="M12" s="23" t="s">
        <v>1010</v>
      </c>
      <c r="N12" s="17" t="s">
        <v>1008</v>
      </c>
      <c r="O12" s="7" t="s">
        <v>1009</v>
      </c>
      <c r="P12" s="7" t="s">
        <v>1011</v>
      </c>
      <c r="Z12" s="3" t="str">
        <f ca="1">HYPERLINK("#"&amp;단가산출근거목록표!J2&amp;"!A"&amp;ROW(단가산출근거목록표!A16),"D01352 →")</f>
        <v>D01352 →</v>
      </c>
    </row>
    <row r="13" spans="1:26" ht="28.7" customHeight="1" x14ac:dyDescent="0.3">
      <c r="A13" s="23" t="s">
        <v>6</v>
      </c>
      <c r="B13" s="56"/>
      <c r="C13" s="56"/>
      <c r="D13" s="56"/>
      <c r="E13" s="56"/>
      <c r="F13" s="54">
        <f>J13+H13+L13</f>
        <v>41540</v>
      </c>
      <c r="G13" s="56"/>
      <c r="H13" s="54">
        <f>ROUNDDOWN(SUMIF(P7:P12,O13,H7:H12),0)</f>
        <v>36032</v>
      </c>
      <c r="I13" s="56"/>
      <c r="J13" s="54">
        <f>ROUNDDOWN(SUMIF(P7:P12,O13,J7:J12),0)</f>
        <v>4428</v>
      </c>
      <c r="K13" s="56"/>
      <c r="L13" s="54">
        <f>ROUNDDOWN(SUMIF(P7:P12,O13,L7:L12),0)</f>
        <v>1080</v>
      </c>
      <c r="M13" s="56"/>
      <c r="O13" s="7" t="s">
        <v>1011</v>
      </c>
    </row>
    <row r="14" spans="1:26" ht="28.7" customHeight="1" x14ac:dyDescent="0.3">
      <c r="A14" s="82" t="s">
        <v>16</v>
      </c>
      <c r="B14" s="82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97" t="str">
        <f>HYPERLINK("#N"&amp;ROW(N19),"_x0005_`BDCOD|B00032_x0007_`POSS|"&amp;ROW(N16)&amp;"_x0007_`POSE|"&amp;ROW(N19)&amp;"_x0007_`")</f>
        <v>_x0005_`BDCOD|B00032_x0007_`POSS|16_x0007_`POSE|19_x0007_`</v>
      </c>
    </row>
    <row r="15" spans="1:26" ht="28.7" customHeight="1" x14ac:dyDescent="0.3">
      <c r="A15" s="43" t="s">
        <v>18</v>
      </c>
      <c r="B15" s="43" t="s">
        <v>19</v>
      </c>
      <c r="C15" s="84"/>
      <c r="D15" s="87" t="s">
        <v>20</v>
      </c>
      <c r="E15" s="84"/>
      <c r="F15" s="84"/>
      <c r="G15" s="84"/>
      <c r="H15" s="84"/>
      <c r="I15" s="84"/>
      <c r="J15" s="84"/>
      <c r="K15" s="84"/>
      <c r="L15" s="84"/>
      <c r="M15" s="87" t="s">
        <v>21</v>
      </c>
      <c r="O15" s="7" t="s">
        <v>21</v>
      </c>
    </row>
    <row r="16" spans="1:26" ht="28.7" customHeight="1" x14ac:dyDescent="0.3">
      <c r="A16" s="10" t="s">
        <v>1012</v>
      </c>
      <c r="B16" s="10" t="s">
        <v>1013</v>
      </c>
      <c r="C16" s="85">
        <v>0</v>
      </c>
      <c r="D16" s="32"/>
      <c r="E16" s="22">
        <v>0</v>
      </c>
      <c r="F16" s="11">
        <v>0</v>
      </c>
      <c r="G16" s="45"/>
      <c r="H16" s="11">
        <v>0</v>
      </c>
      <c r="I16" s="45"/>
      <c r="J16" s="22">
        <v>0</v>
      </c>
      <c r="K16" s="51"/>
      <c r="L16" s="22">
        <v>0</v>
      </c>
      <c r="M16" s="23" t="s">
        <v>994</v>
      </c>
      <c r="N16" s="17" t="s">
        <v>992</v>
      </c>
      <c r="O16" s="7" t="s">
        <v>993</v>
      </c>
      <c r="P16" s="7" t="s">
        <v>993</v>
      </c>
    </row>
    <row r="17" spans="1:26" ht="28.7" customHeight="1" x14ac:dyDescent="0.3">
      <c r="A17" s="10" t="s">
        <v>568</v>
      </c>
      <c r="B17" s="10"/>
      <c r="C17" s="85">
        <v>0.69</v>
      </c>
      <c r="D17" s="32" t="s">
        <v>565</v>
      </c>
      <c r="E17" s="62">
        <f t="shared" ref="E17:F19" si="1">I17+G17+K17</f>
        <v>264104</v>
      </c>
      <c r="F17" s="90">
        <f t="shared" si="1"/>
        <v>182231.7</v>
      </c>
      <c r="G17" s="91">
        <f>노무비목록표!E5</f>
        <v>264104</v>
      </c>
      <c r="H17" s="93">
        <f>IF(C17=0,0,ROUNDDOWN(G17*C17,1))</f>
        <v>182231.7</v>
      </c>
      <c r="I17" s="58">
        <v>0</v>
      </c>
      <c r="J17" s="89">
        <f>IF(C17=0,0,ROUNDDOWN(I17*C17,1))</f>
        <v>0</v>
      </c>
      <c r="K17" s="58">
        <v>0</v>
      </c>
      <c r="L17" s="90">
        <f>IF(C17=0,0,ROUNDDOWN(K17*C17,1))</f>
        <v>0</v>
      </c>
      <c r="M17" s="23" t="s">
        <v>1016</v>
      </c>
      <c r="N17" s="17" t="s">
        <v>1014</v>
      </c>
      <c r="O17" s="7" t="s">
        <v>1015</v>
      </c>
      <c r="P17" s="7" t="s">
        <v>1011</v>
      </c>
      <c r="Q17" s="7" t="s">
        <v>996</v>
      </c>
      <c r="Z17" s="3" t="str">
        <f ca="1">HYPERLINK("#"&amp;노무비목록표!G2&amp;"!A"&amp;ROW(노무비목록표!A5),"L00004 →")</f>
        <v>L00004 →</v>
      </c>
    </row>
    <row r="18" spans="1:26" ht="28.7" customHeight="1" x14ac:dyDescent="0.3">
      <c r="A18" s="10" t="s">
        <v>586</v>
      </c>
      <c r="B18" s="10"/>
      <c r="C18" s="85">
        <v>0.22</v>
      </c>
      <c r="D18" s="32" t="s">
        <v>565</v>
      </c>
      <c r="E18" s="62">
        <f t="shared" si="1"/>
        <v>169804</v>
      </c>
      <c r="F18" s="90">
        <f t="shared" si="1"/>
        <v>37356.800000000003</v>
      </c>
      <c r="G18" s="91">
        <f>노무비목록표!E11</f>
        <v>169804</v>
      </c>
      <c r="H18" s="93">
        <f>IF(C18=0,0,ROUNDDOWN(G18*C18,1))</f>
        <v>37356.800000000003</v>
      </c>
      <c r="I18" s="58">
        <v>0</v>
      </c>
      <c r="J18" s="89">
        <f>IF(C18=0,0,ROUNDDOWN(I18*C18,1))</f>
        <v>0</v>
      </c>
      <c r="K18" s="58">
        <v>0</v>
      </c>
      <c r="L18" s="90">
        <f>IF(C18=0,0,ROUNDDOWN(K18*C18,1))</f>
        <v>0</v>
      </c>
      <c r="M18" s="23" t="s">
        <v>1019</v>
      </c>
      <c r="N18" s="17" t="s">
        <v>1017</v>
      </c>
      <c r="O18" s="7" t="s">
        <v>1018</v>
      </c>
      <c r="P18" s="7" t="s">
        <v>1011</v>
      </c>
      <c r="Q18" s="7" t="s">
        <v>996</v>
      </c>
      <c r="Z18" s="3" t="str">
        <f ca="1">HYPERLINK("#"&amp;노무비목록표!G2&amp;"!A"&amp;ROW(노무비목록표!A11),"L00016 →")</f>
        <v>L00016 →</v>
      </c>
    </row>
    <row r="19" spans="1:26" ht="28.7" customHeight="1" x14ac:dyDescent="0.3">
      <c r="A19" s="10" t="s">
        <v>655</v>
      </c>
      <c r="B19" s="10" t="s">
        <v>656</v>
      </c>
      <c r="C19" s="85">
        <v>9</v>
      </c>
      <c r="D19" s="32" t="s">
        <v>441</v>
      </c>
      <c r="E19" s="62">
        <f t="shared" si="1"/>
        <v>219588.5</v>
      </c>
      <c r="F19" s="89">
        <f t="shared" si="1"/>
        <v>19762.900000000001</v>
      </c>
      <c r="G19" s="13">
        <v>0</v>
      </c>
      <c r="H19" s="89">
        <f>IF(C19=0,0,ROUNDDOWN(G19*C19/100,1))</f>
        <v>0</v>
      </c>
      <c r="I19" s="13">
        <v>0</v>
      </c>
      <c r="J19" s="90">
        <f>IF(C19=0,0,ROUNDDOWN(I19*C19/100,1))</f>
        <v>0</v>
      </c>
      <c r="K19" s="95">
        <f>H17+H18</f>
        <v>219588.5</v>
      </c>
      <c r="L19" s="90">
        <f>IF(C19=0,0,ROUNDDOWN(K19*C19/100,1))</f>
        <v>19762.900000000001</v>
      </c>
      <c r="M19" s="23"/>
      <c r="N19" s="17" t="s">
        <v>1020</v>
      </c>
      <c r="O19" s="7" t="s">
        <v>1005</v>
      </c>
      <c r="P19" s="7" t="s">
        <v>1011</v>
      </c>
    </row>
    <row r="20" spans="1:26" ht="28.7" customHeight="1" x14ac:dyDescent="0.3">
      <c r="A20" s="23" t="s">
        <v>6</v>
      </c>
      <c r="B20" s="56"/>
      <c r="C20" s="56"/>
      <c r="D20" s="56"/>
      <c r="E20" s="56"/>
      <c r="F20" s="54">
        <f>J20+H20+L20</f>
        <v>239350</v>
      </c>
      <c r="G20" s="56"/>
      <c r="H20" s="54">
        <f>ROUNDDOWN(SUMIF(P16:P19,O20,H16:H19),0)</f>
        <v>219588</v>
      </c>
      <c r="I20" s="56"/>
      <c r="J20" s="54">
        <f>ROUNDDOWN(SUMIF(P16:P19,O20,J16:J19),0)</f>
        <v>0</v>
      </c>
      <c r="K20" s="56"/>
      <c r="L20" s="54">
        <f>ROUNDDOWN(SUMIF(P16:P19,O20,L16:L19),0)</f>
        <v>19762</v>
      </c>
      <c r="M20" s="56"/>
      <c r="O20" s="7" t="s">
        <v>1011</v>
      </c>
    </row>
    <row r="21" spans="1:26" ht="28.7" customHeight="1" x14ac:dyDescent="0.3">
      <c r="A21" s="82" t="s">
        <v>22</v>
      </c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97" t="str">
        <f>HYPERLINK("#N"&amp;ROW(N26),"_x0005_`BDCOD|B00048_x0007_`POSS|"&amp;ROW(N23)&amp;"_x0007_`POSE|"&amp;ROW(N26)&amp;"_x0007_`")</f>
        <v>_x0005_`BDCOD|B00048_x0007_`POSS|23_x0007_`POSE|26_x0007_`</v>
      </c>
    </row>
    <row r="22" spans="1:26" ht="28.7" customHeight="1" x14ac:dyDescent="0.3">
      <c r="A22" s="43" t="s">
        <v>24</v>
      </c>
      <c r="B22" s="43" t="s">
        <v>25</v>
      </c>
      <c r="C22" s="84"/>
      <c r="D22" s="87" t="s">
        <v>26</v>
      </c>
      <c r="E22" s="84"/>
      <c r="F22" s="84"/>
      <c r="G22" s="84"/>
      <c r="H22" s="84"/>
      <c r="I22" s="84"/>
      <c r="J22" s="84"/>
      <c r="K22" s="84"/>
      <c r="L22" s="84"/>
      <c r="M22" s="87" t="s">
        <v>27</v>
      </c>
      <c r="O22" s="7" t="s">
        <v>27</v>
      </c>
    </row>
    <row r="23" spans="1:26" ht="28.7" customHeight="1" x14ac:dyDescent="0.3">
      <c r="A23" s="10" t="s">
        <v>1021</v>
      </c>
      <c r="B23" s="10"/>
      <c r="C23" s="85">
        <v>0</v>
      </c>
      <c r="D23" s="32"/>
      <c r="E23" s="22">
        <v>0</v>
      </c>
      <c r="F23" s="11">
        <v>0</v>
      </c>
      <c r="G23" s="45"/>
      <c r="H23" s="11">
        <v>0</v>
      </c>
      <c r="I23" s="45"/>
      <c r="J23" s="22">
        <v>0</v>
      </c>
      <c r="K23" s="51"/>
      <c r="L23" s="22">
        <v>0</v>
      </c>
      <c r="M23" s="23" t="s">
        <v>994</v>
      </c>
      <c r="N23" s="17" t="s">
        <v>992</v>
      </c>
      <c r="O23" s="7" t="s">
        <v>993</v>
      </c>
      <c r="P23" s="7" t="s">
        <v>993</v>
      </c>
    </row>
    <row r="24" spans="1:26" ht="28.7" customHeight="1" x14ac:dyDescent="0.3">
      <c r="A24" s="10" t="s">
        <v>444</v>
      </c>
      <c r="B24" s="10" t="s">
        <v>445</v>
      </c>
      <c r="C24" s="85">
        <v>510</v>
      </c>
      <c r="D24" s="32" t="s">
        <v>429</v>
      </c>
      <c r="E24" s="62">
        <f t="shared" ref="E24:F26" si="2">I24+G24+K24</f>
        <v>0</v>
      </c>
      <c r="F24" s="89">
        <f t="shared" si="2"/>
        <v>0</v>
      </c>
      <c r="G24" s="58">
        <v>0</v>
      </c>
      <c r="H24" s="90">
        <f>IF(C24=0,0,ROUNDDOWN(G24*C24,1))</f>
        <v>0</v>
      </c>
      <c r="I24" s="91">
        <f>재료비목록표!E12</f>
        <v>0</v>
      </c>
      <c r="J24" s="93">
        <f>IF(C24=0,0,ROUNDDOWN(I24*C24,1))</f>
        <v>0</v>
      </c>
      <c r="K24" s="58">
        <v>0</v>
      </c>
      <c r="L24" s="90">
        <f>IF(C24=0,0,ROUNDDOWN(K24*C24,1))</f>
        <v>0</v>
      </c>
      <c r="M24" s="23" t="s">
        <v>1024</v>
      </c>
      <c r="N24" s="17" t="s">
        <v>1022</v>
      </c>
      <c r="O24" s="7" t="s">
        <v>1023</v>
      </c>
      <c r="P24" s="7" t="s">
        <v>1011</v>
      </c>
      <c r="Z24" s="3" t="str">
        <f ca="1">HYPERLINK("#"&amp;재료비목록표!G2&amp;"!A"&amp;ROW(재료비목록표!A12),"M00117 →")</f>
        <v>M00117 →</v>
      </c>
    </row>
    <row r="25" spans="1:26" ht="28.7" customHeight="1" x14ac:dyDescent="0.3">
      <c r="A25" s="10" t="s">
        <v>494</v>
      </c>
      <c r="B25" s="10" t="s">
        <v>445</v>
      </c>
      <c r="C25" s="85">
        <v>1.1000000000000001</v>
      </c>
      <c r="D25" s="32" t="s">
        <v>495</v>
      </c>
      <c r="E25" s="62">
        <f t="shared" si="2"/>
        <v>0</v>
      </c>
      <c r="F25" s="89">
        <f t="shared" si="2"/>
        <v>0</v>
      </c>
      <c r="G25" s="58">
        <v>0</v>
      </c>
      <c r="H25" s="90">
        <f>IF(C25=0,0,ROUNDDOWN(G25*C25,1))</f>
        <v>0</v>
      </c>
      <c r="I25" s="91">
        <f>재료비목록표!E25</f>
        <v>0</v>
      </c>
      <c r="J25" s="93">
        <f>IF(C25=0,0,ROUNDDOWN(I25*C25,1))</f>
        <v>0</v>
      </c>
      <c r="K25" s="58">
        <v>0</v>
      </c>
      <c r="L25" s="90">
        <f>IF(C25=0,0,ROUNDDOWN(K25*C25,1))</f>
        <v>0</v>
      </c>
      <c r="M25" s="23" t="s">
        <v>1027</v>
      </c>
      <c r="N25" s="17" t="s">
        <v>1025</v>
      </c>
      <c r="O25" s="7" t="s">
        <v>1026</v>
      </c>
      <c r="P25" s="7" t="s">
        <v>1011</v>
      </c>
      <c r="Z25" s="3" t="str">
        <f ca="1">HYPERLINK("#"&amp;재료비목록표!G2&amp;"!A"&amp;ROW(재료비목록표!A25),"M00488 →")</f>
        <v>M00488 →</v>
      </c>
    </row>
    <row r="26" spans="1:26" ht="28.7" customHeight="1" x14ac:dyDescent="0.3">
      <c r="A26" s="10" t="s">
        <v>586</v>
      </c>
      <c r="B26" s="10"/>
      <c r="C26" s="85">
        <v>0.66</v>
      </c>
      <c r="D26" s="32" t="s">
        <v>565</v>
      </c>
      <c r="E26" s="62">
        <f t="shared" si="2"/>
        <v>169804</v>
      </c>
      <c r="F26" s="90">
        <f t="shared" si="2"/>
        <v>112070.6</v>
      </c>
      <c r="G26" s="91">
        <f>노무비목록표!E11</f>
        <v>169804</v>
      </c>
      <c r="H26" s="93">
        <f>IF(C26=0,0,ROUNDDOWN(G26*C26,1))</f>
        <v>112070.6</v>
      </c>
      <c r="I26" s="58">
        <v>0</v>
      </c>
      <c r="J26" s="89">
        <f>IF(C26=0,0,ROUNDDOWN(I26*C26,1))</f>
        <v>0</v>
      </c>
      <c r="K26" s="58">
        <v>0</v>
      </c>
      <c r="L26" s="90">
        <f>IF(C26=0,0,ROUNDDOWN(K26*C26,1))</f>
        <v>0</v>
      </c>
      <c r="M26" s="23" t="s">
        <v>1019</v>
      </c>
      <c r="N26" s="17" t="s">
        <v>1028</v>
      </c>
      <c r="O26" s="7" t="s">
        <v>1018</v>
      </c>
      <c r="P26" s="7" t="s">
        <v>1011</v>
      </c>
      <c r="Z26" s="3" t="str">
        <f ca="1">HYPERLINK("#"&amp;노무비목록표!G2&amp;"!A"&amp;ROW(노무비목록표!A11),"L00016 →")</f>
        <v>L00016 →</v>
      </c>
    </row>
    <row r="27" spans="1:26" ht="28.7" customHeight="1" x14ac:dyDescent="0.3">
      <c r="A27" s="23" t="s">
        <v>6</v>
      </c>
      <c r="B27" s="56"/>
      <c r="C27" s="56"/>
      <c r="D27" s="56"/>
      <c r="E27" s="56"/>
      <c r="F27" s="54">
        <f>J27+H27+L27</f>
        <v>112070</v>
      </c>
      <c r="G27" s="56"/>
      <c r="H27" s="54">
        <f>ROUNDDOWN(SUMIF(P23:P26,O27,H23:H26),0)</f>
        <v>112070</v>
      </c>
      <c r="I27" s="56"/>
      <c r="J27" s="54">
        <f>ROUNDDOWN(SUMIF(P23:P26,O27,J23:J26),0)</f>
        <v>0</v>
      </c>
      <c r="K27" s="56"/>
      <c r="L27" s="54">
        <f>ROUNDDOWN(SUMIF(P23:P26,O27,L23:L26),0)</f>
        <v>0</v>
      </c>
      <c r="M27" s="56"/>
      <c r="O27" s="7" t="s">
        <v>1011</v>
      </c>
    </row>
    <row r="28" spans="1:26" ht="28.7" customHeight="1" x14ac:dyDescent="0.3">
      <c r="A28" s="82" t="s">
        <v>28</v>
      </c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97" t="str">
        <f>HYPERLINK("#N"&amp;ROW(N34),"_x0005_`BDCOD|B00233_x0007_`POSS|"&amp;ROW(N30)&amp;"_x0007_`POSE|"&amp;ROW(N34)&amp;"_x0007_`")</f>
        <v>_x0005_`BDCOD|B00233_x0007_`POSS|30_x0007_`POSE|34_x0007_`</v>
      </c>
    </row>
    <row r="29" spans="1:26" ht="28.7" customHeight="1" x14ac:dyDescent="0.3">
      <c r="A29" s="43" t="s">
        <v>30</v>
      </c>
      <c r="B29" s="43"/>
      <c r="C29" s="84"/>
      <c r="D29" s="87" t="s">
        <v>14</v>
      </c>
      <c r="E29" s="84"/>
      <c r="F29" s="84"/>
      <c r="G29" s="84"/>
      <c r="H29" s="84"/>
      <c r="I29" s="84"/>
      <c r="J29" s="84"/>
      <c r="K29" s="84"/>
      <c r="L29" s="84"/>
      <c r="M29" s="87" t="s">
        <v>31</v>
      </c>
      <c r="O29" s="7" t="s">
        <v>31</v>
      </c>
    </row>
    <row r="30" spans="1:26" ht="28.7" customHeight="1" x14ac:dyDescent="0.3">
      <c r="A30" s="10" t="s">
        <v>1029</v>
      </c>
      <c r="B30" s="10"/>
      <c r="C30" s="85">
        <v>0</v>
      </c>
      <c r="D30" s="32"/>
      <c r="E30" s="22">
        <v>0</v>
      </c>
      <c r="F30" s="11">
        <v>0</v>
      </c>
      <c r="G30" s="45"/>
      <c r="H30" s="11">
        <v>0</v>
      </c>
      <c r="I30" s="45"/>
      <c r="J30" s="22">
        <v>0</v>
      </c>
      <c r="K30" s="51"/>
      <c r="L30" s="22">
        <v>0</v>
      </c>
      <c r="M30" s="23" t="s">
        <v>994</v>
      </c>
      <c r="N30" s="17" t="s">
        <v>992</v>
      </c>
      <c r="O30" s="7" t="s">
        <v>993</v>
      </c>
      <c r="P30" s="7" t="s">
        <v>993</v>
      </c>
    </row>
    <row r="31" spans="1:26" ht="28.7" customHeight="1" x14ac:dyDescent="0.3">
      <c r="A31" s="10" t="s">
        <v>417</v>
      </c>
      <c r="B31" s="10" t="s">
        <v>1030</v>
      </c>
      <c r="C31" s="85">
        <v>1.2075</v>
      </c>
      <c r="D31" s="32" t="s">
        <v>419</v>
      </c>
      <c r="E31" s="62">
        <f t="shared" ref="E31:F34" si="3">I31+G31+K31</f>
        <v>3000</v>
      </c>
      <c r="F31" s="89">
        <f t="shared" si="3"/>
        <v>3622.5</v>
      </c>
      <c r="G31" s="58">
        <v>0</v>
      </c>
      <c r="H31" s="90">
        <f>IF(C31=0,0,ROUNDDOWN(G31*C31,1))</f>
        <v>0</v>
      </c>
      <c r="I31" s="91">
        <f>재료비목록표!E6</f>
        <v>3000</v>
      </c>
      <c r="J31" s="93">
        <f>IF(C31=0,0,ROUNDDOWN(I31*C31,1))</f>
        <v>3622.5</v>
      </c>
      <c r="K31" s="58">
        <v>0</v>
      </c>
      <c r="L31" s="90">
        <f>IF(C31=0,0,ROUNDDOWN(K31*C31,1))</f>
        <v>0</v>
      </c>
      <c r="M31" s="23" t="s">
        <v>1033</v>
      </c>
      <c r="N31" s="17" t="s">
        <v>1031</v>
      </c>
      <c r="O31" s="7" t="s">
        <v>1032</v>
      </c>
      <c r="P31" s="7" t="s">
        <v>1011</v>
      </c>
      <c r="Q31" s="7" t="s">
        <v>996</v>
      </c>
      <c r="Z31" s="3" t="str">
        <f ca="1">HYPERLINK("#"&amp;재료비목록표!G2&amp;"!A"&amp;ROW(재료비목록표!A6),"M00028 →")</f>
        <v>M00028 →</v>
      </c>
    </row>
    <row r="32" spans="1:26" ht="28.7" customHeight="1" x14ac:dyDescent="0.3">
      <c r="A32" s="10" t="s">
        <v>564</v>
      </c>
      <c r="B32" s="10"/>
      <c r="C32" s="85">
        <v>7.0000000000000007E-2</v>
      </c>
      <c r="D32" s="32" t="s">
        <v>565</v>
      </c>
      <c r="E32" s="62">
        <f t="shared" si="3"/>
        <v>272831</v>
      </c>
      <c r="F32" s="90">
        <f t="shared" si="3"/>
        <v>19098.099999999999</v>
      </c>
      <c r="G32" s="91">
        <f>노무비목록표!E4</f>
        <v>272831</v>
      </c>
      <c r="H32" s="93">
        <f>IF(C32=0,0,ROUNDDOWN(G32*C32,1))</f>
        <v>19098.099999999999</v>
      </c>
      <c r="I32" s="58">
        <v>0</v>
      </c>
      <c r="J32" s="89">
        <f>IF(C32=0,0,ROUNDDOWN(I32*C32,1))</f>
        <v>0</v>
      </c>
      <c r="K32" s="58">
        <v>0</v>
      </c>
      <c r="L32" s="90">
        <f>IF(C32=0,0,ROUNDDOWN(K32*C32,1))</f>
        <v>0</v>
      </c>
      <c r="M32" s="23" t="s">
        <v>1036</v>
      </c>
      <c r="N32" s="17" t="s">
        <v>1034</v>
      </c>
      <c r="O32" s="7" t="s">
        <v>1035</v>
      </c>
      <c r="P32" s="7" t="s">
        <v>1011</v>
      </c>
      <c r="Q32" s="7" t="s">
        <v>996</v>
      </c>
      <c r="Z32" s="3" t="str">
        <f ca="1">HYPERLINK("#"&amp;노무비목록표!G2&amp;"!A"&amp;ROW(노무비목록표!A4),"L00002 →")</f>
        <v>L00002 →</v>
      </c>
    </row>
    <row r="33" spans="1:26" ht="28.7" customHeight="1" x14ac:dyDescent="0.3">
      <c r="A33" s="10" t="s">
        <v>586</v>
      </c>
      <c r="B33" s="10"/>
      <c r="C33" s="85">
        <v>0.03</v>
      </c>
      <c r="D33" s="32" t="s">
        <v>565</v>
      </c>
      <c r="E33" s="62">
        <f t="shared" si="3"/>
        <v>169804</v>
      </c>
      <c r="F33" s="90">
        <f t="shared" si="3"/>
        <v>5094.1000000000004</v>
      </c>
      <c r="G33" s="91">
        <f>노무비목록표!E11</f>
        <v>169804</v>
      </c>
      <c r="H33" s="93">
        <f>IF(C33=0,0,ROUNDDOWN(G33*C33,1))</f>
        <v>5094.1000000000004</v>
      </c>
      <c r="I33" s="58">
        <v>0</v>
      </c>
      <c r="J33" s="89">
        <f>IF(C33=0,0,ROUNDDOWN(I33*C33,1))</f>
        <v>0</v>
      </c>
      <c r="K33" s="58">
        <v>0</v>
      </c>
      <c r="L33" s="90">
        <f>IF(C33=0,0,ROUNDDOWN(K33*C33,1))</f>
        <v>0</v>
      </c>
      <c r="M33" s="23" t="s">
        <v>1019</v>
      </c>
      <c r="N33" s="17" t="s">
        <v>1017</v>
      </c>
      <c r="O33" s="7" t="s">
        <v>1018</v>
      </c>
      <c r="P33" s="7" t="s">
        <v>1011</v>
      </c>
      <c r="Q33" s="7" t="s">
        <v>996</v>
      </c>
      <c r="Z33" s="3" t="str">
        <f ca="1">HYPERLINK("#"&amp;노무비목록표!G2&amp;"!A"&amp;ROW(노무비목록표!A11),"L00016 →")</f>
        <v>L00016 →</v>
      </c>
    </row>
    <row r="34" spans="1:26" ht="28.7" customHeight="1" x14ac:dyDescent="0.3">
      <c r="A34" s="10" t="s">
        <v>1037</v>
      </c>
      <c r="B34" s="10" t="s">
        <v>1003</v>
      </c>
      <c r="C34" s="85">
        <v>2</v>
      </c>
      <c r="D34" s="32" t="s">
        <v>441</v>
      </c>
      <c r="E34" s="62">
        <f t="shared" si="3"/>
        <v>3622.5</v>
      </c>
      <c r="F34" s="89">
        <f t="shared" si="3"/>
        <v>72.400000000000006</v>
      </c>
      <c r="G34" s="13">
        <v>0</v>
      </c>
      <c r="H34" s="89">
        <f>IF(C34=0,0,ROUNDDOWN(G34*C34/100,1))</f>
        <v>0</v>
      </c>
      <c r="I34" s="94">
        <f>J31+J32+J33</f>
        <v>3622.5</v>
      </c>
      <c r="J34" s="90">
        <f>IF(C34=0,0,ROUNDDOWN(I34*C34/100,1))</f>
        <v>72.400000000000006</v>
      </c>
      <c r="K34" s="22">
        <v>0</v>
      </c>
      <c r="L34" s="90">
        <f>IF(C34=0,0,ROUNDDOWN(K34*C34/100,1))</f>
        <v>0</v>
      </c>
      <c r="M34" s="23"/>
      <c r="N34" s="17" t="s">
        <v>1038</v>
      </c>
      <c r="O34" s="7" t="s">
        <v>1005</v>
      </c>
      <c r="P34" s="7" t="s">
        <v>1011</v>
      </c>
      <c r="Q34" s="7" t="s">
        <v>996</v>
      </c>
    </row>
    <row r="35" spans="1:26" ht="28.7" customHeight="1" x14ac:dyDescent="0.3">
      <c r="A35" s="23" t="s">
        <v>6</v>
      </c>
      <c r="B35" s="56"/>
      <c r="C35" s="56"/>
      <c r="D35" s="56"/>
      <c r="E35" s="56"/>
      <c r="F35" s="54">
        <f>J35+H35+L35</f>
        <v>27886</v>
      </c>
      <c r="G35" s="56"/>
      <c r="H35" s="54">
        <f>ROUNDDOWN(SUMIF(P30:P34,O35,H30:H34),0)</f>
        <v>24192</v>
      </c>
      <c r="I35" s="56"/>
      <c r="J35" s="54">
        <f>ROUNDDOWN(SUMIF(P30:P34,O35,J30:J34),0)</f>
        <v>3694</v>
      </c>
      <c r="K35" s="56"/>
      <c r="L35" s="54">
        <f>ROUNDDOWN(SUMIF(P30:P34,O35,L30:L34),0)</f>
        <v>0</v>
      </c>
      <c r="M35" s="56"/>
      <c r="O35" s="7" t="s">
        <v>1011</v>
      </c>
    </row>
    <row r="36" spans="1:26" ht="28.7" customHeight="1" x14ac:dyDescent="0.3">
      <c r="A36" s="82" t="s">
        <v>32</v>
      </c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97" t="str">
        <f>HYPERLINK("#N"&amp;ROW(N39),"_x0005_`BDCOD|B00287_x0007_`POSS|"&amp;ROW(N38)&amp;"_x0007_`POSE|"&amp;ROW(N39)&amp;"_x0007_`")</f>
        <v>_x0005_`BDCOD|B00287_x0007_`POSS|38_x0007_`POSE|39_x0007_`</v>
      </c>
    </row>
    <row r="37" spans="1:26" ht="28.7" customHeight="1" x14ac:dyDescent="0.3">
      <c r="A37" s="43" t="s">
        <v>34</v>
      </c>
      <c r="B37" s="43"/>
      <c r="C37" s="84"/>
      <c r="D37" s="87" t="s">
        <v>35</v>
      </c>
      <c r="E37" s="84"/>
      <c r="F37" s="84"/>
      <c r="G37" s="84"/>
      <c r="H37" s="84"/>
      <c r="I37" s="84"/>
      <c r="J37" s="84"/>
      <c r="K37" s="84"/>
      <c r="L37" s="84"/>
      <c r="M37" s="87" t="s">
        <v>36</v>
      </c>
      <c r="O37" s="7" t="s">
        <v>36</v>
      </c>
    </row>
    <row r="38" spans="1:26" ht="28.7" customHeight="1" x14ac:dyDescent="0.3">
      <c r="A38" s="10" t="s">
        <v>18</v>
      </c>
      <c r="B38" s="10" t="s">
        <v>19</v>
      </c>
      <c r="C38" s="85">
        <v>1E-3</v>
      </c>
      <c r="D38" s="32" t="s">
        <v>20</v>
      </c>
      <c r="E38" s="62">
        <f>I38+G38+K38</f>
        <v>239350</v>
      </c>
      <c r="F38" s="90">
        <f>J38+H38+L38</f>
        <v>239.2</v>
      </c>
      <c r="G38" s="91">
        <f>일위대가목록표!F5</f>
        <v>219588</v>
      </c>
      <c r="H38" s="92">
        <f>IF(C38=0,0,ROUNDDOWN(G38*C38,1))</f>
        <v>219.5</v>
      </c>
      <c r="I38" s="91">
        <f>일위대가목록표!G5</f>
        <v>0</v>
      </c>
      <c r="J38" s="92">
        <f>IF(C38=0,0,ROUNDDOWN(I38*C38,1))</f>
        <v>0</v>
      </c>
      <c r="K38" s="91">
        <f>일위대가목록표!H5</f>
        <v>19762</v>
      </c>
      <c r="L38" s="92">
        <f>IF(C38=0,0,ROUNDDOWN(K38*C38,1))</f>
        <v>19.7</v>
      </c>
      <c r="M38" s="23" t="s">
        <v>1041</v>
      </c>
      <c r="N38" s="17" t="s">
        <v>1039</v>
      </c>
      <c r="O38" s="7" t="s">
        <v>1040</v>
      </c>
      <c r="P38" s="7" t="s">
        <v>1011</v>
      </c>
      <c r="Z38" s="3" t="str">
        <f ca="1">HYPERLINK("#"&amp;일위대가목록표!J2&amp;"!A"&amp;ROW(일위대가목록표!A5),"B00032 →")</f>
        <v>B00032 →</v>
      </c>
    </row>
    <row r="39" spans="1:26" ht="28.7" customHeight="1" x14ac:dyDescent="0.3">
      <c r="A39" s="10" t="s">
        <v>63</v>
      </c>
      <c r="B39" s="10" t="s">
        <v>19</v>
      </c>
      <c r="C39" s="85">
        <v>1E-3</v>
      </c>
      <c r="D39" s="32" t="s">
        <v>20</v>
      </c>
      <c r="E39" s="62">
        <f>I39+G39+K39</f>
        <v>579340</v>
      </c>
      <c r="F39" s="90">
        <f>J39+H39+L39</f>
        <v>579.20000000000005</v>
      </c>
      <c r="G39" s="91">
        <f>일위대가목록표!F14</f>
        <v>557084</v>
      </c>
      <c r="H39" s="92">
        <f>IF(C39=0,0,ROUNDDOWN(G39*C39,1))</f>
        <v>557</v>
      </c>
      <c r="I39" s="91">
        <f>일위대가목록표!G14</f>
        <v>11115</v>
      </c>
      <c r="J39" s="92">
        <f>IF(C39=0,0,ROUNDDOWN(I39*C39,1))</f>
        <v>11.1</v>
      </c>
      <c r="K39" s="91">
        <f>일위대가목록표!H14</f>
        <v>11141</v>
      </c>
      <c r="L39" s="92">
        <f>IF(C39=0,0,ROUNDDOWN(K39*C39,1))</f>
        <v>11.1</v>
      </c>
      <c r="M39" s="23" t="s">
        <v>1044</v>
      </c>
      <c r="N39" s="17" t="s">
        <v>1042</v>
      </c>
      <c r="O39" s="7" t="s">
        <v>1043</v>
      </c>
      <c r="P39" s="7" t="s">
        <v>1011</v>
      </c>
      <c r="Z39" s="3" t="str">
        <f ca="1">HYPERLINK("#"&amp;일위대가목록표!J2&amp;"!A"&amp;ROW(일위대가목록표!A14),"B01582 →")</f>
        <v>B01582 →</v>
      </c>
    </row>
    <row r="40" spans="1:26" ht="28.7" customHeight="1" x14ac:dyDescent="0.3">
      <c r="A40" s="23" t="s">
        <v>6</v>
      </c>
      <c r="B40" s="56"/>
      <c r="C40" s="56"/>
      <c r="D40" s="56"/>
      <c r="E40" s="56"/>
      <c r="F40" s="54">
        <f>J40+H40+L40</f>
        <v>817</v>
      </c>
      <c r="G40" s="56"/>
      <c r="H40" s="54">
        <f>ROUNDDOWN(SUMIF(P38:P39,O40,H38:H39),0)</f>
        <v>776</v>
      </c>
      <c r="I40" s="56"/>
      <c r="J40" s="54">
        <f>ROUNDDOWN(SUMIF(P38:P39,O40,J38:J39),0)</f>
        <v>11</v>
      </c>
      <c r="K40" s="56"/>
      <c r="L40" s="54">
        <f>ROUNDDOWN(SUMIF(P38:P39,O40,L38:L39),0)</f>
        <v>30</v>
      </c>
      <c r="M40" s="56"/>
      <c r="O40" s="7" t="s">
        <v>1011</v>
      </c>
    </row>
    <row r="41" spans="1:26" ht="28.7" customHeight="1" x14ac:dyDescent="0.3">
      <c r="A41" s="82" t="s">
        <v>37</v>
      </c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7" t="str">
        <f>HYPERLINK("#N"&amp;ROW(N46),"_x0005_`BDCOD|B00374_x0007_`POSS|"&amp;ROW(N43)&amp;"_x0007_`POSE|"&amp;ROW(N46)&amp;"_x0007_`")</f>
        <v>_x0005_`BDCOD|B00374_x0007_`POSS|43_x0007_`POSE|46_x0007_`</v>
      </c>
    </row>
    <row r="42" spans="1:26" ht="28.7" customHeight="1" x14ac:dyDescent="0.3">
      <c r="A42" s="43" t="s">
        <v>39</v>
      </c>
      <c r="B42" s="43" t="s">
        <v>40</v>
      </c>
      <c r="C42" s="84"/>
      <c r="D42" s="87" t="s">
        <v>14</v>
      </c>
      <c r="E42" s="84"/>
      <c r="F42" s="84"/>
      <c r="G42" s="84"/>
      <c r="H42" s="84"/>
      <c r="I42" s="84"/>
      <c r="J42" s="84"/>
      <c r="K42" s="84"/>
      <c r="L42" s="84"/>
      <c r="M42" s="87" t="s">
        <v>41</v>
      </c>
      <c r="O42" s="7" t="s">
        <v>41</v>
      </c>
    </row>
    <row r="43" spans="1:26" ht="28.7" customHeight="1" x14ac:dyDescent="0.3">
      <c r="A43" s="10" t="s">
        <v>1045</v>
      </c>
      <c r="B43" s="10"/>
      <c r="C43" s="85">
        <v>0</v>
      </c>
      <c r="D43" s="32"/>
      <c r="E43" s="22">
        <v>0</v>
      </c>
      <c r="F43" s="11">
        <v>0</v>
      </c>
      <c r="G43" s="45"/>
      <c r="H43" s="11">
        <v>0</v>
      </c>
      <c r="I43" s="45"/>
      <c r="J43" s="22">
        <v>0</v>
      </c>
      <c r="K43" s="51"/>
      <c r="L43" s="22">
        <v>0</v>
      </c>
      <c r="M43" s="23" t="s">
        <v>994</v>
      </c>
      <c r="N43" s="17" t="s">
        <v>992</v>
      </c>
      <c r="O43" s="7" t="s">
        <v>993</v>
      </c>
      <c r="P43" s="7" t="s">
        <v>993</v>
      </c>
    </row>
    <row r="44" spans="1:26" ht="28.7" customHeight="1" x14ac:dyDescent="0.3">
      <c r="A44" s="10" t="s">
        <v>571</v>
      </c>
      <c r="B44" s="10"/>
      <c r="C44" s="85">
        <v>0.13</v>
      </c>
      <c r="D44" s="32" t="s">
        <v>565</v>
      </c>
      <c r="E44" s="62">
        <f t="shared" ref="E44:F46" si="4">I44+G44+K44</f>
        <v>266246</v>
      </c>
      <c r="F44" s="90">
        <f t="shared" si="4"/>
        <v>34611.9</v>
      </c>
      <c r="G44" s="91">
        <f>노무비목록표!E6</f>
        <v>266246</v>
      </c>
      <c r="H44" s="93">
        <f>IF(C44=0,0,ROUNDDOWN(G44*C44,1))</f>
        <v>34611.9</v>
      </c>
      <c r="I44" s="58">
        <v>0</v>
      </c>
      <c r="J44" s="89">
        <f>IF(C44=0,0,ROUNDDOWN(I44*C44,1))</f>
        <v>0</v>
      </c>
      <c r="K44" s="58">
        <v>0</v>
      </c>
      <c r="L44" s="90">
        <f>IF(C44=0,0,ROUNDDOWN(K44*C44,1))</f>
        <v>0</v>
      </c>
      <c r="M44" s="23" t="s">
        <v>1048</v>
      </c>
      <c r="N44" s="17" t="s">
        <v>1046</v>
      </c>
      <c r="O44" s="7" t="s">
        <v>1047</v>
      </c>
      <c r="P44" s="7" t="s">
        <v>1011</v>
      </c>
      <c r="Z44" s="3" t="str">
        <f ca="1">HYPERLINK("#"&amp;노무비목록표!G2&amp;"!A"&amp;ROW(노무비목록표!A6),"L00005 →")</f>
        <v>L00005 →</v>
      </c>
    </row>
    <row r="45" spans="1:26" ht="28.7" customHeight="1" x14ac:dyDescent="0.3">
      <c r="A45" s="10" t="s">
        <v>586</v>
      </c>
      <c r="B45" s="10"/>
      <c r="C45" s="85">
        <v>0.04</v>
      </c>
      <c r="D45" s="32" t="s">
        <v>565</v>
      </c>
      <c r="E45" s="62">
        <f t="shared" si="4"/>
        <v>169804</v>
      </c>
      <c r="F45" s="90">
        <f t="shared" si="4"/>
        <v>6792.1</v>
      </c>
      <c r="G45" s="91">
        <f>노무비목록표!E11</f>
        <v>169804</v>
      </c>
      <c r="H45" s="93">
        <f>IF(C45=0,0,ROUNDDOWN(G45*C45,1))</f>
        <v>6792.1</v>
      </c>
      <c r="I45" s="58">
        <v>0</v>
      </c>
      <c r="J45" s="89">
        <f>IF(C45=0,0,ROUNDDOWN(I45*C45,1))</f>
        <v>0</v>
      </c>
      <c r="K45" s="58">
        <v>0</v>
      </c>
      <c r="L45" s="90">
        <f>IF(C45=0,0,ROUNDDOWN(K45*C45,1))</f>
        <v>0</v>
      </c>
      <c r="M45" s="23" t="s">
        <v>1019</v>
      </c>
      <c r="N45" s="17" t="s">
        <v>1028</v>
      </c>
      <c r="O45" s="7" t="s">
        <v>1018</v>
      </c>
      <c r="P45" s="7" t="s">
        <v>1011</v>
      </c>
      <c r="Z45" s="3" t="str">
        <f ca="1">HYPERLINK("#"&amp;노무비목록표!G2&amp;"!A"&amp;ROW(노무비목록표!A11),"L00016 →")</f>
        <v>L00016 →</v>
      </c>
    </row>
    <row r="46" spans="1:26" ht="28.7" customHeight="1" x14ac:dyDescent="0.3">
      <c r="A46" s="10" t="s">
        <v>397</v>
      </c>
      <c r="B46" s="10"/>
      <c r="C46" s="85">
        <v>0.25</v>
      </c>
      <c r="D46" s="32" t="s">
        <v>302</v>
      </c>
      <c r="E46" s="62">
        <f t="shared" si="4"/>
        <v>108745</v>
      </c>
      <c r="F46" s="90">
        <f t="shared" si="4"/>
        <v>27186.100000000002</v>
      </c>
      <c r="G46" s="91">
        <f>중기목록표!F26</f>
        <v>57077</v>
      </c>
      <c r="H46" s="92">
        <f>IF(C46=0,0,ROUNDDOWN(G46*C46,1))</f>
        <v>14269.2</v>
      </c>
      <c r="I46" s="91">
        <f>중기목록표!G26</f>
        <v>19547</v>
      </c>
      <c r="J46" s="92">
        <f>IF(C46=0,0,ROUNDDOWN(I46*C46,1))</f>
        <v>4886.7</v>
      </c>
      <c r="K46" s="91">
        <f>중기목록표!H26</f>
        <v>32121</v>
      </c>
      <c r="L46" s="92">
        <f>IF(C46=0,0,ROUNDDOWN(K46*C46,1))</f>
        <v>8030.2</v>
      </c>
      <c r="M46" s="23" t="s">
        <v>1051</v>
      </c>
      <c r="N46" s="17" t="s">
        <v>1049</v>
      </c>
      <c r="O46" s="7" t="s">
        <v>1050</v>
      </c>
      <c r="P46" s="7" t="s">
        <v>1011</v>
      </c>
      <c r="Z46" s="3" t="str">
        <f ca="1">HYPERLINK("#"&amp;중기목록표!J2&amp;"!A"&amp;ROW(중기목록표!A26),"X00750 →")</f>
        <v>X00750 →</v>
      </c>
    </row>
    <row r="47" spans="1:26" ht="28.7" customHeight="1" x14ac:dyDescent="0.3">
      <c r="A47" s="23" t="s">
        <v>6</v>
      </c>
      <c r="B47" s="56"/>
      <c r="C47" s="56"/>
      <c r="D47" s="56"/>
      <c r="E47" s="56"/>
      <c r="F47" s="54">
        <f>J47+H47+L47</f>
        <v>68589</v>
      </c>
      <c r="G47" s="56"/>
      <c r="H47" s="54">
        <f>ROUNDDOWN(SUMIF(P43:P46,O47,H43:H46),0)</f>
        <v>55673</v>
      </c>
      <c r="I47" s="56"/>
      <c r="J47" s="54">
        <f>ROUNDDOWN(SUMIF(P43:P46,O47,J43:J46),0)</f>
        <v>4886</v>
      </c>
      <c r="K47" s="56"/>
      <c r="L47" s="54">
        <f>ROUNDDOWN(SUMIF(P43:P46,O47,L43:L46),0)</f>
        <v>8030</v>
      </c>
      <c r="M47" s="56"/>
      <c r="O47" s="7" t="s">
        <v>1011</v>
      </c>
    </row>
    <row r="48" spans="1:26" ht="28.7" customHeight="1" x14ac:dyDescent="0.3">
      <c r="A48" s="82" t="s">
        <v>42</v>
      </c>
      <c r="B48" s="82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97" t="str">
        <f>HYPERLINK("#N"&amp;ROW(N53),"_x0005_`BDCOD|B00378_x0007_`POSS|"&amp;ROW(N50)&amp;"_x0007_`POSE|"&amp;ROW(N53)&amp;"_x0007_`")</f>
        <v>_x0005_`BDCOD|B00378_x0007_`POSS|50_x0007_`POSE|53_x0007_`</v>
      </c>
    </row>
    <row r="49" spans="1:26" ht="28.7" customHeight="1" x14ac:dyDescent="0.3">
      <c r="A49" s="43" t="s">
        <v>39</v>
      </c>
      <c r="B49" s="43" t="s">
        <v>44</v>
      </c>
      <c r="C49" s="84"/>
      <c r="D49" s="87" t="s">
        <v>14</v>
      </c>
      <c r="E49" s="84"/>
      <c r="F49" s="84"/>
      <c r="G49" s="84"/>
      <c r="H49" s="84"/>
      <c r="I49" s="84"/>
      <c r="J49" s="84"/>
      <c r="K49" s="84"/>
      <c r="L49" s="84"/>
      <c r="M49" s="87" t="s">
        <v>45</v>
      </c>
      <c r="O49" s="7" t="s">
        <v>45</v>
      </c>
    </row>
    <row r="50" spans="1:26" ht="28.7" customHeight="1" x14ac:dyDescent="0.3">
      <c r="A50" s="10" t="s">
        <v>1052</v>
      </c>
      <c r="B50" s="10"/>
      <c r="C50" s="85">
        <v>0</v>
      </c>
      <c r="D50" s="32"/>
      <c r="E50" s="22">
        <v>0</v>
      </c>
      <c r="F50" s="11">
        <v>0</v>
      </c>
      <c r="G50" s="45"/>
      <c r="H50" s="11">
        <v>0</v>
      </c>
      <c r="I50" s="45"/>
      <c r="J50" s="22">
        <v>0</v>
      </c>
      <c r="K50" s="51"/>
      <c r="L50" s="22">
        <v>0</v>
      </c>
      <c r="M50" s="23" t="s">
        <v>994</v>
      </c>
      <c r="N50" s="17" t="s">
        <v>992</v>
      </c>
      <c r="O50" s="7" t="s">
        <v>993</v>
      </c>
      <c r="P50" s="7" t="s">
        <v>993</v>
      </c>
    </row>
    <row r="51" spans="1:26" ht="28.7" customHeight="1" x14ac:dyDescent="0.3">
      <c r="A51" s="10" t="s">
        <v>571</v>
      </c>
      <c r="B51" s="10"/>
      <c r="C51" s="85">
        <v>0.1</v>
      </c>
      <c r="D51" s="32" t="s">
        <v>565</v>
      </c>
      <c r="E51" s="62">
        <f t="shared" ref="E51:F53" si="5">I51+G51+K51</f>
        <v>266246</v>
      </c>
      <c r="F51" s="90">
        <f t="shared" si="5"/>
        <v>26624.6</v>
      </c>
      <c r="G51" s="91">
        <f>노무비목록표!E6</f>
        <v>266246</v>
      </c>
      <c r="H51" s="93">
        <f>IF(C51=0,0,ROUNDDOWN(G51*C51,1))</f>
        <v>26624.6</v>
      </c>
      <c r="I51" s="58">
        <v>0</v>
      </c>
      <c r="J51" s="89">
        <f>IF(C51=0,0,ROUNDDOWN(I51*C51,1))</f>
        <v>0</v>
      </c>
      <c r="K51" s="58">
        <v>0</v>
      </c>
      <c r="L51" s="90">
        <f>IF(C51=0,0,ROUNDDOWN(K51*C51,1))</f>
        <v>0</v>
      </c>
      <c r="M51" s="23" t="s">
        <v>1048</v>
      </c>
      <c r="N51" s="17" t="s">
        <v>1046</v>
      </c>
      <c r="O51" s="7" t="s">
        <v>1047</v>
      </c>
      <c r="P51" s="7" t="s">
        <v>1011</v>
      </c>
      <c r="Z51" s="3" t="str">
        <f ca="1">HYPERLINK("#"&amp;노무비목록표!G2&amp;"!A"&amp;ROW(노무비목록표!A6),"L00005 →")</f>
        <v>L00005 →</v>
      </c>
    </row>
    <row r="52" spans="1:26" ht="28.7" customHeight="1" x14ac:dyDescent="0.3">
      <c r="A52" s="10" t="s">
        <v>586</v>
      </c>
      <c r="B52" s="10"/>
      <c r="C52" s="85">
        <v>0.03</v>
      </c>
      <c r="D52" s="32" t="s">
        <v>565</v>
      </c>
      <c r="E52" s="62">
        <f t="shared" si="5"/>
        <v>169804</v>
      </c>
      <c r="F52" s="90">
        <f t="shared" si="5"/>
        <v>5094.1000000000004</v>
      </c>
      <c r="G52" s="91">
        <f>노무비목록표!E11</f>
        <v>169804</v>
      </c>
      <c r="H52" s="93">
        <f>IF(C52=0,0,ROUNDDOWN(G52*C52,1))</f>
        <v>5094.1000000000004</v>
      </c>
      <c r="I52" s="58">
        <v>0</v>
      </c>
      <c r="J52" s="89">
        <f>IF(C52=0,0,ROUNDDOWN(I52*C52,1))</f>
        <v>0</v>
      </c>
      <c r="K52" s="58">
        <v>0</v>
      </c>
      <c r="L52" s="90">
        <f>IF(C52=0,0,ROUNDDOWN(K52*C52,1))</f>
        <v>0</v>
      </c>
      <c r="M52" s="23" t="s">
        <v>1019</v>
      </c>
      <c r="N52" s="17" t="s">
        <v>1028</v>
      </c>
      <c r="O52" s="7" t="s">
        <v>1018</v>
      </c>
      <c r="P52" s="7" t="s">
        <v>1011</v>
      </c>
      <c r="Z52" s="3" t="str">
        <f ca="1">HYPERLINK("#"&amp;노무비목록표!G2&amp;"!A"&amp;ROW(노무비목록표!A11),"L00016 →")</f>
        <v>L00016 →</v>
      </c>
    </row>
    <row r="53" spans="1:26" ht="28.7" customHeight="1" x14ac:dyDescent="0.3">
      <c r="A53" s="10" t="s">
        <v>397</v>
      </c>
      <c r="B53" s="10"/>
      <c r="C53" s="85">
        <v>0.21</v>
      </c>
      <c r="D53" s="32" t="s">
        <v>302</v>
      </c>
      <c r="E53" s="62">
        <f t="shared" si="5"/>
        <v>108745</v>
      </c>
      <c r="F53" s="90">
        <f t="shared" si="5"/>
        <v>22836.300000000003</v>
      </c>
      <c r="G53" s="91">
        <f>중기목록표!F26</f>
        <v>57077</v>
      </c>
      <c r="H53" s="92">
        <f>IF(C53=0,0,ROUNDDOWN(G53*C53,1))</f>
        <v>11986.1</v>
      </c>
      <c r="I53" s="91">
        <f>중기목록표!G26</f>
        <v>19547</v>
      </c>
      <c r="J53" s="92">
        <f>IF(C53=0,0,ROUNDDOWN(I53*C53,1))</f>
        <v>4104.8</v>
      </c>
      <c r="K53" s="91">
        <f>중기목록표!H26</f>
        <v>32121</v>
      </c>
      <c r="L53" s="92">
        <f>IF(C53=0,0,ROUNDDOWN(K53*C53,1))</f>
        <v>6745.4</v>
      </c>
      <c r="M53" s="23" t="s">
        <v>1051</v>
      </c>
      <c r="N53" s="17" t="s">
        <v>1049</v>
      </c>
      <c r="O53" s="7" t="s">
        <v>1050</v>
      </c>
      <c r="P53" s="7" t="s">
        <v>1011</v>
      </c>
      <c r="Z53" s="3" t="str">
        <f ca="1">HYPERLINK("#"&amp;중기목록표!J2&amp;"!A"&amp;ROW(중기목록표!A26),"X00750 →")</f>
        <v>X00750 →</v>
      </c>
    </row>
    <row r="54" spans="1:26" ht="28.7" customHeight="1" x14ac:dyDescent="0.3">
      <c r="A54" s="23" t="s">
        <v>6</v>
      </c>
      <c r="B54" s="56"/>
      <c r="C54" s="56"/>
      <c r="D54" s="56"/>
      <c r="E54" s="56"/>
      <c r="F54" s="54">
        <f>J54+H54+L54</f>
        <v>54553</v>
      </c>
      <c r="G54" s="56"/>
      <c r="H54" s="54">
        <f>ROUNDDOWN(SUMIF(P50:P53,O54,H50:H53),0)</f>
        <v>43704</v>
      </c>
      <c r="I54" s="56"/>
      <c r="J54" s="54">
        <f>ROUNDDOWN(SUMIF(P50:P53,O54,J50:J53),0)</f>
        <v>4104</v>
      </c>
      <c r="K54" s="56"/>
      <c r="L54" s="54">
        <f>ROUNDDOWN(SUMIF(P50:P53,O54,L50:L53),0)</f>
        <v>6745</v>
      </c>
      <c r="M54" s="56"/>
      <c r="O54" s="7" t="s">
        <v>1011</v>
      </c>
    </row>
    <row r="55" spans="1:26" ht="28.7" customHeight="1" x14ac:dyDescent="0.3">
      <c r="A55" s="82" t="s">
        <v>46</v>
      </c>
      <c r="B55" s="82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97" t="str">
        <f>HYPERLINK("#N"&amp;ROW(N61),"_x0005_`BDCOD|B00437_x0007_`POSS|"&amp;ROW(N57)&amp;"_x0007_`POSE|"&amp;ROW(N61)&amp;"_x0007_`")</f>
        <v>_x0005_`BDCOD|B00437_x0007_`POSS|57_x0007_`POSE|61_x0007_`</v>
      </c>
    </row>
    <row r="56" spans="1:26" ht="28.7" customHeight="1" x14ac:dyDescent="0.3">
      <c r="A56" s="43" t="s">
        <v>48</v>
      </c>
      <c r="B56" s="43" t="s">
        <v>49</v>
      </c>
      <c r="C56" s="84"/>
      <c r="D56" s="87" t="s">
        <v>50</v>
      </c>
      <c r="E56" s="84"/>
      <c r="F56" s="84"/>
      <c r="G56" s="84"/>
      <c r="H56" s="84"/>
      <c r="I56" s="84"/>
      <c r="J56" s="84"/>
      <c r="K56" s="84"/>
      <c r="L56" s="84"/>
      <c r="M56" s="87" t="s">
        <v>51</v>
      </c>
      <c r="O56" s="7" t="s">
        <v>51</v>
      </c>
    </row>
    <row r="57" spans="1:26" ht="28.7" customHeight="1" x14ac:dyDescent="0.3">
      <c r="A57" s="10" t="s">
        <v>1012</v>
      </c>
      <c r="B57" s="10" t="s">
        <v>1053</v>
      </c>
      <c r="C57" s="85">
        <v>0</v>
      </c>
      <c r="D57" s="32"/>
      <c r="E57" s="22">
        <v>0</v>
      </c>
      <c r="F57" s="11">
        <v>0</v>
      </c>
      <c r="G57" s="45"/>
      <c r="H57" s="11">
        <v>0</v>
      </c>
      <c r="I57" s="45"/>
      <c r="J57" s="22">
        <v>0</v>
      </c>
      <c r="K57" s="51"/>
      <c r="L57" s="22">
        <v>0</v>
      </c>
      <c r="M57" s="23" t="s">
        <v>994</v>
      </c>
      <c r="N57" s="17" t="s">
        <v>992</v>
      </c>
      <c r="O57" s="7" t="s">
        <v>993</v>
      </c>
      <c r="P57" s="7" t="s">
        <v>993</v>
      </c>
    </row>
    <row r="58" spans="1:26" ht="28.7" customHeight="1" x14ac:dyDescent="0.3">
      <c r="A58" s="10" t="s">
        <v>604</v>
      </c>
      <c r="B58" s="10"/>
      <c r="C58" s="85">
        <v>0.04</v>
      </c>
      <c r="D58" s="32" t="s">
        <v>565</v>
      </c>
      <c r="E58" s="62">
        <f t="shared" ref="E58:F61" si="6">I58+G58+K58</f>
        <v>250572</v>
      </c>
      <c r="F58" s="90">
        <f t="shared" si="6"/>
        <v>10022.799999999999</v>
      </c>
      <c r="G58" s="91">
        <f>노무비목록표!E17</f>
        <v>250572</v>
      </c>
      <c r="H58" s="93">
        <f>IF(C58=0,0,ROUNDDOWN(G58*C58,1))</f>
        <v>10022.799999999999</v>
      </c>
      <c r="I58" s="58">
        <v>0</v>
      </c>
      <c r="J58" s="89">
        <f>IF(C58=0,0,ROUNDDOWN(I58*C58,1))</f>
        <v>0</v>
      </c>
      <c r="K58" s="58">
        <v>0</v>
      </c>
      <c r="L58" s="90">
        <f>IF(C58=0,0,ROUNDDOWN(K58*C58,1))</f>
        <v>0</v>
      </c>
      <c r="M58" s="23" t="s">
        <v>1056</v>
      </c>
      <c r="N58" s="17" t="s">
        <v>1054</v>
      </c>
      <c r="O58" s="7" t="s">
        <v>1055</v>
      </c>
      <c r="P58" s="7" t="s">
        <v>1011</v>
      </c>
      <c r="Q58" s="7" t="s">
        <v>996</v>
      </c>
      <c r="Z58" s="3" t="str">
        <f ca="1">HYPERLINK("#"&amp;노무비목록표!G2&amp;"!A"&amp;ROW(노무비목록표!A17),"L00061 →")</f>
        <v>L00061 →</v>
      </c>
    </row>
    <row r="59" spans="1:26" ht="28.7" customHeight="1" x14ac:dyDescent="0.3">
      <c r="A59" s="10" t="s">
        <v>586</v>
      </c>
      <c r="B59" s="10"/>
      <c r="C59" s="85">
        <v>0.02</v>
      </c>
      <c r="D59" s="32" t="s">
        <v>565</v>
      </c>
      <c r="E59" s="62">
        <f t="shared" si="6"/>
        <v>169804</v>
      </c>
      <c r="F59" s="90">
        <f t="shared" si="6"/>
        <v>3396</v>
      </c>
      <c r="G59" s="91">
        <f>노무비목록표!E11</f>
        <v>169804</v>
      </c>
      <c r="H59" s="93">
        <f>IF(C59=0,0,ROUNDDOWN(G59*C59,1))</f>
        <v>3396</v>
      </c>
      <c r="I59" s="58">
        <v>0</v>
      </c>
      <c r="J59" s="89">
        <f>IF(C59=0,0,ROUNDDOWN(I59*C59,1))</f>
        <v>0</v>
      </c>
      <c r="K59" s="58">
        <v>0</v>
      </c>
      <c r="L59" s="90">
        <f>IF(C59=0,0,ROUNDDOWN(K59*C59,1))</f>
        <v>0</v>
      </c>
      <c r="M59" s="23" t="s">
        <v>1019</v>
      </c>
      <c r="N59" s="17" t="s">
        <v>1017</v>
      </c>
      <c r="O59" s="7" t="s">
        <v>1018</v>
      </c>
      <c r="P59" s="7" t="s">
        <v>1011</v>
      </c>
      <c r="Q59" s="7" t="s">
        <v>996</v>
      </c>
      <c r="Z59" s="3" t="str">
        <f ca="1">HYPERLINK("#"&amp;노무비목록표!G2&amp;"!A"&amp;ROW(노무비목록표!A11),"L00016 →")</f>
        <v>L00016 →</v>
      </c>
    </row>
    <row r="60" spans="1:26" ht="28.7" customHeight="1" x14ac:dyDescent="0.3">
      <c r="A60" s="10" t="s">
        <v>655</v>
      </c>
      <c r="B60" s="10" t="s">
        <v>656</v>
      </c>
      <c r="C60" s="85">
        <v>2</v>
      </c>
      <c r="D60" s="32" t="s">
        <v>441</v>
      </c>
      <c r="E60" s="62">
        <f t="shared" si="6"/>
        <v>13418.8</v>
      </c>
      <c r="F60" s="89">
        <f t="shared" si="6"/>
        <v>268.3</v>
      </c>
      <c r="G60" s="13">
        <v>0</v>
      </c>
      <c r="H60" s="89">
        <f>IF(C60=0,0,ROUNDDOWN(G60*C60/100,1))</f>
        <v>0</v>
      </c>
      <c r="I60" s="13">
        <v>0</v>
      </c>
      <c r="J60" s="90">
        <f>IF(C60=0,0,ROUNDDOWN(I60*C60/100,1))</f>
        <v>0</v>
      </c>
      <c r="K60" s="95">
        <f>H58+H59</f>
        <v>13418.8</v>
      </c>
      <c r="L60" s="90">
        <f>IF(C60=0,0,ROUNDDOWN(K60*C60/100,1))</f>
        <v>268.3</v>
      </c>
      <c r="M60" s="23"/>
      <c r="N60" s="17" t="s">
        <v>1057</v>
      </c>
      <c r="O60" s="7" t="s">
        <v>1005</v>
      </c>
      <c r="P60" s="7" t="s">
        <v>1011</v>
      </c>
      <c r="Q60" s="7" t="s">
        <v>996</v>
      </c>
    </row>
    <row r="61" spans="1:26" ht="28.7" customHeight="1" x14ac:dyDescent="0.3">
      <c r="A61" s="10" t="s">
        <v>300</v>
      </c>
      <c r="B61" s="10" t="s">
        <v>301</v>
      </c>
      <c r="C61" s="85">
        <v>4.1599999999999998E-2</v>
      </c>
      <c r="D61" s="32" t="s">
        <v>302</v>
      </c>
      <c r="E61" s="62">
        <f t="shared" si="6"/>
        <v>68123</v>
      </c>
      <c r="F61" s="90">
        <f t="shared" si="6"/>
        <v>2833.8</v>
      </c>
      <c r="G61" s="91">
        <f>중기목록표!F4</f>
        <v>49479</v>
      </c>
      <c r="H61" s="92">
        <f>IF(C61=0,0,ROUNDDOWN(G61*C61,1))</f>
        <v>2058.3000000000002</v>
      </c>
      <c r="I61" s="91">
        <f>중기목록표!G4</f>
        <v>8317</v>
      </c>
      <c r="J61" s="92">
        <f>IF(C61=0,0,ROUNDDOWN(I61*C61,1))</f>
        <v>345.9</v>
      </c>
      <c r="K61" s="91">
        <f>중기목록표!H4</f>
        <v>10327</v>
      </c>
      <c r="L61" s="92">
        <f>IF(C61=0,0,ROUNDDOWN(K61*C61,1))</f>
        <v>429.6</v>
      </c>
      <c r="M61" s="23" t="s">
        <v>1060</v>
      </c>
      <c r="N61" s="17" t="s">
        <v>1058</v>
      </c>
      <c r="O61" s="7" t="s">
        <v>1059</v>
      </c>
      <c r="P61" s="7" t="s">
        <v>1011</v>
      </c>
      <c r="Q61" s="7" t="s">
        <v>996</v>
      </c>
      <c r="Z61" s="3" t="str">
        <f ca="1">HYPERLINK("#"&amp;중기목록표!J2&amp;"!A"&amp;ROW(중기목록표!A4),"X00002 →")</f>
        <v>X00002 →</v>
      </c>
    </row>
    <row r="62" spans="1:26" ht="28.7" customHeight="1" x14ac:dyDescent="0.3">
      <c r="A62" s="23" t="s">
        <v>6</v>
      </c>
      <c r="B62" s="56"/>
      <c r="C62" s="56"/>
      <c r="D62" s="56"/>
      <c r="E62" s="56"/>
      <c r="F62" s="54">
        <f>J62+H62+L62</f>
        <v>16519</v>
      </c>
      <c r="G62" s="56"/>
      <c r="H62" s="54">
        <f>ROUNDDOWN(SUMIF(P57:P61,O62,H57:H61),0)</f>
        <v>15477</v>
      </c>
      <c r="I62" s="56"/>
      <c r="J62" s="54">
        <f>ROUNDDOWN(SUMIF(P57:P61,O62,J57:J61),0)</f>
        <v>345</v>
      </c>
      <c r="K62" s="56"/>
      <c r="L62" s="54">
        <f>ROUNDDOWN(SUMIF(P57:P61,O62,L57:L61),0)</f>
        <v>697</v>
      </c>
      <c r="M62" s="56"/>
      <c r="O62" s="7" t="s">
        <v>1011</v>
      </c>
    </row>
    <row r="63" spans="1:26" ht="28.7" customHeight="1" x14ac:dyDescent="0.3">
      <c r="A63" s="82" t="s">
        <v>52</v>
      </c>
      <c r="B63" s="82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97" t="str">
        <f>HYPERLINK("#N"&amp;ROW(N66),"_x0005_`BDCOD|B00442_x0007_`POSS|"&amp;ROW(N65)&amp;"_x0007_`POSE|"&amp;ROW(N66)&amp;"_x0007_`")</f>
        <v>_x0005_`BDCOD|B00442_x0007_`POSS|65_x0007_`POSE|66_x0007_`</v>
      </c>
    </row>
    <row r="64" spans="1:26" ht="28.7" customHeight="1" x14ac:dyDescent="0.3">
      <c r="A64" s="43" t="s">
        <v>54</v>
      </c>
      <c r="B64" s="43" t="s">
        <v>55</v>
      </c>
      <c r="C64" s="84"/>
      <c r="D64" s="87" t="s">
        <v>50</v>
      </c>
      <c r="E64" s="84"/>
      <c r="F64" s="84"/>
      <c r="G64" s="84"/>
      <c r="H64" s="84"/>
      <c r="I64" s="84"/>
      <c r="J64" s="84"/>
      <c r="K64" s="84"/>
      <c r="L64" s="84"/>
      <c r="M64" s="87" t="s">
        <v>56</v>
      </c>
      <c r="O64" s="7" t="s">
        <v>56</v>
      </c>
    </row>
    <row r="65" spans="1:26" ht="28.7" customHeight="1" x14ac:dyDescent="0.3">
      <c r="A65" s="10" t="s">
        <v>528</v>
      </c>
      <c r="B65" s="10" t="s">
        <v>529</v>
      </c>
      <c r="C65" s="85">
        <v>1</v>
      </c>
      <c r="D65" s="32" t="s">
        <v>414</v>
      </c>
      <c r="E65" s="62">
        <f>I65+G65+K65</f>
        <v>1912</v>
      </c>
      <c r="F65" s="89">
        <f>J65+H65+L65</f>
        <v>1912</v>
      </c>
      <c r="G65" s="58">
        <v>0</v>
      </c>
      <c r="H65" s="90">
        <f>IF(C65=0,0,ROUNDDOWN(G65*C65,1))</f>
        <v>0</v>
      </c>
      <c r="I65" s="91">
        <f>재료비목록표!E33</f>
        <v>1912</v>
      </c>
      <c r="J65" s="93">
        <f>IF(C65=0,0,ROUNDDOWN(I65*C65,1))</f>
        <v>1912</v>
      </c>
      <c r="K65" s="58">
        <v>0</v>
      </c>
      <c r="L65" s="90">
        <f>IF(C65=0,0,ROUNDDOWN(K65*C65,1))</f>
        <v>0</v>
      </c>
      <c r="M65" s="23" t="s">
        <v>1063</v>
      </c>
      <c r="N65" s="17" t="s">
        <v>1061</v>
      </c>
      <c r="O65" s="7" t="s">
        <v>1062</v>
      </c>
      <c r="P65" s="7" t="s">
        <v>1011</v>
      </c>
      <c r="Z65" s="3" t="str">
        <f ca="1">HYPERLINK("#"&amp;재료비목록표!G2&amp;"!A"&amp;ROW(재료비목록표!A33),"M01436 →")</f>
        <v>M01436 →</v>
      </c>
    </row>
    <row r="66" spans="1:26" ht="28.7" customHeight="1" x14ac:dyDescent="0.3">
      <c r="A66" s="10" t="s">
        <v>1064</v>
      </c>
      <c r="B66" s="10" t="s">
        <v>1003</v>
      </c>
      <c r="C66" s="85">
        <v>5</v>
      </c>
      <c r="D66" s="32" t="s">
        <v>441</v>
      </c>
      <c r="E66" s="62">
        <f>I66+G66+K66</f>
        <v>0</v>
      </c>
      <c r="F66" s="89">
        <f>J66+H66+L66</f>
        <v>0</v>
      </c>
      <c r="G66" s="13">
        <v>0</v>
      </c>
      <c r="H66" s="89">
        <f>IF(C66=0,0,ROUNDDOWN(G66*C66/100,1))</f>
        <v>0</v>
      </c>
      <c r="I66" s="13">
        <v>0</v>
      </c>
      <c r="J66" s="90">
        <f>IF(C66=0,0,ROUNDDOWN(I66*C66/100,1))</f>
        <v>0</v>
      </c>
      <c r="K66" s="22">
        <v>0</v>
      </c>
      <c r="L66" s="90">
        <f>IF(C66=0,0,ROUNDDOWN(K66*C66/100,1))</f>
        <v>0</v>
      </c>
      <c r="M66" s="23"/>
      <c r="N66" s="17" t="s">
        <v>1065</v>
      </c>
      <c r="O66" s="7" t="s">
        <v>1005</v>
      </c>
      <c r="P66" s="7" t="s">
        <v>1011</v>
      </c>
      <c r="Q66" s="7" t="s">
        <v>996</v>
      </c>
    </row>
    <row r="67" spans="1:26" ht="28.7" customHeight="1" x14ac:dyDescent="0.3">
      <c r="A67" s="23" t="s">
        <v>6</v>
      </c>
      <c r="B67" s="56"/>
      <c r="C67" s="56"/>
      <c r="D67" s="56"/>
      <c r="E67" s="56"/>
      <c r="F67" s="54">
        <f>J67+H67+L67</f>
        <v>1912</v>
      </c>
      <c r="G67" s="56"/>
      <c r="H67" s="54">
        <f>ROUNDDOWN(SUMIF(P65:P66,O67,H65:H66),0)</f>
        <v>0</v>
      </c>
      <c r="I67" s="56"/>
      <c r="J67" s="54">
        <f>ROUNDDOWN(SUMIF(P65:P66,O67,J65:J66),0)</f>
        <v>1912</v>
      </c>
      <c r="K67" s="56"/>
      <c r="L67" s="54">
        <f>ROUNDDOWN(SUMIF(P65:P66,O67,L65:L66),0)</f>
        <v>0</v>
      </c>
      <c r="M67" s="56"/>
      <c r="O67" s="7" t="s">
        <v>1011</v>
      </c>
    </row>
    <row r="68" spans="1:26" ht="28.7" customHeight="1" x14ac:dyDescent="0.3">
      <c r="A68" s="82" t="s">
        <v>57</v>
      </c>
      <c r="B68" s="82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97" t="str">
        <f>HYPERLINK("#N"&amp;ROW(N75),"_x0005_`BDCOD|B01299_x0007_`POSS|"&amp;ROW(N70)&amp;"_x0007_`POSE|"&amp;ROW(N75)&amp;"_x0007_`")</f>
        <v>_x0005_`BDCOD|B01299_x0007_`POSS|70_x0007_`POSE|75_x0007_`</v>
      </c>
    </row>
    <row r="69" spans="1:26" ht="28.7" customHeight="1" x14ac:dyDescent="0.3">
      <c r="A69" s="43" t="s">
        <v>12</v>
      </c>
      <c r="B69" s="43" t="s">
        <v>59</v>
      </c>
      <c r="C69" s="84"/>
      <c r="D69" s="87" t="s">
        <v>14</v>
      </c>
      <c r="E69" s="84"/>
      <c r="F69" s="84"/>
      <c r="G69" s="84"/>
      <c r="H69" s="84"/>
      <c r="I69" s="84"/>
      <c r="J69" s="84"/>
      <c r="K69" s="84"/>
      <c r="L69" s="84"/>
      <c r="M69" s="87" t="s">
        <v>60</v>
      </c>
      <c r="O69" s="7" t="s">
        <v>60</v>
      </c>
    </row>
    <row r="70" spans="1:26" ht="28.7" customHeight="1" x14ac:dyDescent="0.3">
      <c r="A70" s="10" t="s">
        <v>1066</v>
      </c>
      <c r="B70" s="10"/>
      <c r="C70" s="85">
        <v>0</v>
      </c>
      <c r="D70" s="32"/>
      <c r="E70" s="22">
        <v>0</v>
      </c>
      <c r="F70" s="11">
        <v>0</v>
      </c>
      <c r="G70" s="45"/>
      <c r="H70" s="11">
        <v>0</v>
      </c>
      <c r="I70" s="45"/>
      <c r="J70" s="22">
        <v>0</v>
      </c>
      <c r="K70" s="51"/>
      <c r="L70" s="22">
        <v>0</v>
      </c>
      <c r="M70" s="23" t="s">
        <v>994</v>
      </c>
      <c r="N70" s="17" t="s">
        <v>992</v>
      </c>
      <c r="O70" s="7" t="s">
        <v>993</v>
      </c>
      <c r="P70" s="7" t="s">
        <v>993</v>
      </c>
    </row>
    <row r="71" spans="1:26" ht="28.7" customHeight="1" x14ac:dyDescent="0.3">
      <c r="A71" s="10" t="s">
        <v>452</v>
      </c>
      <c r="B71" s="10" t="s">
        <v>453</v>
      </c>
      <c r="C71" s="85">
        <v>8.8999999999999996E-2</v>
      </c>
      <c r="D71" s="32" t="s">
        <v>419</v>
      </c>
      <c r="E71" s="62">
        <f t="shared" ref="E71:F75" si="7">I71+G71+K71</f>
        <v>31000</v>
      </c>
      <c r="F71" s="89">
        <f t="shared" si="7"/>
        <v>2759</v>
      </c>
      <c r="G71" s="58">
        <v>0</v>
      </c>
      <c r="H71" s="90">
        <f>IF(C71=0,0,ROUNDDOWN(G71*C71,1))</f>
        <v>0</v>
      </c>
      <c r="I71" s="91">
        <f>재료비목록표!E14</f>
        <v>31000</v>
      </c>
      <c r="J71" s="93">
        <f>IF(C71=0,0,ROUNDDOWN(I71*C71,1))</f>
        <v>2759</v>
      </c>
      <c r="K71" s="58">
        <v>0</v>
      </c>
      <c r="L71" s="90">
        <f>IF(C71=0,0,ROUNDDOWN(K71*C71,1))</f>
        <v>0</v>
      </c>
      <c r="M71" s="23" t="s">
        <v>998</v>
      </c>
      <c r="N71" s="17" t="s">
        <v>995</v>
      </c>
      <c r="O71" s="7" t="s">
        <v>997</v>
      </c>
      <c r="P71" s="7" t="s">
        <v>1011</v>
      </c>
      <c r="Q71" s="7" t="s">
        <v>996</v>
      </c>
      <c r="Z71" s="3" t="str">
        <f ca="1">HYPERLINK("#"&amp;재료비목록표!G2&amp;"!A"&amp;ROW(재료비목록표!A14),"M00131 →")</f>
        <v>M00131 →</v>
      </c>
    </row>
    <row r="72" spans="1:26" ht="28.7" customHeight="1" x14ac:dyDescent="0.3">
      <c r="A72" s="10" t="s">
        <v>456</v>
      </c>
      <c r="B72" s="10" t="s">
        <v>457</v>
      </c>
      <c r="C72" s="85">
        <v>3.0000000000000001E-3</v>
      </c>
      <c r="D72" s="32" t="s">
        <v>419</v>
      </c>
      <c r="E72" s="62">
        <f t="shared" si="7"/>
        <v>20500</v>
      </c>
      <c r="F72" s="89">
        <f t="shared" si="7"/>
        <v>61.5</v>
      </c>
      <c r="G72" s="58">
        <v>0</v>
      </c>
      <c r="H72" s="90">
        <f>IF(C72=0,0,ROUNDDOWN(G72*C72,1))</f>
        <v>0</v>
      </c>
      <c r="I72" s="91">
        <f>재료비목록표!E15</f>
        <v>20500</v>
      </c>
      <c r="J72" s="93">
        <f>IF(C72=0,0,ROUNDDOWN(I72*C72,1))</f>
        <v>61.5</v>
      </c>
      <c r="K72" s="58">
        <v>0</v>
      </c>
      <c r="L72" s="90">
        <f>IF(C72=0,0,ROUNDDOWN(K72*C72,1))</f>
        <v>0</v>
      </c>
      <c r="M72" s="23" t="s">
        <v>1001</v>
      </c>
      <c r="N72" s="17" t="s">
        <v>999</v>
      </c>
      <c r="O72" s="7" t="s">
        <v>1000</v>
      </c>
      <c r="P72" s="7" t="s">
        <v>1011</v>
      </c>
      <c r="Q72" s="7" t="s">
        <v>996</v>
      </c>
      <c r="Z72" s="3" t="str">
        <f ca="1">HYPERLINK("#"&amp;재료비목록표!G2&amp;"!A"&amp;ROW(재료비목록표!A15),"M00132 →")</f>
        <v>M00132 →</v>
      </c>
    </row>
    <row r="73" spans="1:26" ht="28.7" customHeight="1" x14ac:dyDescent="0.3">
      <c r="A73" s="10" t="s">
        <v>1002</v>
      </c>
      <c r="B73" s="10" t="s">
        <v>1003</v>
      </c>
      <c r="C73" s="85">
        <v>24</v>
      </c>
      <c r="D73" s="32" t="s">
        <v>441</v>
      </c>
      <c r="E73" s="62">
        <f t="shared" si="7"/>
        <v>2820.5</v>
      </c>
      <c r="F73" s="89">
        <f t="shared" si="7"/>
        <v>676.9</v>
      </c>
      <c r="G73" s="13">
        <v>0</v>
      </c>
      <c r="H73" s="89">
        <f>IF(C73=0,0,ROUNDDOWN(G73*C73/100,1))</f>
        <v>0</v>
      </c>
      <c r="I73" s="94">
        <f>J71+J72</f>
        <v>2820.5</v>
      </c>
      <c r="J73" s="90">
        <f>IF(C73=0,0,ROUNDDOWN(I73*C73/100,1))</f>
        <v>676.9</v>
      </c>
      <c r="K73" s="22">
        <v>0</v>
      </c>
      <c r="L73" s="90">
        <f>IF(C73=0,0,ROUNDDOWN(K73*C73/100,1))</f>
        <v>0</v>
      </c>
      <c r="M73" s="23"/>
      <c r="N73" s="17" t="s">
        <v>1004</v>
      </c>
      <c r="O73" s="7" t="s">
        <v>1005</v>
      </c>
      <c r="P73" s="7" t="s">
        <v>1011</v>
      </c>
    </row>
    <row r="74" spans="1:26" ht="28.7" customHeight="1" x14ac:dyDescent="0.3">
      <c r="A74" s="10" t="s">
        <v>1006</v>
      </c>
      <c r="B74" s="10" t="s">
        <v>1003</v>
      </c>
      <c r="C74" s="85">
        <v>5</v>
      </c>
      <c r="D74" s="32" t="s">
        <v>441</v>
      </c>
      <c r="E74" s="62">
        <f t="shared" si="7"/>
        <v>2820.5</v>
      </c>
      <c r="F74" s="89">
        <f t="shared" si="7"/>
        <v>141</v>
      </c>
      <c r="G74" s="13">
        <v>0</v>
      </c>
      <c r="H74" s="89">
        <f>IF(C74=0,0,ROUNDDOWN(G74*C74/100,1))</f>
        <v>0</v>
      </c>
      <c r="I74" s="94">
        <f>J71+J72</f>
        <v>2820.5</v>
      </c>
      <c r="J74" s="90">
        <f>IF(C74=0,0,ROUNDDOWN(I74*C74/100,1))</f>
        <v>141</v>
      </c>
      <c r="K74" s="22">
        <v>0</v>
      </c>
      <c r="L74" s="90">
        <f>IF(C74=0,0,ROUNDDOWN(K74*C74/100,1))</f>
        <v>0</v>
      </c>
      <c r="M74" s="23"/>
      <c r="N74" s="17" t="s">
        <v>1004</v>
      </c>
      <c r="O74" s="7" t="s">
        <v>1005</v>
      </c>
      <c r="P74" s="7" t="s">
        <v>1011</v>
      </c>
    </row>
    <row r="75" spans="1:26" ht="28.7" customHeight="1" x14ac:dyDescent="0.3">
      <c r="A75" s="10" t="s">
        <v>174</v>
      </c>
      <c r="B75" s="10" t="s">
        <v>59</v>
      </c>
      <c r="C75" s="85">
        <v>1</v>
      </c>
      <c r="D75" s="32" t="s">
        <v>14</v>
      </c>
      <c r="E75" s="62">
        <f t="shared" si="7"/>
        <v>32473</v>
      </c>
      <c r="F75" s="90">
        <f t="shared" si="7"/>
        <v>32473</v>
      </c>
      <c r="G75" s="91">
        <f>단가산출근거목록표!F15</f>
        <v>31528</v>
      </c>
      <c r="H75" s="92">
        <f>IF(C75=0,0,ROUNDDOWN(G75*C75,1))</f>
        <v>31528</v>
      </c>
      <c r="I75" s="91">
        <f>단가산출근거목록표!G15</f>
        <v>0</v>
      </c>
      <c r="J75" s="92">
        <f>IF(C75=0,0,ROUNDDOWN(I75*C75,1))</f>
        <v>0</v>
      </c>
      <c r="K75" s="91">
        <f>단가산출근거목록표!H15</f>
        <v>945</v>
      </c>
      <c r="L75" s="92">
        <f>IF(C75=0,0,ROUNDDOWN(K75*C75,1))</f>
        <v>945</v>
      </c>
      <c r="M75" s="23" t="s">
        <v>1069</v>
      </c>
      <c r="N75" s="17" t="s">
        <v>1067</v>
      </c>
      <c r="O75" s="7" t="s">
        <v>1068</v>
      </c>
      <c r="P75" s="7" t="s">
        <v>1011</v>
      </c>
      <c r="Z75" s="3" t="str">
        <f ca="1">HYPERLINK("#"&amp;단가산출근거목록표!J2&amp;"!A"&amp;ROW(단가산출근거목록표!A15),"D01351 →")</f>
        <v>D01351 →</v>
      </c>
    </row>
    <row r="76" spans="1:26" ht="28.7" customHeight="1" x14ac:dyDescent="0.3">
      <c r="A76" s="23" t="s">
        <v>6</v>
      </c>
      <c r="B76" s="56"/>
      <c r="C76" s="56"/>
      <c r="D76" s="56"/>
      <c r="E76" s="56"/>
      <c r="F76" s="54">
        <f>J76+H76+L76</f>
        <v>36111</v>
      </c>
      <c r="G76" s="56"/>
      <c r="H76" s="54">
        <f>ROUNDDOWN(SUMIF(P70:P75,O76,H70:H75),0)</f>
        <v>31528</v>
      </c>
      <c r="I76" s="56"/>
      <c r="J76" s="54">
        <f>ROUNDDOWN(SUMIF(P70:P75,O76,J70:J75),0)</f>
        <v>3638</v>
      </c>
      <c r="K76" s="56"/>
      <c r="L76" s="54">
        <f>ROUNDDOWN(SUMIF(P70:P75,O76,L70:L75),0)</f>
        <v>945</v>
      </c>
      <c r="M76" s="56"/>
      <c r="O76" s="7" t="s">
        <v>1011</v>
      </c>
    </row>
    <row r="77" spans="1:26" ht="28.7" customHeight="1" x14ac:dyDescent="0.3">
      <c r="A77" s="82" t="s">
        <v>61</v>
      </c>
      <c r="B77" s="82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97" t="str">
        <f>HYPERLINK("#N"&amp;ROW(N84),"_x0005_`BDCOD|B01582_x0007_`POSS|"&amp;ROW(N79)&amp;"_x0007_`POSE|"&amp;ROW(N84)&amp;"_x0007_`")</f>
        <v>_x0005_`BDCOD|B01582_x0007_`POSS|79_x0007_`POSE|84_x0007_`</v>
      </c>
    </row>
    <row r="78" spans="1:26" ht="28.7" customHeight="1" x14ac:dyDescent="0.3">
      <c r="A78" s="43" t="s">
        <v>63</v>
      </c>
      <c r="B78" s="43" t="s">
        <v>19</v>
      </c>
      <c r="C78" s="84"/>
      <c r="D78" s="87" t="s">
        <v>20</v>
      </c>
      <c r="E78" s="84"/>
      <c r="F78" s="84"/>
      <c r="G78" s="84"/>
      <c r="H78" s="84"/>
      <c r="I78" s="84"/>
      <c r="J78" s="84"/>
      <c r="K78" s="84"/>
      <c r="L78" s="84"/>
      <c r="M78" s="87" t="s">
        <v>64</v>
      </c>
      <c r="O78" s="7" t="s">
        <v>64</v>
      </c>
    </row>
    <row r="79" spans="1:26" ht="28.7" customHeight="1" x14ac:dyDescent="0.3">
      <c r="A79" s="10" t="s">
        <v>1070</v>
      </c>
      <c r="B79" s="10" t="s">
        <v>1071</v>
      </c>
      <c r="C79" s="85">
        <v>0</v>
      </c>
      <c r="D79" s="32"/>
      <c r="E79" s="22">
        <v>0</v>
      </c>
      <c r="F79" s="11">
        <v>0</v>
      </c>
      <c r="G79" s="45"/>
      <c r="H79" s="11">
        <v>0</v>
      </c>
      <c r="I79" s="45"/>
      <c r="J79" s="22">
        <v>0</v>
      </c>
      <c r="K79" s="51"/>
      <c r="L79" s="22">
        <v>0</v>
      </c>
      <c r="M79" s="23" t="s">
        <v>994</v>
      </c>
      <c r="N79" s="17" t="s">
        <v>992</v>
      </c>
      <c r="O79" s="7" t="s">
        <v>993</v>
      </c>
      <c r="P79" s="7" t="s">
        <v>993</v>
      </c>
    </row>
    <row r="80" spans="1:26" ht="28.7" customHeight="1" x14ac:dyDescent="0.3">
      <c r="A80" s="10" t="s">
        <v>466</v>
      </c>
      <c r="B80" s="10" t="s">
        <v>445</v>
      </c>
      <c r="C80" s="85">
        <v>1</v>
      </c>
      <c r="D80" s="32" t="s">
        <v>467</v>
      </c>
      <c r="E80" s="62">
        <f t="shared" ref="E80:F84" si="8">I80+G80+K80</f>
        <v>0</v>
      </c>
      <c r="F80" s="89">
        <f t="shared" si="8"/>
        <v>0</v>
      </c>
      <c r="G80" s="58">
        <v>0</v>
      </c>
      <c r="H80" s="90">
        <f>IF(C80=0,0,ROUNDDOWN(G80*C80,1))</f>
        <v>0</v>
      </c>
      <c r="I80" s="91">
        <f>재료비목록표!E18</f>
        <v>0</v>
      </c>
      <c r="J80" s="93">
        <f>IF(C80=0,0,ROUNDDOWN(I80*C80,1))</f>
        <v>0</v>
      </c>
      <c r="K80" s="58">
        <v>0</v>
      </c>
      <c r="L80" s="90">
        <f>IF(C80=0,0,ROUNDDOWN(K80*C80,1))</f>
        <v>0</v>
      </c>
      <c r="M80" s="23" t="s">
        <v>1074</v>
      </c>
      <c r="N80" s="17" t="s">
        <v>1072</v>
      </c>
      <c r="O80" s="7" t="s">
        <v>1073</v>
      </c>
      <c r="P80" s="7" t="s">
        <v>1011</v>
      </c>
      <c r="Q80" s="7" t="s">
        <v>996</v>
      </c>
      <c r="Z80" s="3" t="str">
        <f ca="1">HYPERLINK("#"&amp;재료비목록표!G2&amp;"!A"&amp;ROW(재료비목록표!A18),"M00227 →")</f>
        <v>M00227 →</v>
      </c>
    </row>
    <row r="81" spans="1:26" ht="28.7" customHeight="1" x14ac:dyDescent="0.3">
      <c r="A81" s="10" t="s">
        <v>427</v>
      </c>
      <c r="B81" s="10" t="s">
        <v>428</v>
      </c>
      <c r="C81" s="85">
        <v>6.5</v>
      </c>
      <c r="D81" s="32" t="s">
        <v>429</v>
      </c>
      <c r="E81" s="62">
        <f t="shared" si="8"/>
        <v>1710</v>
      </c>
      <c r="F81" s="89">
        <f t="shared" si="8"/>
        <v>11115</v>
      </c>
      <c r="G81" s="58">
        <v>0</v>
      </c>
      <c r="H81" s="90">
        <f>IF(C81=0,0,ROUNDDOWN(G81*C81,1))</f>
        <v>0</v>
      </c>
      <c r="I81" s="91">
        <f>재료비목록표!E8</f>
        <v>1710</v>
      </c>
      <c r="J81" s="93">
        <f>IF(C81=0,0,ROUNDDOWN(I81*C81,1))</f>
        <v>11115</v>
      </c>
      <c r="K81" s="58">
        <v>0</v>
      </c>
      <c r="L81" s="90">
        <f>IF(C81=0,0,ROUNDDOWN(K81*C81,1))</f>
        <v>0</v>
      </c>
      <c r="M81" s="23" t="s">
        <v>1077</v>
      </c>
      <c r="N81" s="17" t="s">
        <v>1075</v>
      </c>
      <c r="O81" s="7" t="s">
        <v>1076</v>
      </c>
      <c r="P81" s="7" t="s">
        <v>1011</v>
      </c>
      <c r="Q81" s="7" t="s">
        <v>996</v>
      </c>
      <c r="Z81" s="3" t="str">
        <f ca="1">HYPERLINK("#"&amp;재료비목록표!G2&amp;"!A"&amp;ROW(재료비목록표!A8),"M00034 →")</f>
        <v>M00034 →</v>
      </c>
    </row>
    <row r="82" spans="1:26" ht="28.7" customHeight="1" x14ac:dyDescent="0.3">
      <c r="A82" s="10" t="s">
        <v>568</v>
      </c>
      <c r="B82" s="10"/>
      <c r="C82" s="85">
        <v>1.73</v>
      </c>
      <c r="D82" s="32" t="s">
        <v>565</v>
      </c>
      <c r="E82" s="62">
        <f t="shared" si="8"/>
        <v>264104</v>
      </c>
      <c r="F82" s="90">
        <f t="shared" si="8"/>
        <v>456899.9</v>
      </c>
      <c r="G82" s="91">
        <f>노무비목록표!E5</f>
        <v>264104</v>
      </c>
      <c r="H82" s="93">
        <f>IF(C82=0,0,ROUNDDOWN(G82*C82,1))</f>
        <v>456899.9</v>
      </c>
      <c r="I82" s="58">
        <v>0</v>
      </c>
      <c r="J82" s="89">
        <f>IF(C82=0,0,ROUNDDOWN(I82*C82,1))</f>
        <v>0</v>
      </c>
      <c r="K82" s="58">
        <v>0</v>
      </c>
      <c r="L82" s="90">
        <f>IF(C82=0,0,ROUNDDOWN(K82*C82,1))</f>
        <v>0</v>
      </c>
      <c r="M82" s="23" t="s">
        <v>1016</v>
      </c>
      <c r="N82" s="17" t="s">
        <v>1014</v>
      </c>
      <c r="O82" s="7" t="s">
        <v>1015</v>
      </c>
      <c r="P82" s="7" t="s">
        <v>1011</v>
      </c>
      <c r="Q82" s="7" t="s">
        <v>996</v>
      </c>
      <c r="Z82" s="3" t="str">
        <f ca="1">HYPERLINK("#"&amp;노무비목록표!G2&amp;"!A"&amp;ROW(노무비목록표!A5),"L00004 →")</f>
        <v>L00004 →</v>
      </c>
    </row>
    <row r="83" spans="1:26" ht="28.7" customHeight="1" x14ac:dyDescent="0.3">
      <c r="A83" s="10" t="s">
        <v>586</v>
      </c>
      <c r="B83" s="10"/>
      <c r="C83" s="85">
        <v>0.59</v>
      </c>
      <c r="D83" s="32" t="s">
        <v>565</v>
      </c>
      <c r="E83" s="62">
        <f t="shared" si="8"/>
        <v>169804</v>
      </c>
      <c r="F83" s="90">
        <f t="shared" si="8"/>
        <v>100184.3</v>
      </c>
      <c r="G83" s="91">
        <f>노무비목록표!E11</f>
        <v>169804</v>
      </c>
      <c r="H83" s="93">
        <f>IF(C83=0,0,ROUNDDOWN(G83*C83,1))</f>
        <v>100184.3</v>
      </c>
      <c r="I83" s="58">
        <v>0</v>
      </c>
      <c r="J83" s="89">
        <f>IF(C83=0,0,ROUNDDOWN(I83*C83,1))</f>
        <v>0</v>
      </c>
      <c r="K83" s="58">
        <v>0</v>
      </c>
      <c r="L83" s="90">
        <f>IF(C83=0,0,ROUNDDOWN(K83*C83,1))</f>
        <v>0</v>
      </c>
      <c r="M83" s="23" t="s">
        <v>1019</v>
      </c>
      <c r="N83" s="17" t="s">
        <v>1017</v>
      </c>
      <c r="O83" s="7" t="s">
        <v>1018</v>
      </c>
      <c r="P83" s="7" t="s">
        <v>1011</v>
      </c>
      <c r="Q83" s="7" t="s">
        <v>996</v>
      </c>
      <c r="Z83" s="3" t="str">
        <f ca="1">HYPERLINK("#"&amp;노무비목록표!G2&amp;"!A"&amp;ROW(노무비목록표!A11),"L00016 →")</f>
        <v>L00016 →</v>
      </c>
    </row>
    <row r="84" spans="1:26" ht="28.7" customHeight="1" x14ac:dyDescent="0.3">
      <c r="A84" s="10" t="s">
        <v>1078</v>
      </c>
      <c r="B84" s="10" t="s">
        <v>656</v>
      </c>
      <c r="C84" s="85">
        <v>2</v>
      </c>
      <c r="D84" s="32" t="s">
        <v>441</v>
      </c>
      <c r="E84" s="62">
        <f t="shared" si="8"/>
        <v>557084.20000000007</v>
      </c>
      <c r="F84" s="89">
        <f t="shared" si="8"/>
        <v>11141.6</v>
      </c>
      <c r="G84" s="13">
        <v>0</v>
      </c>
      <c r="H84" s="89">
        <f>IF(C84=0,0,ROUNDDOWN(G84*C84/100,1))</f>
        <v>0</v>
      </c>
      <c r="I84" s="13">
        <v>0</v>
      </c>
      <c r="J84" s="90">
        <f>IF(C84=0,0,ROUNDDOWN(I84*C84/100,1))</f>
        <v>0</v>
      </c>
      <c r="K84" s="95">
        <f>H80+H81+H82+H83</f>
        <v>557084.20000000007</v>
      </c>
      <c r="L84" s="90">
        <f>IF(C84=0,0,ROUNDDOWN(K84*C84/100,1))</f>
        <v>11141.6</v>
      </c>
      <c r="M84" s="23"/>
      <c r="N84" s="17" t="s">
        <v>1057</v>
      </c>
      <c r="O84" s="7" t="s">
        <v>1005</v>
      </c>
      <c r="P84" s="7" t="s">
        <v>1011</v>
      </c>
      <c r="Q84" s="7" t="s">
        <v>996</v>
      </c>
    </row>
    <row r="85" spans="1:26" ht="28.7" customHeight="1" x14ac:dyDescent="0.3">
      <c r="A85" s="23" t="s">
        <v>6</v>
      </c>
      <c r="B85" s="56"/>
      <c r="C85" s="56"/>
      <c r="D85" s="56"/>
      <c r="E85" s="56"/>
      <c r="F85" s="54">
        <f>J85+H85+L85</f>
        <v>579340</v>
      </c>
      <c r="G85" s="56"/>
      <c r="H85" s="54">
        <f>ROUNDDOWN(SUMIF(P79:P84,O85,H79:H84),0)</f>
        <v>557084</v>
      </c>
      <c r="I85" s="56"/>
      <c r="J85" s="54">
        <f>ROUNDDOWN(SUMIF(P79:P84,O85,J79:J84),0)</f>
        <v>11115</v>
      </c>
      <c r="K85" s="56"/>
      <c r="L85" s="54">
        <f>ROUNDDOWN(SUMIF(P79:P84,O85,L79:L84),0)</f>
        <v>11141</v>
      </c>
      <c r="M85" s="56"/>
      <c r="O85" s="7" t="s">
        <v>1011</v>
      </c>
    </row>
    <row r="86" spans="1:26" ht="28.7" customHeight="1" x14ac:dyDescent="0.3">
      <c r="A86" s="82" t="s">
        <v>65</v>
      </c>
      <c r="B86" s="82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97" t="str">
        <f>HYPERLINK("#N"&amp;ROW(N91),"_x0005_`BDCOD|B01608_x0007_`POSS|"&amp;ROW(N88)&amp;"_x0007_`POSE|"&amp;ROW(N91)&amp;"_x0007_`")</f>
        <v>_x0005_`BDCOD|B01608_x0007_`POSS|88_x0007_`POSE|91_x0007_`</v>
      </c>
    </row>
    <row r="87" spans="1:26" ht="28.7" customHeight="1" x14ac:dyDescent="0.3">
      <c r="A87" s="43" t="s">
        <v>67</v>
      </c>
      <c r="B87" s="43" t="s">
        <v>68</v>
      </c>
      <c r="C87" s="84"/>
      <c r="D87" s="87" t="s">
        <v>14</v>
      </c>
      <c r="E87" s="84"/>
      <c r="F87" s="84"/>
      <c r="G87" s="84"/>
      <c r="H87" s="84"/>
      <c r="I87" s="84"/>
      <c r="J87" s="84"/>
      <c r="K87" s="84"/>
      <c r="L87" s="84"/>
      <c r="M87" s="87" t="s">
        <v>69</v>
      </c>
      <c r="O87" s="7" t="s">
        <v>69</v>
      </c>
    </row>
    <row r="88" spans="1:26" ht="28.7" customHeight="1" x14ac:dyDescent="0.3">
      <c r="A88" s="10" t="s">
        <v>1079</v>
      </c>
      <c r="B88" s="10"/>
      <c r="C88" s="85">
        <v>0</v>
      </c>
      <c r="D88" s="32"/>
      <c r="E88" s="22">
        <v>0</v>
      </c>
      <c r="F88" s="11">
        <v>0</v>
      </c>
      <c r="G88" s="45"/>
      <c r="H88" s="11">
        <v>0</v>
      </c>
      <c r="I88" s="45"/>
      <c r="J88" s="22">
        <v>0</v>
      </c>
      <c r="K88" s="51"/>
      <c r="L88" s="22">
        <v>0</v>
      </c>
      <c r="M88" s="23" t="s">
        <v>994</v>
      </c>
      <c r="N88" s="17" t="s">
        <v>992</v>
      </c>
      <c r="O88" s="7" t="s">
        <v>993</v>
      </c>
      <c r="P88" s="7" t="s">
        <v>993</v>
      </c>
    </row>
    <row r="89" spans="1:26" ht="28.7" customHeight="1" x14ac:dyDescent="0.3">
      <c r="A89" s="10" t="s">
        <v>571</v>
      </c>
      <c r="B89" s="10"/>
      <c r="C89" s="85">
        <v>7.1999999999999995E-2</v>
      </c>
      <c r="D89" s="32" t="s">
        <v>565</v>
      </c>
      <c r="E89" s="62">
        <f t="shared" ref="E89:F91" si="9">I89+G89+K89</f>
        <v>266246</v>
      </c>
      <c r="F89" s="90">
        <f t="shared" si="9"/>
        <v>19169.7</v>
      </c>
      <c r="G89" s="91">
        <f>노무비목록표!E6</f>
        <v>266246</v>
      </c>
      <c r="H89" s="93">
        <f>IF(C89=0,0,ROUNDDOWN(G89*C89,1))</f>
        <v>19169.7</v>
      </c>
      <c r="I89" s="58">
        <v>0</v>
      </c>
      <c r="J89" s="89">
        <f>IF(C89=0,0,ROUNDDOWN(I89*C89,1))</f>
        <v>0</v>
      </c>
      <c r="K89" s="58">
        <v>0</v>
      </c>
      <c r="L89" s="90">
        <f>IF(C89=0,0,ROUNDDOWN(K89*C89,1))</f>
        <v>0</v>
      </c>
      <c r="M89" s="23" t="s">
        <v>1048</v>
      </c>
      <c r="N89" s="17" t="s">
        <v>1080</v>
      </c>
      <c r="O89" s="7" t="s">
        <v>1047</v>
      </c>
      <c r="P89" s="7" t="s">
        <v>1011</v>
      </c>
      <c r="Q89" s="7" t="s">
        <v>996</v>
      </c>
      <c r="Z89" s="3" t="str">
        <f ca="1">HYPERLINK("#"&amp;노무비목록표!G2&amp;"!A"&amp;ROW(노무비목록표!A6),"L00005 →")</f>
        <v>L00005 →</v>
      </c>
    </row>
    <row r="90" spans="1:26" ht="28.7" customHeight="1" x14ac:dyDescent="0.3">
      <c r="A90" s="10" t="s">
        <v>586</v>
      </c>
      <c r="B90" s="10"/>
      <c r="C90" s="85">
        <v>3.5999999999999997E-2</v>
      </c>
      <c r="D90" s="32" t="s">
        <v>565</v>
      </c>
      <c r="E90" s="62">
        <f t="shared" si="9"/>
        <v>169804</v>
      </c>
      <c r="F90" s="90">
        <f t="shared" si="9"/>
        <v>6112.9</v>
      </c>
      <c r="G90" s="91">
        <f>노무비목록표!E11</f>
        <v>169804</v>
      </c>
      <c r="H90" s="93">
        <f>IF(C90=0,0,ROUNDDOWN(G90*C90,1))</f>
        <v>6112.9</v>
      </c>
      <c r="I90" s="58">
        <v>0</v>
      </c>
      <c r="J90" s="89">
        <f>IF(C90=0,0,ROUNDDOWN(I90*C90,1))</f>
        <v>0</v>
      </c>
      <c r="K90" s="58">
        <v>0</v>
      </c>
      <c r="L90" s="90">
        <f>IF(C90=0,0,ROUNDDOWN(K90*C90,1))</f>
        <v>0</v>
      </c>
      <c r="M90" s="23" t="s">
        <v>1019</v>
      </c>
      <c r="N90" s="17" t="s">
        <v>1017</v>
      </c>
      <c r="O90" s="7" t="s">
        <v>1018</v>
      </c>
      <c r="P90" s="7" t="s">
        <v>1011</v>
      </c>
      <c r="Q90" s="7" t="s">
        <v>996</v>
      </c>
      <c r="Z90" s="3" t="str">
        <f ca="1">HYPERLINK("#"&amp;노무비목록표!G2&amp;"!A"&amp;ROW(노무비목록표!A11),"L00016 →")</f>
        <v>L00016 →</v>
      </c>
    </row>
    <row r="91" spans="1:26" ht="28.7" customHeight="1" x14ac:dyDescent="0.3">
      <c r="A91" s="10" t="s">
        <v>397</v>
      </c>
      <c r="B91" s="10"/>
      <c r="C91" s="85">
        <v>0.27</v>
      </c>
      <c r="D91" s="32" t="s">
        <v>302</v>
      </c>
      <c r="E91" s="62">
        <f t="shared" si="9"/>
        <v>108745</v>
      </c>
      <c r="F91" s="90">
        <f t="shared" si="9"/>
        <v>29360.9</v>
      </c>
      <c r="G91" s="91">
        <f>중기목록표!F26</f>
        <v>57077</v>
      </c>
      <c r="H91" s="92">
        <f>IF(C91=0,0,ROUNDDOWN(G91*C91,1))</f>
        <v>15410.7</v>
      </c>
      <c r="I91" s="91">
        <f>중기목록표!G26</f>
        <v>19547</v>
      </c>
      <c r="J91" s="92">
        <f>IF(C91=0,0,ROUNDDOWN(I91*C91,1))</f>
        <v>5277.6</v>
      </c>
      <c r="K91" s="91">
        <f>중기목록표!H26</f>
        <v>32121</v>
      </c>
      <c r="L91" s="92">
        <f>IF(C91=0,0,ROUNDDOWN(K91*C91,1))</f>
        <v>8672.6</v>
      </c>
      <c r="M91" s="23" t="s">
        <v>1051</v>
      </c>
      <c r="N91" s="17" t="s">
        <v>1081</v>
      </c>
      <c r="O91" s="7" t="s">
        <v>1050</v>
      </c>
      <c r="P91" s="7" t="s">
        <v>1011</v>
      </c>
      <c r="Q91" s="7" t="s">
        <v>996</v>
      </c>
      <c r="Z91" s="3" t="str">
        <f ca="1">HYPERLINK("#"&amp;중기목록표!J2&amp;"!A"&amp;ROW(중기목록표!A26),"X00750 →")</f>
        <v>X00750 →</v>
      </c>
    </row>
    <row r="92" spans="1:26" ht="28.7" customHeight="1" x14ac:dyDescent="0.3">
      <c r="A92" s="23" t="s">
        <v>6</v>
      </c>
      <c r="B92" s="56"/>
      <c r="C92" s="56"/>
      <c r="D92" s="56"/>
      <c r="E92" s="56"/>
      <c r="F92" s="54">
        <f>J92+H92+L92</f>
        <v>54642</v>
      </c>
      <c r="G92" s="56"/>
      <c r="H92" s="54">
        <f>ROUNDDOWN(SUMIF(P88:P91,O92,H88:H91),0)</f>
        <v>40693</v>
      </c>
      <c r="I92" s="56"/>
      <c r="J92" s="54">
        <f>ROUNDDOWN(SUMIF(P88:P91,O92,J88:J91),0)</f>
        <v>5277</v>
      </c>
      <c r="K92" s="56"/>
      <c r="L92" s="54">
        <f>ROUNDDOWN(SUMIF(P88:P91,O92,L88:L91),0)</f>
        <v>8672</v>
      </c>
      <c r="M92" s="56"/>
      <c r="O92" s="7" t="s">
        <v>1011</v>
      </c>
    </row>
    <row r="93" spans="1:26" ht="28.7" customHeight="1" x14ac:dyDescent="0.3">
      <c r="A93" s="82" t="s">
        <v>70</v>
      </c>
      <c r="B93" s="82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97" t="str">
        <f>HYPERLINK("#N"&amp;ROW(N98),"_x0005_`BDCOD|B01680_x0007_`POSS|"&amp;ROW(N95)&amp;"_x0007_`POSE|"&amp;ROW(N98)&amp;"_x0007_`")</f>
        <v>_x0005_`BDCOD|B01680_x0007_`POSS|95_x0007_`POSE|98_x0007_`</v>
      </c>
    </row>
    <row r="94" spans="1:26" ht="28.7" customHeight="1" x14ac:dyDescent="0.3">
      <c r="A94" s="43" t="s">
        <v>72</v>
      </c>
      <c r="B94" s="43" t="s">
        <v>73</v>
      </c>
      <c r="C94" s="84"/>
      <c r="D94" s="87" t="s">
        <v>14</v>
      </c>
      <c r="E94" s="84"/>
      <c r="F94" s="84"/>
      <c r="G94" s="84"/>
      <c r="H94" s="84"/>
      <c r="I94" s="84"/>
      <c r="J94" s="84"/>
      <c r="K94" s="84"/>
      <c r="L94" s="84"/>
      <c r="M94" s="87" t="s">
        <v>74</v>
      </c>
      <c r="O94" s="7" t="s">
        <v>74</v>
      </c>
    </row>
    <row r="95" spans="1:26" ht="28.7" customHeight="1" x14ac:dyDescent="0.3">
      <c r="A95" s="10" t="s">
        <v>1082</v>
      </c>
      <c r="B95" s="10"/>
      <c r="C95" s="85">
        <v>0</v>
      </c>
      <c r="D95" s="32"/>
      <c r="E95" s="22">
        <v>0</v>
      </c>
      <c r="F95" s="11">
        <v>0</v>
      </c>
      <c r="G95" s="45"/>
      <c r="H95" s="11">
        <v>0</v>
      </c>
      <c r="I95" s="45"/>
      <c r="J95" s="22">
        <v>0</v>
      </c>
      <c r="K95" s="51"/>
      <c r="L95" s="22">
        <v>0</v>
      </c>
      <c r="M95" s="23" t="s">
        <v>994</v>
      </c>
      <c r="N95" s="17" t="s">
        <v>992</v>
      </c>
      <c r="O95" s="7" t="s">
        <v>993</v>
      </c>
      <c r="P95" s="7" t="s">
        <v>993</v>
      </c>
    </row>
    <row r="96" spans="1:26" ht="28.7" customHeight="1" x14ac:dyDescent="0.3">
      <c r="A96" s="10" t="s">
        <v>571</v>
      </c>
      <c r="B96" s="10"/>
      <c r="C96" s="85">
        <v>0.09</v>
      </c>
      <c r="D96" s="32" t="s">
        <v>565</v>
      </c>
      <c r="E96" s="62">
        <f t="shared" ref="E96:F98" si="10">I96+G96+K96</f>
        <v>266246</v>
      </c>
      <c r="F96" s="90">
        <f t="shared" si="10"/>
        <v>23962.1</v>
      </c>
      <c r="G96" s="91">
        <f>노무비목록표!E6</f>
        <v>266246</v>
      </c>
      <c r="H96" s="93">
        <f>IF(C96=0,0,ROUNDDOWN(G96*C96,1))</f>
        <v>23962.1</v>
      </c>
      <c r="I96" s="58">
        <v>0</v>
      </c>
      <c r="J96" s="89">
        <f>IF(C96=0,0,ROUNDDOWN(I96*C96,1))</f>
        <v>0</v>
      </c>
      <c r="K96" s="58">
        <v>0</v>
      </c>
      <c r="L96" s="90">
        <f>IF(C96=0,0,ROUNDDOWN(K96*C96,1))</f>
        <v>0</v>
      </c>
      <c r="M96" s="23" t="s">
        <v>1048</v>
      </c>
      <c r="N96" s="17" t="s">
        <v>1080</v>
      </c>
      <c r="O96" s="7" t="s">
        <v>1047</v>
      </c>
      <c r="P96" s="7" t="s">
        <v>1011</v>
      </c>
      <c r="Q96" s="7" t="s">
        <v>996</v>
      </c>
      <c r="Z96" s="3" t="str">
        <f ca="1">HYPERLINK("#"&amp;노무비목록표!G2&amp;"!A"&amp;ROW(노무비목록표!A6),"L00005 →")</f>
        <v>L00005 →</v>
      </c>
    </row>
    <row r="97" spans="1:26" ht="28.7" customHeight="1" x14ac:dyDescent="0.3">
      <c r="A97" s="10" t="s">
        <v>586</v>
      </c>
      <c r="B97" s="10"/>
      <c r="C97" s="85">
        <v>0.04</v>
      </c>
      <c r="D97" s="32" t="s">
        <v>565</v>
      </c>
      <c r="E97" s="62">
        <f t="shared" si="10"/>
        <v>169804</v>
      </c>
      <c r="F97" s="90">
        <f t="shared" si="10"/>
        <v>6792.1</v>
      </c>
      <c r="G97" s="91">
        <f>노무비목록표!E11</f>
        <v>169804</v>
      </c>
      <c r="H97" s="93">
        <f>IF(C97=0,0,ROUNDDOWN(G97*C97,1))</f>
        <v>6792.1</v>
      </c>
      <c r="I97" s="58">
        <v>0</v>
      </c>
      <c r="J97" s="89">
        <f>IF(C97=0,0,ROUNDDOWN(I97*C97,1))</f>
        <v>0</v>
      </c>
      <c r="K97" s="58">
        <v>0</v>
      </c>
      <c r="L97" s="90">
        <f>IF(C97=0,0,ROUNDDOWN(K97*C97,1))</f>
        <v>0</v>
      </c>
      <c r="M97" s="23" t="s">
        <v>1019</v>
      </c>
      <c r="N97" s="17" t="s">
        <v>1017</v>
      </c>
      <c r="O97" s="7" t="s">
        <v>1018</v>
      </c>
      <c r="P97" s="7" t="s">
        <v>1011</v>
      </c>
      <c r="Q97" s="7" t="s">
        <v>996</v>
      </c>
      <c r="Z97" s="3" t="str">
        <f ca="1">HYPERLINK("#"&amp;노무비목록표!G2&amp;"!A"&amp;ROW(노무비목록표!A11),"L00016 →")</f>
        <v>L00016 →</v>
      </c>
    </row>
    <row r="98" spans="1:26" ht="28.7" customHeight="1" x14ac:dyDescent="0.3">
      <c r="A98" s="10" t="s">
        <v>370</v>
      </c>
      <c r="B98" s="10" t="s">
        <v>371</v>
      </c>
      <c r="C98" s="85">
        <v>0.37</v>
      </c>
      <c r="D98" s="32" t="s">
        <v>302</v>
      </c>
      <c r="E98" s="62">
        <f t="shared" si="10"/>
        <v>103087</v>
      </c>
      <c r="F98" s="90">
        <f t="shared" si="10"/>
        <v>38142</v>
      </c>
      <c r="G98" s="91">
        <f>중기목록표!F20</f>
        <v>57077</v>
      </c>
      <c r="H98" s="92">
        <f>IF(C98=0,0,ROUNDDOWN(G98*C98,1))</f>
        <v>21118.400000000001</v>
      </c>
      <c r="I98" s="91">
        <f>중기목록표!G20</f>
        <v>19547</v>
      </c>
      <c r="J98" s="92">
        <f>IF(C98=0,0,ROUNDDOWN(I98*C98,1))</f>
        <v>7232.3</v>
      </c>
      <c r="K98" s="91">
        <f>중기목록표!H20</f>
        <v>26463</v>
      </c>
      <c r="L98" s="92">
        <f>IF(C98=0,0,ROUNDDOWN(K98*C98,1))</f>
        <v>9791.2999999999993</v>
      </c>
      <c r="M98" s="23" t="s">
        <v>1085</v>
      </c>
      <c r="N98" s="17" t="s">
        <v>1083</v>
      </c>
      <c r="O98" s="7" t="s">
        <v>1084</v>
      </c>
      <c r="P98" s="7" t="s">
        <v>1011</v>
      </c>
      <c r="Q98" s="7" t="s">
        <v>996</v>
      </c>
      <c r="Z98" s="3" t="str">
        <f ca="1">HYPERLINK("#"&amp;중기목록표!J2&amp;"!A"&amp;ROW(중기목록표!A20),"X00283 →")</f>
        <v>X00283 →</v>
      </c>
    </row>
    <row r="99" spans="1:26" ht="28.7" customHeight="1" x14ac:dyDescent="0.3">
      <c r="A99" s="23" t="s">
        <v>6</v>
      </c>
      <c r="B99" s="56"/>
      <c r="C99" s="56"/>
      <c r="D99" s="56"/>
      <c r="E99" s="56"/>
      <c r="F99" s="54">
        <f>J99+H99+L99</f>
        <v>68895</v>
      </c>
      <c r="G99" s="56"/>
      <c r="H99" s="54">
        <f>ROUNDDOWN(SUMIF(P95:P98,O99,H95:H98),0)</f>
        <v>51872</v>
      </c>
      <c r="I99" s="56"/>
      <c r="J99" s="54">
        <f>ROUNDDOWN(SUMIF(P95:P98,O99,J95:J98),0)</f>
        <v>7232</v>
      </c>
      <c r="K99" s="56"/>
      <c r="L99" s="54">
        <f>ROUNDDOWN(SUMIF(P95:P98,O99,L95:L98),0)</f>
        <v>9791</v>
      </c>
      <c r="M99" s="56"/>
      <c r="O99" s="7" t="s">
        <v>1011</v>
      </c>
    </row>
    <row r="100" spans="1:26" ht="28.7" customHeight="1" x14ac:dyDescent="0.3">
      <c r="A100" s="82" t="s">
        <v>75</v>
      </c>
      <c r="B100" s="82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97" t="str">
        <f>HYPERLINK("#N"&amp;ROW(N106),"_x0005_`BDCOD|B02119_x0007_`POSS|"&amp;ROW(N102)&amp;"_x0007_`POSE|"&amp;ROW(N106)&amp;"_x0007_`")</f>
        <v>_x0005_`BDCOD|B02119_x0007_`POSS|102_x0007_`POSE|106_x0007_`</v>
      </c>
    </row>
    <row r="101" spans="1:26" ht="28.7" customHeight="1" x14ac:dyDescent="0.3">
      <c r="A101" s="43" t="s">
        <v>48</v>
      </c>
      <c r="B101" s="43" t="s">
        <v>49</v>
      </c>
      <c r="C101" s="84"/>
      <c r="D101" s="87" t="s">
        <v>50</v>
      </c>
      <c r="E101" s="84"/>
      <c r="F101" s="84"/>
      <c r="G101" s="84"/>
      <c r="H101" s="84"/>
      <c r="I101" s="84"/>
      <c r="J101" s="84"/>
      <c r="K101" s="84"/>
      <c r="L101" s="84"/>
      <c r="M101" s="87" t="s">
        <v>77</v>
      </c>
      <c r="O101" s="7" t="s">
        <v>77</v>
      </c>
    </row>
    <row r="102" spans="1:26" ht="28.7" customHeight="1" x14ac:dyDescent="0.3">
      <c r="A102" s="10" t="s">
        <v>463</v>
      </c>
      <c r="B102" s="10" t="s">
        <v>445</v>
      </c>
      <c r="C102" s="85">
        <v>1</v>
      </c>
      <c r="D102" s="32" t="s">
        <v>414</v>
      </c>
      <c r="E102" s="62">
        <f t="shared" ref="E102:F106" si="11">I102+G102+K102</f>
        <v>0</v>
      </c>
      <c r="F102" s="89">
        <f t="shared" si="11"/>
        <v>0</v>
      </c>
      <c r="G102" s="58">
        <v>0</v>
      </c>
      <c r="H102" s="90">
        <f>IF(C102=0,0,ROUNDDOWN(G102*C102,1))</f>
        <v>0</v>
      </c>
      <c r="I102" s="91">
        <f>재료비목록표!E17</f>
        <v>0</v>
      </c>
      <c r="J102" s="93">
        <f>IF(C102=0,0,ROUNDDOWN(I102*C102,1))</f>
        <v>0</v>
      </c>
      <c r="K102" s="58">
        <v>0</v>
      </c>
      <c r="L102" s="90">
        <f>IF(C102=0,0,ROUNDDOWN(K102*C102,1))</f>
        <v>0</v>
      </c>
      <c r="M102" s="23" t="s">
        <v>1088</v>
      </c>
      <c r="N102" s="17" t="s">
        <v>1086</v>
      </c>
      <c r="O102" s="7" t="s">
        <v>1087</v>
      </c>
      <c r="P102" s="7" t="s">
        <v>1011</v>
      </c>
      <c r="Z102" s="3" t="str">
        <f ca="1">HYPERLINK("#"&amp;재료비목록표!G2&amp;"!A"&amp;ROW(재료비목록표!A17),"M00214 →")</f>
        <v>M00214 →</v>
      </c>
    </row>
    <row r="103" spans="1:26" ht="28.7" customHeight="1" x14ac:dyDescent="0.3">
      <c r="A103" s="10" t="s">
        <v>48</v>
      </c>
      <c r="B103" s="10" t="s">
        <v>49</v>
      </c>
      <c r="C103" s="85">
        <v>1</v>
      </c>
      <c r="D103" s="32" t="s">
        <v>50</v>
      </c>
      <c r="E103" s="62">
        <f t="shared" si="11"/>
        <v>16519</v>
      </c>
      <c r="F103" s="90">
        <f t="shared" si="11"/>
        <v>16519</v>
      </c>
      <c r="G103" s="91">
        <f>일위대가목록표!F11</f>
        <v>15477</v>
      </c>
      <c r="H103" s="92">
        <f>IF(C103=0,0,ROUNDDOWN(G103*C103,1))</f>
        <v>15477</v>
      </c>
      <c r="I103" s="91">
        <f>일위대가목록표!G11</f>
        <v>345</v>
      </c>
      <c r="J103" s="92">
        <f>IF(C103=0,0,ROUNDDOWN(I103*C103,1))</f>
        <v>345</v>
      </c>
      <c r="K103" s="91">
        <f>일위대가목록표!H11</f>
        <v>697</v>
      </c>
      <c r="L103" s="92">
        <f>IF(C103=0,0,ROUNDDOWN(K103*C103,1))</f>
        <v>697</v>
      </c>
      <c r="M103" s="23" t="s">
        <v>1091</v>
      </c>
      <c r="N103" s="17" t="s">
        <v>1089</v>
      </c>
      <c r="O103" s="7" t="s">
        <v>1090</v>
      </c>
      <c r="P103" s="7" t="s">
        <v>1011</v>
      </c>
      <c r="Z103" s="3" t="str">
        <f ca="1">HYPERLINK("#"&amp;일위대가목록표!J2&amp;"!A"&amp;ROW(일위대가목록표!A11),"B00437 →")</f>
        <v>B00437 →</v>
      </c>
    </row>
    <row r="104" spans="1:26" ht="28.7" customHeight="1" x14ac:dyDescent="0.3">
      <c r="A104" s="10" t="s">
        <v>187</v>
      </c>
      <c r="B104" s="10" t="s">
        <v>188</v>
      </c>
      <c r="C104" s="85">
        <v>4.46</v>
      </c>
      <c r="D104" s="32" t="s">
        <v>26</v>
      </c>
      <c r="E104" s="62">
        <f t="shared" si="11"/>
        <v>4340</v>
      </c>
      <c r="F104" s="90">
        <f t="shared" si="11"/>
        <v>19356.199999999997</v>
      </c>
      <c r="G104" s="91">
        <f>단가산출근거목록표!F19</f>
        <v>2403</v>
      </c>
      <c r="H104" s="92">
        <f>IF(C104=0,0,ROUNDDOWN(G104*C104,1))</f>
        <v>10717.3</v>
      </c>
      <c r="I104" s="91">
        <f>단가산출근거목록표!G19</f>
        <v>823</v>
      </c>
      <c r="J104" s="92">
        <f>IF(C104=0,0,ROUNDDOWN(I104*C104,1))</f>
        <v>3670.5</v>
      </c>
      <c r="K104" s="91">
        <f>단가산출근거목록표!H19</f>
        <v>1114</v>
      </c>
      <c r="L104" s="92">
        <f>IF(C104=0,0,ROUNDDOWN(K104*C104,1))</f>
        <v>4968.3999999999996</v>
      </c>
      <c r="M104" s="23" t="s">
        <v>1094</v>
      </c>
      <c r="N104" s="17" t="s">
        <v>1092</v>
      </c>
      <c r="O104" s="7" t="s">
        <v>1093</v>
      </c>
      <c r="P104" s="7" t="s">
        <v>1011</v>
      </c>
      <c r="Z104" s="3" t="str">
        <f ca="1">HYPERLINK("#"&amp;단가산출근거목록표!J2&amp;"!A"&amp;ROW(단가산출근거목록표!A19),"D01456 →")</f>
        <v>D01456 →</v>
      </c>
    </row>
    <row r="105" spans="1:26" ht="28.7" customHeight="1" x14ac:dyDescent="0.3">
      <c r="A105" s="10" t="s">
        <v>191</v>
      </c>
      <c r="B105" s="10" t="s">
        <v>188</v>
      </c>
      <c r="C105" s="85">
        <v>3.96</v>
      </c>
      <c r="D105" s="32" t="s">
        <v>26</v>
      </c>
      <c r="E105" s="62">
        <f t="shared" si="11"/>
        <v>4192</v>
      </c>
      <c r="F105" s="90">
        <f t="shared" si="11"/>
        <v>16600.2</v>
      </c>
      <c r="G105" s="91">
        <f>단가산출근거목록표!F20</f>
        <v>2923</v>
      </c>
      <c r="H105" s="92">
        <f>IF(C105=0,0,ROUNDDOWN(G105*C105,1))</f>
        <v>11575</v>
      </c>
      <c r="I105" s="91">
        <f>단가산출근거목록표!G20</f>
        <v>539</v>
      </c>
      <c r="J105" s="92">
        <f>IF(C105=0,0,ROUNDDOWN(I105*C105,1))</f>
        <v>2134.4</v>
      </c>
      <c r="K105" s="91">
        <f>단가산출근거목록표!H20</f>
        <v>730</v>
      </c>
      <c r="L105" s="92">
        <f>IF(C105=0,0,ROUNDDOWN(K105*C105,1))</f>
        <v>2890.8</v>
      </c>
      <c r="M105" s="23" t="s">
        <v>1097</v>
      </c>
      <c r="N105" s="17" t="s">
        <v>1095</v>
      </c>
      <c r="O105" s="7" t="s">
        <v>1096</v>
      </c>
      <c r="P105" s="7" t="s">
        <v>1011</v>
      </c>
      <c r="Z105" s="3" t="str">
        <f ca="1">HYPERLINK("#"&amp;단가산출근거목록표!J2&amp;"!A"&amp;ROW(단가산출근거목록표!A20),"D01474 →")</f>
        <v>D01474 →</v>
      </c>
    </row>
    <row r="106" spans="1:26" ht="28.7" customHeight="1" x14ac:dyDescent="0.3">
      <c r="A106" s="10" t="s">
        <v>194</v>
      </c>
      <c r="B106" s="10" t="s">
        <v>188</v>
      </c>
      <c r="C106" s="85">
        <v>0.5</v>
      </c>
      <c r="D106" s="32" t="s">
        <v>26</v>
      </c>
      <c r="E106" s="62">
        <f t="shared" si="11"/>
        <v>1192</v>
      </c>
      <c r="F106" s="90">
        <f t="shared" si="11"/>
        <v>596</v>
      </c>
      <c r="G106" s="91">
        <f>단가산출근거목록표!F21</f>
        <v>660</v>
      </c>
      <c r="H106" s="92">
        <f>IF(C106=0,0,ROUNDDOWN(G106*C106,1))</f>
        <v>330</v>
      </c>
      <c r="I106" s="91">
        <f>단가산출근거목록표!G21</f>
        <v>226</v>
      </c>
      <c r="J106" s="92">
        <f>IF(C106=0,0,ROUNDDOWN(I106*C106,1))</f>
        <v>113</v>
      </c>
      <c r="K106" s="91">
        <f>단가산출근거목록표!H21</f>
        <v>306</v>
      </c>
      <c r="L106" s="92">
        <f>IF(C106=0,0,ROUNDDOWN(K106*C106,1))</f>
        <v>153</v>
      </c>
      <c r="M106" s="23" t="s">
        <v>1100</v>
      </c>
      <c r="N106" s="17" t="s">
        <v>1098</v>
      </c>
      <c r="O106" s="7" t="s">
        <v>1099</v>
      </c>
      <c r="P106" s="7" t="s">
        <v>1011</v>
      </c>
      <c r="Z106" s="3" t="str">
        <f ca="1">HYPERLINK("#"&amp;단가산출근거목록표!J2&amp;"!A"&amp;ROW(단가산출근거목록표!A21),"D01475 →")</f>
        <v>D01475 →</v>
      </c>
    </row>
    <row r="107" spans="1:26" ht="28.7" customHeight="1" x14ac:dyDescent="0.3">
      <c r="A107" s="23" t="s">
        <v>1101</v>
      </c>
      <c r="B107" s="56"/>
      <c r="C107" s="56"/>
      <c r="D107" s="56"/>
      <c r="E107" s="56"/>
      <c r="F107" s="54">
        <f>J107+H107+L107</f>
        <v>53070</v>
      </c>
      <c r="G107" s="56"/>
      <c r="H107" s="54">
        <f>ROUNDDOWN(SUMIF(P102:P106,O107,H102:H106),0)</f>
        <v>38099</v>
      </c>
      <c r="I107" s="56"/>
      <c r="J107" s="54">
        <f>ROUNDDOWN(SUMIF(P102:P106,O107,J102:J106),0)</f>
        <v>6262</v>
      </c>
      <c r="K107" s="56"/>
      <c r="L107" s="54">
        <f>ROUNDDOWN(SUMIF(P102:P106,O107,L102:L106),0)</f>
        <v>8709</v>
      </c>
      <c r="M107" s="56"/>
      <c r="O107" s="7" t="s">
        <v>1011</v>
      </c>
      <c r="P107" s="7" t="s">
        <v>1102</v>
      </c>
    </row>
    <row r="108" spans="1:26" ht="28.7" customHeight="1" x14ac:dyDescent="0.3">
      <c r="A108" s="14" t="s">
        <v>1103</v>
      </c>
      <c r="B108" s="14"/>
      <c r="C108" s="86">
        <v>87.745000000000005</v>
      </c>
      <c r="D108" s="14"/>
      <c r="E108" s="88"/>
      <c r="F108" s="72">
        <f>J108+H108+L108</f>
        <v>46564</v>
      </c>
      <c r="G108" s="88"/>
      <c r="H108" s="72">
        <f>ROUNDDOWN(H107*C108/100,0)</f>
        <v>33429</v>
      </c>
      <c r="I108" s="88"/>
      <c r="J108" s="72">
        <f>ROUNDDOWN(J107*C108/100,0)</f>
        <v>5494</v>
      </c>
      <c r="K108" s="88"/>
      <c r="L108" s="72">
        <f>ROUNDDOWN(L107*C108/100,0)</f>
        <v>7641</v>
      </c>
      <c r="M108" s="88"/>
      <c r="O108" s="7" t="s">
        <v>1102</v>
      </c>
    </row>
    <row r="109" spans="1:26" ht="28.7" customHeight="1" x14ac:dyDescent="0.3">
      <c r="A109" s="82" t="s">
        <v>78</v>
      </c>
      <c r="B109" s="82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97" t="str">
        <f>HYPERLINK("#N"&amp;ROW(N121),"_x0005_`BDCOD|B02120_x0007_`POSS|"&amp;ROW(N111)&amp;"_x0007_`POSE|"&amp;ROW(N121)&amp;"_x0007_`")</f>
        <v>_x0005_`BDCOD|B02120_x0007_`POSS|111_x0007_`POSE|121_x0007_`</v>
      </c>
    </row>
    <row r="110" spans="1:26" ht="28.7" customHeight="1" x14ac:dyDescent="0.3">
      <c r="A110" s="43" t="s">
        <v>80</v>
      </c>
      <c r="B110" s="43" t="s">
        <v>81</v>
      </c>
      <c r="C110" s="84"/>
      <c r="D110" s="87" t="s">
        <v>82</v>
      </c>
      <c r="E110" s="84"/>
      <c r="F110" s="84"/>
      <c r="G110" s="84"/>
      <c r="H110" s="84"/>
      <c r="I110" s="84"/>
      <c r="J110" s="84"/>
      <c r="K110" s="84"/>
      <c r="L110" s="84"/>
      <c r="M110" s="87" t="s">
        <v>83</v>
      </c>
      <c r="O110" s="7" t="s">
        <v>83</v>
      </c>
    </row>
    <row r="111" spans="1:26" ht="28.7" customHeight="1" x14ac:dyDescent="0.3">
      <c r="A111" s="10" t="s">
        <v>490</v>
      </c>
      <c r="B111" s="10" t="s">
        <v>491</v>
      </c>
      <c r="C111" s="85">
        <v>11</v>
      </c>
      <c r="D111" s="32" t="s">
        <v>14</v>
      </c>
      <c r="E111" s="62">
        <f t="shared" ref="E111:E121" si="12">I111+G111+K111</f>
        <v>0</v>
      </c>
      <c r="F111" s="89">
        <f t="shared" ref="F111:F121" si="13">J111+H111+L111</f>
        <v>0</v>
      </c>
      <c r="G111" s="58">
        <v>0</v>
      </c>
      <c r="H111" s="90">
        <f t="shared" ref="H111:H121" si="14">IF(C111=0,0,ROUNDDOWN(G111*C111,1))</f>
        <v>0</v>
      </c>
      <c r="I111" s="91">
        <f>재료비목록표!E24</f>
        <v>0</v>
      </c>
      <c r="J111" s="93">
        <f t="shared" ref="J111:J121" si="15">IF(C111=0,0,ROUNDDOWN(I111*C111,1))</f>
        <v>0</v>
      </c>
      <c r="K111" s="58">
        <v>0</v>
      </c>
      <c r="L111" s="90">
        <f t="shared" ref="L111:L121" si="16">IF(C111=0,0,ROUNDDOWN(K111*C111,1))</f>
        <v>0</v>
      </c>
      <c r="M111" s="23" t="s">
        <v>1106</v>
      </c>
      <c r="N111" s="17" t="s">
        <v>1104</v>
      </c>
      <c r="O111" s="7" t="s">
        <v>1105</v>
      </c>
      <c r="P111" s="7" t="s">
        <v>1011</v>
      </c>
      <c r="Z111" s="3" t="str">
        <f ca="1">HYPERLINK("#"&amp;재료비목록표!G2&amp;"!A"&amp;ROW(재료비목록표!A24),"M00453 →")</f>
        <v>M00453 →</v>
      </c>
    </row>
    <row r="112" spans="1:26" ht="28.7" customHeight="1" x14ac:dyDescent="0.3">
      <c r="A112" s="10" t="s">
        <v>67</v>
      </c>
      <c r="B112" s="10" t="s">
        <v>68</v>
      </c>
      <c r="C112" s="85">
        <v>11</v>
      </c>
      <c r="D112" s="32" t="s">
        <v>14</v>
      </c>
      <c r="E112" s="62">
        <f t="shared" si="12"/>
        <v>54642</v>
      </c>
      <c r="F112" s="90">
        <f t="shared" si="13"/>
        <v>601062</v>
      </c>
      <c r="G112" s="91">
        <f>일위대가목록표!F15</f>
        <v>40693</v>
      </c>
      <c r="H112" s="92">
        <f t="shared" si="14"/>
        <v>447623</v>
      </c>
      <c r="I112" s="91">
        <f>일위대가목록표!G15</f>
        <v>5277</v>
      </c>
      <c r="J112" s="92">
        <f t="shared" si="15"/>
        <v>58047</v>
      </c>
      <c r="K112" s="91">
        <f>일위대가목록표!H15</f>
        <v>8672</v>
      </c>
      <c r="L112" s="92">
        <f t="shared" si="16"/>
        <v>95392</v>
      </c>
      <c r="M112" s="23" t="s">
        <v>1109</v>
      </c>
      <c r="N112" s="17" t="s">
        <v>1107</v>
      </c>
      <c r="O112" s="7" t="s">
        <v>1108</v>
      </c>
      <c r="P112" s="7" t="s">
        <v>1011</v>
      </c>
      <c r="Z112" s="3" t="str">
        <f ca="1">HYPERLINK("#"&amp;일위대가목록표!J2&amp;"!A"&amp;ROW(일위대가목록표!A15),"B01608 →")</f>
        <v>B01608 →</v>
      </c>
    </row>
    <row r="113" spans="1:26" ht="28.7" customHeight="1" x14ac:dyDescent="0.3">
      <c r="A113" s="10" t="s">
        <v>146</v>
      </c>
      <c r="B113" s="10" t="s">
        <v>147</v>
      </c>
      <c r="C113" s="85">
        <v>2.04</v>
      </c>
      <c r="D113" s="32" t="s">
        <v>26</v>
      </c>
      <c r="E113" s="62">
        <f t="shared" si="12"/>
        <v>8029</v>
      </c>
      <c r="F113" s="90">
        <f t="shared" si="13"/>
        <v>16379.000000000002</v>
      </c>
      <c r="G113" s="91">
        <f>단가산출근거목록표!F7</f>
        <v>6594</v>
      </c>
      <c r="H113" s="92">
        <f t="shared" si="14"/>
        <v>13451.7</v>
      </c>
      <c r="I113" s="91">
        <f>단가산출근거목록표!G7</f>
        <v>1118</v>
      </c>
      <c r="J113" s="92">
        <f t="shared" si="15"/>
        <v>2280.6999999999998</v>
      </c>
      <c r="K113" s="91">
        <f>단가산출근거목록표!H7</f>
        <v>317</v>
      </c>
      <c r="L113" s="92">
        <f t="shared" si="16"/>
        <v>646.6</v>
      </c>
      <c r="M113" s="23" t="s">
        <v>1112</v>
      </c>
      <c r="N113" s="17" t="s">
        <v>1110</v>
      </c>
      <c r="O113" s="7" t="s">
        <v>1111</v>
      </c>
      <c r="P113" s="7" t="s">
        <v>1011</v>
      </c>
      <c r="Z113" s="3" t="str">
        <f ca="1">HYPERLINK("#"&amp;단가산출근거목록표!J2&amp;"!A"&amp;ROW(단가산출근거목록표!A7),"D00492 →")</f>
        <v>D00492 →</v>
      </c>
    </row>
    <row r="114" spans="1:26" ht="28.7" customHeight="1" x14ac:dyDescent="0.3">
      <c r="A114" s="10" t="s">
        <v>24</v>
      </c>
      <c r="B114" s="10" t="s">
        <v>25</v>
      </c>
      <c r="C114" s="85">
        <v>0.1</v>
      </c>
      <c r="D114" s="32" t="s">
        <v>26</v>
      </c>
      <c r="E114" s="62">
        <f t="shared" si="12"/>
        <v>112070</v>
      </c>
      <c r="F114" s="90">
        <f t="shared" si="13"/>
        <v>11207</v>
      </c>
      <c r="G114" s="91">
        <f>일위대가목록표!F6</f>
        <v>112070</v>
      </c>
      <c r="H114" s="92">
        <f t="shared" si="14"/>
        <v>11207</v>
      </c>
      <c r="I114" s="91">
        <f>일위대가목록표!G6</f>
        <v>0</v>
      </c>
      <c r="J114" s="92">
        <f t="shared" si="15"/>
        <v>0</v>
      </c>
      <c r="K114" s="91">
        <f>일위대가목록표!H6</f>
        <v>0</v>
      </c>
      <c r="L114" s="92">
        <f t="shared" si="16"/>
        <v>0</v>
      </c>
      <c r="M114" s="23" t="s">
        <v>1115</v>
      </c>
      <c r="N114" s="17" t="s">
        <v>1113</v>
      </c>
      <c r="O114" s="7" t="s">
        <v>1114</v>
      </c>
      <c r="P114" s="7" t="s">
        <v>1011</v>
      </c>
      <c r="Z114" s="3" t="str">
        <f ca="1">HYPERLINK("#"&amp;일위대가목록표!J2&amp;"!A"&amp;ROW(일위대가목록표!A6),"B00048 →")</f>
        <v>B00048 →</v>
      </c>
    </row>
    <row r="115" spans="1:26" ht="28.7" customHeight="1" x14ac:dyDescent="0.3">
      <c r="A115" s="10" t="s">
        <v>139</v>
      </c>
      <c r="B115" s="10" t="s">
        <v>140</v>
      </c>
      <c r="C115" s="85">
        <v>1.65</v>
      </c>
      <c r="D115" s="32" t="s">
        <v>26</v>
      </c>
      <c r="E115" s="62">
        <f t="shared" si="12"/>
        <v>8029</v>
      </c>
      <c r="F115" s="90">
        <f t="shared" si="13"/>
        <v>13247.7</v>
      </c>
      <c r="G115" s="91">
        <f>단가산출근거목록표!F5</f>
        <v>4569</v>
      </c>
      <c r="H115" s="92">
        <f t="shared" si="14"/>
        <v>7538.8</v>
      </c>
      <c r="I115" s="91">
        <f>단가산출근거목록표!G5</f>
        <v>1539</v>
      </c>
      <c r="J115" s="92">
        <f t="shared" si="15"/>
        <v>2539.3000000000002</v>
      </c>
      <c r="K115" s="91">
        <f>단가산출근거목록표!H5</f>
        <v>1921</v>
      </c>
      <c r="L115" s="92">
        <f t="shared" si="16"/>
        <v>3169.6</v>
      </c>
      <c r="M115" s="23" t="s">
        <v>1118</v>
      </c>
      <c r="N115" s="17" t="s">
        <v>1116</v>
      </c>
      <c r="O115" s="7" t="s">
        <v>1117</v>
      </c>
      <c r="P115" s="7" t="s">
        <v>1011</v>
      </c>
      <c r="Z115" s="3" t="str">
        <f ca="1">HYPERLINK("#"&amp;단가산출근거목록표!J2&amp;"!A"&amp;ROW(단가산출근거목록표!A5),"D00091 →")</f>
        <v>D00091 →</v>
      </c>
    </row>
    <row r="116" spans="1:26" ht="28.7" customHeight="1" x14ac:dyDescent="0.3">
      <c r="A116" s="10" t="s">
        <v>143</v>
      </c>
      <c r="B116" s="10"/>
      <c r="C116" s="85">
        <v>4.1399999999999997</v>
      </c>
      <c r="D116" s="32" t="s">
        <v>26</v>
      </c>
      <c r="E116" s="62">
        <f t="shared" si="12"/>
        <v>12899</v>
      </c>
      <c r="F116" s="90">
        <f t="shared" si="13"/>
        <v>53401.700000000004</v>
      </c>
      <c r="G116" s="91">
        <f>단가산출근거목록표!F6</f>
        <v>8082</v>
      </c>
      <c r="H116" s="92">
        <f t="shared" si="14"/>
        <v>33459.4</v>
      </c>
      <c r="I116" s="91">
        <f>단가산출근거목록표!G6</f>
        <v>1892</v>
      </c>
      <c r="J116" s="92">
        <f t="shared" si="15"/>
        <v>7832.8</v>
      </c>
      <c r="K116" s="91">
        <f>단가산출근거목록표!H6</f>
        <v>2925</v>
      </c>
      <c r="L116" s="92">
        <f t="shared" si="16"/>
        <v>12109.5</v>
      </c>
      <c r="M116" s="23" t="s">
        <v>1121</v>
      </c>
      <c r="N116" s="17" t="s">
        <v>1119</v>
      </c>
      <c r="O116" s="7" t="s">
        <v>1120</v>
      </c>
      <c r="P116" s="7" t="s">
        <v>1011</v>
      </c>
      <c r="Z116" s="3" t="str">
        <f ca="1">HYPERLINK("#"&amp;단가산출근거목록표!J2&amp;"!A"&amp;ROW(단가산출근거목록표!A6),"D00408 →")</f>
        <v>D00408 →</v>
      </c>
    </row>
    <row r="117" spans="1:26" ht="28.7" customHeight="1" x14ac:dyDescent="0.3">
      <c r="A117" s="10" t="s">
        <v>154</v>
      </c>
      <c r="B117" s="10" t="s">
        <v>155</v>
      </c>
      <c r="C117" s="85">
        <v>4.1399999999999997</v>
      </c>
      <c r="D117" s="32" t="s">
        <v>26</v>
      </c>
      <c r="E117" s="62">
        <f t="shared" si="12"/>
        <v>4862</v>
      </c>
      <c r="F117" s="90">
        <f t="shared" si="13"/>
        <v>20128.600000000002</v>
      </c>
      <c r="G117" s="91">
        <f>단가산출근거목록표!F9</f>
        <v>3391</v>
      </c>
      <c r="H117" s="92">
        <f t="shared" si="14"/>
        <v>14038.7</v>
      </c>
      <c r="I117" s="91">
        <f>단가산출근거목록표!G9</f>
        <v>625</v>
      </c>
      <c r="J117" s="92">
        <f t="shared" si="15"/>
        <v>2587.5</v>
      </c>
      <c r="K117" s="91">
        <f>단가산출근거목록표!H9</f>
        <v>846</v>
      </c>
      <c r="L117" s="92">
        <f t="shared" si="16"/>
        <v>3502.4</v>
      </c>
      <c r="M117" s="23" t="s">
        <v>1124</v>
      </c>
      <c r="N117" s="17" t="s">
        <v>1122</v>
      </c>
      <c r="O117" s="7" t="s">
        <v>1123</v>
      </c>
      <c r="P117" s="7" t="s">
        <v>1011</v>
      </c>
      <c r="Z117" s="3" t="str">
        <f ca="1">HYPERLINK("#"&amp;단가산출근거목록표!J2&amp;"!A"&amp;ROW(단가산출근거목록표!A9),"D00867 →")</f>
        <v>D00867 →</v>
      </c>
    </row>
    <row r="118" spans="1:26" ht="28.7" customHeight="1" x14ac:dyDescent="0.3">
      <c r="A118" s="10" t="s">
        <v>528</v>
      </c>
      <c r="B118" s="10" t="s">
        <v>529</v>
      </c>
      <c r="C118" s="85">
        <v>4.8</v>
      </c>
      <c r="D118" s="32" t="s">
        <v>414</v>
      </c>
      <c r="E118" s="62">
        <f t="shared" si="12"/>
        <v>1912</v>
      </c>
      <c r="F118" s="89">
        <f t="shared" si="13"/>
        <v>9177.6</v>
      </c>
      <c r="G118" s="58">
        <v>0</v>
      </c>
      <c r="H118" s="90">
        <f t="shared" si="14"/>
        <v>0</v>
      </c>
      <c r="I118" s="91">
        <f>재료비목록표!E33</f>
        <v>1912</v>
      </c>
      <c r="J118" s="93">
        <f t="shared" si="15"/>
        <v>9177.6</v>
      </c>
      <c r="K118" s="58">
        <v>0</v>
      </c>
      <c r="L118" s="90">
        <f t="shared" si="16"/>
        <v>0</v>
      </c>
      <c r="M118" s="23" t="s">
        <v>1063</v>
      </c>
      <c r="N118" s="17" t="s">
        <v>1061</v>
      </c>
      <c r="O118" s="7" t="s">
        <v>1062</v>
      </c>
      <c r="P118" s="7" t="s">
        <v>1011</v>
      </c>
      <c r="Z118" s="3" t="str">
        <f ca="1">HYPERLINK("#"&amp;재료비목록표!G2&amp;"!A"&amp;ROW(재료비목록표!A33),"M01436 →")</f>
        <v>M01436 →</v>
      </c>
    </row>
    <row r="119" spans="1:26" ht="28.7" customHeight="1" x14ac:dyDescent="0.3">
      <c r="A119" s="10" t="s">
        <v>187</v>
      </c>
      <c r="B119" s="10" t="s">
        <v>188</v>
      </c>
      <c r="C119" s="85">
        <v>3.18</v>
      </c>
      <c r="D119" s="32" t="s">
        <v>26</v>
      </c>
      <c r="E119" s="62">
        <f t="shared" si="12"/>
        <v>4340</v>
      </c>
      <c r="F119" s="90">
        <f t="shared" si="13"/>
        <v>13801.1</v>
      </c>
      <c r="G119" s="91">
        <f>단가산출근거목록표!F19</f>
        <v>2403</v>
      </c>
      <c r="H119" s="92">
        <f t="shared" si="14"/>
        <v>7641.5</v>
      </c>
      <c r="I119" s="91">
        <f>단가산출근거목록표!G19</f>
        <v>823</v>
      </c>
      <c r="J119" s="92">
        <f t="shared" si="15"/>
        <v>2617.1</v>
      </c>
      <c r="K119" s="91">
        <f>단가산출근거목록표!H19</f>
        <v>1114</v>
      </c>
      <c r="L119" s="92">
        <f t="shared" si="16"/>
        <v>3542.5</v>
      </c>
      <c r="M119" s="23" t="s">
        <v>1094</v>
      </c>
      <c r="N119" s="17" t="s">
        <v>1092</v>
      </c>
      <c r="O119" s="7" t="s">
        <v>1093</v>
      </c>
      <c r="P119" s="7" t="s">
        <v>1011</v>
      </c>
      <c r="Z119" s="3" t="str">
        <f ca="1">HYPERLINK("#"&amp;단가산출근거목록표!J2&amp;"!A"&amp;ROW(단가산출근거목록표!A19),"D01456 →")</f>
        <v>D01456 →</v>
      </c>
    </row>
    <row r="120" spans="1:26" ht="28.7" customHeight="1" x14ac:dyDescent="0.3">
      <c r="A120" s="10" t="s">
        <v>191</v>
      </c>
      <c r="B120" s="10" t="s">
        <v>188</v>
      </c>
      <c r="C120" s="85">
        <v>1.67</v>
      </c>
      <c r="D120" s="32" t="s">
        <v>26</v>
      </c>
      <c r="E120" s="62">
        <f t="shared" si="12"/>
        <v>4192</v>
      </c>
      <c r="F120" s="90">
        <f t="shared" si="13"/>
        <v>7000.6</v>
      </c>
      <c r="G120" s="91">
        <f>단가산출근거목록표!F20</f>
        <v>2923</v>
      </c>
      <c r="H120" s="92">
        <f t="shared" si="14"/>
        <v>4881.3999999999996</v>
      </c>
      <c r="I120" s="91">
        <f>단가산출근거목록표!G20</f>
        <v>539</v>
      </c>
      <c r="J120" s="92">
        <f t="shared" si="15"/>
        <v>900.1</v>
      </c>
      <c r="K120" s="91">
        <f>단가산출근거목록표!H20</f>
        <v>730</v>
      </c>
      <c r="L120" s="92">
        <f t="shared" si="16"/>
        <v>1219.0999999999999</v>
      </c>
      <c r="M120" s="23" t="s">
        <v>1097</v>
      </c>
      <c r="N120" s="17" t="s">
        <v>1095</v>
      </c>
      <c r="O120" s="7" t="s">
        <v>1096</v>
      </c>
      <c r="P120" s="7" t="s">
        <v>1011</v>
      </c>
      <c r="Z120" s="3" t="str">
        <f ca="1">HYPERLINK("#"&amp;단가산출근거목록표!J2&amp;"!A"&amp;ROW(단가산출근거목록표!A20),"D01474 →")</f>
        <v>D01474 →</v>
      </c>
    </row>
    <row r="121" spans="1:26" ht="28.7" customHeight="1" x14ac:dyDescent="0.3">
      <c r="A121" s="10" t="s">
        <v>194</v>
      </c>
      <c r="B121" s="10" t="s">
        <v>188</v>
      </c>
      <c r="C121" s="85">
        <v>2.83</v>
      </c>
      <c r="D121" s="32" t="s">
        <v>26</v>
      </c>
      <c r="E121" s="62">
        <f t="shared" si="12"/>
        <v>1192</v>
      </c>
      <c r="F121" s="90">
        <f t="shared" si="13"/>
        <v>3373.2000000000003</v>
      </c>
      <c r="G121" s="91">
        <f>단가산출근거목록표!F21</f>
        <v>660</v>
      </c>
      <c r="H121" s="92">
        <f t="shared" si="14"/>
        <v>1867.8</v>
      </c>
      <c r="I121" s="91">
        <f>단가산출근거목록표!G21</f>
        <v>226</v>
      </c>
      <c r="J121" s="92">
        <f t="shared" si="15"/>
        <v>639.5</v>
      </c>
      <c r="K121" s="91">
        <f>단가산출근거목록표!H21</f>
        <v>306</v>
      </c>
      <c r="L121" s="92">
        <f t="shared" si="16"/>
        <v>865.9</v>
      </c>
      <c r="M121" s="23" t="s">
        <v>1100</v>
      </c>
      <c r="N121" s="17" t="s">
        <v>1098</v>
      </c>
      <c r="O121" s="7" t="s">
        <v>1099</v>
      </c>
      <c r="P121" s="7" t="s">
        <v>1011</v>
      </c>
      <c r="Z121" s="3" t="str">
        <f ca="1">HYPERLINK("#"&amp;단가산출근거목록표!J2&amp;"!A"&amp;ROW(단가산출근거목록표!A21),"D01475 →")</f>
        <v>D01475 →</v>
      </c>
    </row>
    <row r="122" spans="1:26" ht="28.7" customHeight="1" x14ac:dyDescent="0.3">
      <c r="A122" s="23" t="s">
        <v>1101</v>
      </c>
      <c r="B122" s="56"/>
      <c r="C122" s="56"/>
      <c r="D122" s="56"/>
      <c r="E122" s="56"/>
      <c r="F122" s="54">
        <f>J122+H122+L122</f>
        <v>748777</v>
      </c>
      <c r="G122" s="56"/>
      <c r="H122" s="54">
        <f>ROUNDDOWN(SUMIF(P111:P121,O122,H111:H121),0)</f>
        <v>541709</v>
      </c>
      <c r="I122" s="56"/>
      <c r="J122" s="54">
        <f>ROUNDDOWN(SUMIF(P111:P121,O122,J111:J121),0)</f>
        <v>86621</v>
      </c>
      <c r="K122" s="56"/>
      <c r="L122" s="54">
        <f>ROUNDDOWN(SUMIF(P111:P121,O122,L111:L121),0)</f>
        <v>120447</v>
      </c>
      <c r="M122" s="56"/>
      <c r="O122" s="7" t="s">
        <v>1011</v>
      </c>
      <c r="P122" s="7" t="s">
        <v>1102</v>
      </c>
    </row>
    <row r="123" spans="1:26" ht="28.7" customHeight="1" x14ac:dyDescent="0.3">
      <c r="A123" s="14" t="s">
        <v>1103</v>
      </c>
      <c r="B123" s="14"/>
      <c r="C123" s="86">
        <v>87.745000000000005</v>
      </c>
      <c r="D123" s="14"/>
      <c r="E123" s="88"/>
      <c r="F123" s="72">
        <f>J123+H123+L123</f>
        <v>657013</v>
      </c>
      <c r="G123" s="88"/>
      <c r="H123" s="72">
        <f>ROUNDDOWN(H122*C123/100,0)</f>
        <v>475322</v>
      </c>
      <c r="I123" s="88"/>
      <c r="J123" s="72">
        <f>ROUNDDOWN(J122*C123/100,0)</f>
        <v>76005</v>
      </c>
      <c r="K123" s="88"/>
      <c r="L123" s="72">
        <f>ROUNDDOWN(L122*C123/100,0)</f>
        <v>105686</v>
      </c>
      <c r="M123" s="88"/>
      <c r="O123" s="7" t="s">
        <v>1102</v>
      </c>
    </row>
    <row r="124" spans="1:26" ht="28.7" customHeight="1" x14ac:dyDescent="0.3">
      <c r="A124" s="82" t="s">
        <v>84</v>
      </c>
      <c r="B124" s="82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97" t="str">
        <f>HYPERLINK("#N"&amp;ROW(N130),"_x0005_`BDCOD|B02121_x0007_`POSS|"&amp;ROW(N126)&amp;"_x0007_`POSE|"&amp;ROW(N130)&amp;"_x0007_`")</f>
        <v>_x0005_`BDCOD|B02121_x0007_`POSS|126_x0007_`POSE|130_x0007_`</v>
      </c>
    </row>
    <row r="125" spans="1:26" ht="28.7" customHeight="1" x14ac:dyDescent="0.3">
      <c r="A125" s="43" t="s">
        <v>86</v>
      </c>
      <c r="B125" s="43" t="s">
        <v>87</v>
      </c>
      <c r="C125" s="84"/>
      <c r="D125" s="87" t="s">
        <v>50</v>
      </c>
      <c r="E125" s="84"/>
      <c r="F125" s="84"/>
      <c r="G125" s="84"/>
      <c r="H125" s="84"/>
      <c r="I125" s="84"/>
      <c r="J125" s="84"/>
      <c r="K125" s="84"/>
      <c r="L125" s="84"/>
      <c r="M125" s="87" t="s">
        <v>88</v>
      </c>
      <c r="O125" s="7" t="s">
        <v>88</v>
      </c>
    </row>
    <row r="126" spans="1:26" ht="28.7" customHeight="1" x14ac:dyDescent="0.3">
      <c r="A126" s="10" t="s">
        <v>170</v>
      </c>
      <c r="B126" s="10" t="s">
        <v>171</v>
      </c>
      <c r="C126" s="85">
        <v>0.31</v>
      </c>
      <c r="D126" s="32" t="s">
        <v>26</v>
      </c>
      <c r="E126" s="62">
        <f t="shared" ref="E126:F130" si="17">I126+G126+K126</f>
        <v>28767</v>
      </c>
      <c r="F126" s="90">
        <f t="shared" si="17"/>
        <v>8917.7000000000007</v>
      </c>
      <c r="G126" s="91">
        <f>단가산출근거목록표!F14</f>
        <v>22622</v>
      </c>
      <c r="H126" s="92">
        <f>IF(C126=0,0,ROUNDDOWN(G126*C126,1))</f>
        <v>7012.8</v>
      </c>
      <c r="I126" s="91">
        <f>단가산출근거목록표!G14</f>
        <v>2480</v>
      </c>
      <c r="J126" s="92">
        <f>IF(C126=0,0,ROUNDDOWN(I126*C126,1))</f>
        <v>768.8</v>
      </c>
      <c r="K126" s="91">
        <f>단가산출근거목록표!H14</f>
        <v>3665</v>
      </c>
      <c r="L126" s="92">
        <f>IF(C126=0,0,ROUNDDOWN(K126*C126,1))</f>
        <v>1136.0999999999999</v>
      </c>
      <c r="M126" s="23" t="s">
        <v>1127</v>
      </c>
      <c r="N126" s="17" t="s">
        <v>1125</v>
      </c>
      <c r="O126" s="7" t="s">
        <v>1126</v>
      </c>
      <c r="P126" s="7" t="s">
        <v>1011</v>
      </c>
      <c r="Z126" s="3" t="str">
        <f ca="1">HYPERLINK("#"&amp;단가산출근거목록표!J2&amp;"!A"&amp;ROW(단가산출근거목록표!A14),"D01336 →")</f>
        <v>D01336 →</v>
      </c>
    </row>
    <row r="127" spans="1:26" ht="28.7" customHeight="1" x14ac:dyDescent="0.3">
      <c r="A127" s="10" t="s">
        <v>12</v>
      </c>
      <c r="B127" s="10" t="s">
        <v>59</v>
      </c>
      <c r="C127" s="85">
        <v>0.85</v>
      </c>
      <c r="D127" s="32" t="s">
        <v>14</v>
      </c>
      <c r="E127" s="62">
        <f t="shared" si="17"/>
        <v>36111</v>
      </c>
      <c r="F127" s="90">
        <f t="shared" si="17"/>
        <v>30694.3</v>
      </c>
      <c r="G127" s="91">
        <f>일위대가목록표!F13</f>
        <v>31528</v>
      </c>
      <c r="H127" s="92">
        <f>IF(C127=0,0,ROUNDDOWN(G127*C127,1))</f>
        <v>26798.799999999999</v>
      </c>
      <c r="I127" s="91">
        <f>일위대가목록표!G13</f>
        <v>3638</v>
      </c>
      <c r="J127" s="92">
        <f>IF(C127=0,0,ROUNDDOWN(I127*C127,1))</f>
        <v>3092.3</v>
      </c>
      <c r="K127" s="91">
        <f>일위대가목록표!H13</f>
        <v>945</v>
      </c>
      <c r="L127" s="92">
        <f>IF(C127=0,0,ROUNDDOWN(K127*C127,1))</f>
        <v>803.2</v>
      </c>
      <c r="M127" s="23" t="s">
        <v>1130</v>
      </c>
      <c r="N127" s="17" t="s">
        <v>1128</v>
      </c>
      <c r="O127" s="7" t="s">
        <v>1129</v>
      </c>
      <c r="P127" s="7" t="s">
        <v>1011</v>
      </c>
      <c r="Z127" s="3" t="str">
        <f ca="1">HYPERLINK("#"&amp;일위대가목록표!J2&amp;"!A"&amp;ROW(일위대가목록표!A13),"B01299 →")</f>
        <v>B01299 →</v>
      </c>
    </row>
    <row r="128" spans="1:26" ht="28.7" customHeight="1" x14ac:dyDescent="0.3">
      <c r="A128" s="10" t="s">
        <v>187</v>
      </c>
      <c r="B128" s="10" t="s">
        <v>188</v>
      </c>
      <c r="C128" s="85">
        <v>0.45</v>
      </c>
      <c r="D128" s="32" t="s">
        <v>26</v>
      </c>
      <c r="E128" s="62">
        <f t="shared" si="17"/>
        <v>4340</v>
      </c>
      <c r="F128" s="90">
        <f t="shared" si="17"/>
        <v>1952.8999999999999</v>
      </c>
      <c r="G128" s="91">
        <f>단가산출근거목록표!F19</f>
        <v>2403</v>
      </c>
      <c r="H128" s="92">
        <f>IF(C128=0,0,ROUNDDOWN(G128*C128,1))</f>
        <v>1081.3</v>
      </c>
      <c r="I128" s="91">
        <f>단가산출근거목록표!G19</f>
        <v>823</v>
      </c>
      <c r="J128" s="92">
        <f>IF(C128=0,0,ROUNDDOWN(I128*C128,1))</f>
        <v>370.3</v>
      </c>
      <c r="K128" s="91">
        <f>단가산출근거목록표!H19</f>
        <v>1114</v>
      </c>
      <c r="L128" s="92">
        <f>IF(C128=0,0,ROUNDDOWN(K128*C128,1))</f>
        <v>501.3</v>
      </c>
      <c r="M128" s="23" t="s">
        <v>1094</v>
      </c>
      <c r="N128" s="17" t="s">
        <v>1092</v>
      </c>
      <c r="O128" s="7" t="s">
        <v>1093</v>
      </c>
      <c r="P128" s="7" t="s">
        <v>1011</v>
      </c>
      <c r="Z128" s="3" t="str">
        <f ca="1">HYPERLINK("#"&amp;단가산출근거목록표!J2&amp;"!A"&amp;ROW(단가산출근거목록표!A19),"D01456 →")</f>
        <v>D01456 →</v>
      </c>
    </row>
    <row r="129" spans="1:26" ht="28.7" customHeight="1" x14ac:dyDescent="0.3">
      <c r="A129" s="10" t="s">
        <v>191</v>
      </c>
      <c r="B129" s="10" t="s">
        <v>188</v>
      </c>
      <c r="C129" s="85">
        <v>0.2</v>
      </c>
      <c r="D129" s="32" t="s">
        <v>26</v>
      </c>
      <c r="E129" s="62">
        <f t="shared" si="17"/>
        <v>4192</v>
      </c>
      <c r="F129" s="90">
        <f t="shared" si="17"/>
        <v>838.4</v>
      </c>
      <c r="G129" s="91">
        <f>단가산출근거목록표!F20</f>
        <v>2923</v>
      </c>
      <c r="H129" s="92">
        <f>IF(C129=0,0,ROUNDDOWN(G129*C129,1))</f>
        <v>584.6</v>
      </c>
      <c r="I129" s="91">
        <f>단가산출근거목록표!G20</f>
        <v>539</v>
      </c>
      <c r="J129" s="92">
        <f>IF(C129=0,0,ROUNDDOWN(I129*C129,1))</f>
        <v>107.8</v>
      </c>
      <c r="K129" s="91">
        <f>단가산출근거목록표!H20</f>
        <v>730</v>
      </c>
      <c r="L129" s="92">
        <f>IF(C129=0,0,ROUNDDOWN(K129*C129,1))</f>
        <v>146</v>
      </c>
      <c r="M129" s="23" t="s">
        <v>1097</v>
      </c>
      <c r="N129" s="17" t="s">
        <v>1095</v>
      </c>
      <c r="O129" s="7" t="s">
        <v>1096</v>
      </c>
      <c r="P129" s="7" t="s">
        <v>1011</v>
      </c>
      <c r="Z129" s="3" t="str">
        <f ca="1">HYPERLINK("#"&amp;단가산출근거목록표!J2&amp;"!A"&amp;ROW(단가산출근거목록표!A20),"D01474 →")</f>
        <v>D01474 →</v>
      </c>
    </row>
    <row r="130" spans="1:26" ht="28.7" customHeight="1" x14ac:dyDescent="0.3">
      <c r="A130" s="10" t="s">
        <v>194</v>
      </c>
      <c r="B130" s="10" t="s">
        <v>188</v>
      </c>
      <c r="C130" s="85">
        <v>0.25</v>
      </c>
      <c r="D130" s="32" t="s">
        <v>26</v>
      </c>
      <c r="E130" s="62">
        <f t="shared" si="17"/>
        <v>1192</v>
      </c>
      <c r="F130" s="90">
        <f t="shared" si="17"/>
        <v>298</v>
      </c>
      <c r="G130" s="91">
        <f>단가산출근거목록표!F21</f>
        <v>660</v>
      </c>
      <c r="H130" s="92">
        <f>IF(C130=0,0,ROUNDDOWN(G130*C130,1))</f>
        <v>165</v>
      </c>
      <c r="I130" s="91">
        <f>단가산출근거목록표!G21</f>
        <v>226</v>
      </c>
      <c r="J130" s="92">
        <f>IF(C130=0,0,ROUNDDOWN(I130*C130,1))</f>
        <v>56.5</v>
      </c>
      <c r="K130" s="91">
        <f>단가산출근거목록표!H21</f>
        <v>306</v>
      </c>
      <c r="L130" s="92">
        <f>IF(C130=0,0,ROUNDDOWN(K130*C130,1))</f>
        <v>76.5</v>
      </c>
      <c r="M130" s="23" t="s">
        <v>1100</v>
      </c>
      <c r="N130" s="17" t="s">
        <v>1098</v>
      </c>
      <c r="O130" s="7" t="s">
        <v>1099</v>
      </c>
      <c r="P130" s="7" t="s">
        <v>1011</v>
      </c>
      <c r="Z130" s="3" t="str">
        <f ca="1">HYPERLINK("#"&amp;단가산출근거목록표!J2&amp;"!A"&amp;ROW(단가산출근거목록표!A21),"D01475 →")</f>
        <v>D01475 →</v>
      </c>
    </row>
    <row r="131" spans="1:26" ht="28.7" customHeight="1" x14ac:dyDescent="0.3">
      <c r="A131" s="23" t="s">
        <v>1101</v>
      </c>
      <c r="B131" s="56"/>
      <c r="C131" s="56"/>
      <c r="D131" s="56"/>
      <c r="E131" s="56"/>
      <c r="F131" s="54">
        <f>J131+H131+L131</f>
        <v>42700</v>
      </c>
      <c r="G131" s="56"/>
      <c r="H131" s="54">
        <f>ROUNDDOWN(SUMIF(P126:P130,O131,H126:H130),0)</f>
        <v>35642</v>
      </c>
      <c r="I131" s="56"/>
      <c r="J131" s="54">
        <f>ROUNDDOWN(SUMIF(P126:P130,O131,J126:J130),0)</f>
        <v>4395</v>
      </c>
      <c r="K131" s="56"/>
      <c r="L131" s="54">
        <f>ROUNDDOWN(SUMIF(P126:P130,O131,L126:L130),0)</f>
        <v>2663</v>
      </c>
      <c r="M131" s="56"/>
      <c r="O131" s="7" t="s">
        <v>1011</v>
      </c>
      <c r="P131" s="7" t="s">
        <v>1102</v>
      </c>
    </row>
    <row r="132" spans="1:26" ht="28.7" customHeight="1" x14ac:dyDescent="0.3">
      <c r="A132" s="14" t="s">
        <v>1103</v>
      </c>
      <c r="B132" s="14"/>
      <c r="C132" s="86">
        <v>87.745000000000005</v>
      </c>
      <c r="D132" s="14"/>
      <c r="E132" s="88"/>
      <c r="F132" s="72">
        <f>J132+H132+L132</f>
        <v>37466</v>
      </c>
      <c r="G132" s="88"/>
      <c r="H132" s="72">
        <f>ROUNDDOWN(H131*C132/100,0)</f>
        <v>31274</v>
      </c>
      <c r="I132" s="88"/>
      <c r="J132" s="72">
        <f>ROUNDDOWN(J131*C132/100,0)</f>
        <v>3856</v>
      </c>
      <c r="K132" s="88"/>
      <c r="L132" s="72">
        <f>ROUNDDOWN(L131*C132/100,0)</f>
        <v>2336</v>
      </c>
      <c r="M132" s="88"/>
      <c r="O132" s="7" t="s">
        <v>1102</v>
      </c>
    </row>
    <row r="133" spans="1:26" ht="28.7" customHeight="1" x14ac:dyDescent="0.3">
      <c r="A133" s="82" t="s">
        <v>89</v>
      </c>
      <c r="B133" s="82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97" t="str">
        <f>HYPERLINK("#N"&amp;ROW(N144),"_x0005_`BDCOD|B02122_x0007_`POSS|"&amp;ROW(N135)&amp;"_x0007_`POSE|"&amp;ROW(N144)&amp;"_x0007_`")</f>
        <v>_x0005_`BDCOD|B02122_x0007_`POSS|135_x0007_`POSE|144_x0007_`</v>
      </c>
    </row>
    <row r="134" spans="1:26" ht="28.7" customHeight="1" x14ac:dyDescent="0.3">
      <c r="A134" s="43" t="s">
        <v>91</v>
      </c>
      <c r="B134" s="43" t="s">
        <v>92</v>
      </c>
      <c r="C134" s="84"/>
      <c r="D134" s="87" t="s">
        <v>50</v>
      </c>
      <c r="E134" s="84"/>
      <c r="F134" s="84"/>
      <c r="G134" s="84"/>
      <c r="H134" s="84"/>
      <c r="I134" s="84"/>
      <c r="J134" s="84"/>
      <c r="K134" s="84"/>
      <c r="L134" s="84"/>
      <c r="M134" s="87" t="s">
        <v>93</v>
      </c>
      <c r="O134" s="7" t="s">
        <v>93</v>
      </c>
    </row>
    <row r="135" spans="1:26" ht="28.7" customHeight="1" x14ac:dyDescent="0.3">
      <c r="A135" s="10" t="s">
        <v>490</v>
      </c>
      <c r="B135" s="10" t="s">
        <v>674</v>
      </c>
      <c r="C135" s="85">
        <v>1.04</v>
      </c>
      <c r="D135" s="32" t="s">
        <v>14</v>
      </c>
      <c r="E135" s="62">
        <f t="shared" ref="E135:E144" si="18">I135+G135+K135</f>
        <v>0</v>
      </c>
      <c r="F135" s="90">
        <f t="shared" ref="F135:F144" si="19">J135+H135+L135</f>
        <v>0</v>
      </c>
      <c r="G135" s="91">
        <f>일식견적목록표!F6</f>
        <v>0</v>
      </c>
      <c r="H135" s="92">
        <f t="shared" ref="H135:H144" si="20">IF(C135=0,0,ROUNDDOWN(G135*C135,1))</f>
        <v>0</v>
      </c>
      <c r="I135" s="91">
        <f>일식견적목록표!G6</f>
        <v>0</v>
      </c>
      <c r="J135" s="92">
        <f t="shared" ref="J135:J144" si="21">IF(C135=0,0,ROUNDDOWN(I135*C135,1))</f>
        <v>0</v>
      </c>
      <c r="K135" s="91">
        <f>일식견적목록표!H6</f>
        <v>0</v>
      </c>
      <c r="L135" s="92">
        <f t="shared" ref="L135:L144" si="22">IF(C135=0,0,ROUNDDOWN(K135*C135,1))</f>
        <v>0</v>
      </c>
      <c r="M135" s="23" t="s">
        <v>1133</v>
      </c>
      <c r="N135" s="17" t="s">
        <v>1131</v>
      </c>
      <c r="O135" s="7" t="s">
        <v>1132</v>
      </c>
      <c r="P135" s="7" t="s">
        <v>1011</v>
      </c>
      <c r="Z135" s="3" t="str">
        <f ca="1">HYPERLINK("#"&amp;일식견적목록표!J2&amp;"!A"&amp;ROW(일식견적목록표!A6),"W01835 →")</f>
        <v>W01835 →</v>
      </c>
    </row>
    <row r="136" spans="1:26" ht="28.7" customHeight="1" x14ac:dyDescent="0.3">
      <c r="A136" s="10" t="s">
        <v>67</v>
      </c>
      <c r="B136" s="10" t="s">
        <v>68</v>
      </c>
      <c r="C136" s="85">
        <v>1.04</v>
      </c>
      <c r="D136" s="32" t="s">
        <v>14</v>
      </c>
      <c r="E136" s="62">
        <f t="shared" si="18"/>
        <v>54642</v>
      </c>
      <c r="F136" s="90">
        <f t="shared" si="19"/>
        <v>56827.5</v>
      </c>
      <c r="G136" s="91">
        <f>일위대가목록표!F15</f>
        <v>40693</v>
      </c>
      <c r="H136" s="92">
        <f t="shared" si="20"/>
        <v>42320.7</v>
      </c>
      <c r="I136" s="91">
        <f>일위대가목록표!G15</f>
        <v>5277</v>
      </c>
      <c r="J136" s="92">
        <f t="shared" si="21"/>
        <v>5488</v>
      </c>
      <c r="K136" s="91">
        <f>일위대가목록표!H15</f>
        <v>8672</v>
      </c>
      <c r="L136" s="92">
        <f t="shared" si="22"/>
        <v>9018.7999999999993</v>
      </c>
      <c r="M136" s="23" t="s">
        <v>1109</v>
      </c>
      <c r="N136" s="17" t="s">
        <v>1107</v>
      </c>
      <c r="O136" s="7" t="s">
        <v>1108</v>
      </c>
      <c r="P136" s="7" t="s">
        <v>1011</v>
      </c>
      <c r="Z136" s="3" t="str">
        <f ca="1">HYPERLINK("#"&amp;일위대가목록표!J2&amp;"!A"&amp;ROW(일위대가목록표!A15),"B01608 →")</f>
        <v>B01608 →</v>
      </c>
    </row>
    <row r="137" spans="1:26" ht="28.7" customHeight="1" x14ac:dyDescent="0.3">
      <c r="A137" s="10" t="s">
        <v>139</v>
      </c>
      <c r="B137" s="10" t="s">
        <v>140</v>
      </c>
      <c r="C137" s="85">
        <v>0.15</v>
      </c>
      <c r="D137" s="32" t="s">
        <v>26</v>
      </c>
      <c r="E137" s="62">
        <f t="shared" si="18"/>
        <v>8029</v>
      </c>
      <c r="F137" s="90">
        <f t="shared" si="19"/>
        <v>1204.1999999999998</v>
      </c>
      <c r="G137" s="91">
        <f>단가산출근거목록표!F5</f>
        <v>4569</v>
      </c>
      <c r="H137" s="92">
        <f t="shared" si="20"/>
        <v>685.3</v>
      </c>
      <c r="I137" s="91">
        <f>단가산출근거목록표!G5</f>
        <v>1539</v>
      </c>
      <c r="J137" s="92">
        <f t="shared" si="21"/>
        <v>230.8</v>
      </c>
      <c r="K137" s="91">
        <f>단가산출근거목록표!H5</f>
        <v>1921</v>
      </c>
      <c r="L137" s="92">
        <f t="shared" si="22"/>
        <v>288.10000000000002</v>
      </c>
      <c r="M137" s="23" t="s">
        <v>1118</v>
      </c>
      <c r="N137" s="17" t="s">
        <v>1116</v>
      </c>
      <c r="O137" s="7" t="s">
        <v>1117</v>
      </c>
      <c r="P137" s="7" t="s">
        <v>1011</v>
      </c>
      <c r="Z137" s="3" t="str">
        <f ca="1">HYPERLINK("#"&amp;단가산출근거목록표!J2&amp;"!A"&amp;ROW(단가산출근거목록표!A5),"D00091 →")</f>
        <v>D00091 →</v>
      </c>
    </row>
    <row r="138" spans="1:26" ht="28.7" customHeight="1" x14ac:dyDescent="0.3">
      <c r="A138" s="10" t="s">
        <v>158</v>
      </c>
      <c r="B138" s="10" t="s">
        <v>147</v>
      </c>
      <c r="C138" s="85">
        <v>0.2</v>
      </c>
      <c r="D138" s="32" t="s">
        <v>26</v>
      </c>
      <c r="E138" s="62">
        <f t="shared" si="18"/>
        <v>69391</v>
      </c>
      <c r="F138" s="90">
        <f t="shared" si="19"/>
        <v>13878.2</v>
      </c>
      <c r="G138" s="91">
        <f>단가산출근거목록표!F10</f>
        <v>67956</v>
      </c>
      <c r="H138" s="92">
        <f t="shared" si="20"/>
        <v>13591.2</v>
      </c>
      <c r="I138" s="91">
        <f>단가산출근거목록표!G10</f>
        <v>1118</v>
      </c>
      <c r="J138" s="92">
        <f t="shared" si="21"/>
        <v>223.6</v>
      </c>
      <c r="K138" s="91">
        <f>단가산출근거목록표!H10</f>
        <v>317</v>
      </c>
      <c r="L138" s="92">
        <f t="shared" si="22"/>
        <v>63.4</v>
      </c>
      <c r="M138" s="23" t="s">
        <v>1136</v>
      </c>
      <c r="N138" s="17" t="s">
        <v>1134</v>
      </c>
      <c r="O138" s="7" t="s">
        <v>1135</v>
      </c>
      <c r="P138" s="7" t="s">
        <v>1011</v>
      </c>
      <c r="Z138" s="3" t="str">
        <f ca="1">HYPERLINK("#"&amp;단가산출근거목록표!J2&amp;"!A"&amp;ROW(단가산출근거목록표!A10),"D00918 →")</f>
        <v>D00918 →</v>
      </c>
    </row>
    <row r="139" spans="1:26" ht="28.7" customHeight="1" x14ac:dyDescent="0.3">
      <c r="A139" s="10" t="s">
        <v>24</v>
      </c>
      <c r="B139" s="10" t="s">
        <v>25</v>
      </c>
      <c r="C139" s="85">
        <v>8.9999999999999993E-3</v>
      </c>
      <c r="D139" s="32" t="s">
        <v>26</v>
      </c>
      <c r="E139" s="62">
        <f t="shared" si="18"/>
        <v>112070</v>
      </c>
      <c r="F139" s="90">
        <f t="shared" si="19"/>
        <v>1008.6</v>
      </c>
      <c r="G139" s="91">
        <f>일위대가목록표!F6</f>
        <v>112070</v>
      </c>
      <c r="H139" s="92">
        <f t="shared" si="20"/>
        <v>1008.6</v>
      </c>
      <c r="I139" s="91">
        <f>일위대가목록표!G6</f>
        <v>0</v>
      </c>
      <c r="J139" s="92">
        <f t="shared" si="21"/>
        <v>0</v>
      </c>
      <c r="K139" s="91">
        <f>일위대가목록표!H6</f>
        <v>0</v>
      </c>
      <c r="L139" s="92">
        <f t="shared" si="22"/>
        <v>0</v>
      </c>
      <c r="M139" s="23" t="s">
        <v>1115</v>
      </c>
      <c r="N139" s="17" t="s">
        <v>1113</v>
      </c>
      <c r="O139" s="7" t="s">
        <v>1114</v>
      </c>
      <c r="P139" s="7" t="s">
        <v>1011</v>
      </c>
      <c r="Z139" s="3" t="str">
        <f ca="1">HYPERLINK("#"&amp;일위대가목록표!J2&amp;"!A"&amp;ROW(일위대가목록표!A6),"B00048 →")</f>
        <v>B00048 →</v>
      </c>
    </row>
    <row r="140" spans="1:26" ht="28.7" customHeight="1" x14ac:dyDescent="0.3">
      <c r="A140" s="10" t="s">
        <v>154</v>
      </c>
      <c r="B140" s="10" t="s">
        <v>155</v>
      </c>
      <c r="C140" s="85">
        <v>0.3</v>
      </c>
      <c r="D140" s="32" t="s">
        <v>26</v>
      </c>
      <c r="E140" s="62">
        <f t="shared" si="18"/>
        <v>4862</v>
      </c>
      <c r="F140" s="90">
        <f t="shared" si="19"/>
        <v>1458.6</v>
      </c>
      <c r="G140" s="91">
        <f>단가산출근거목록표!F9</f>
        <v>3391</v>
      </c>
      <c r="H140" s="92">
        <f t="shared" si="20"/>
        <v>1017.3</v>
      </c>
      <c r="I140" s="91">
        <f>단가산출근거목록표!G9</f>
        <v>625</v>
      </c>
      <c r="J140" s="92">
        <f t="shared" si="21"/>
        <v>187.5</v>
      </c>
      <c r="K140" s="91">
        <f>단가산출근거목록표!H9</f>
        <v>846</v>
      </c>
      <c r="L140" s="92">
        <f t="shared" si="22"/>
        <v>253.8</v>
      </c>
      <c r="M140" s="23" t="s">
        <v>1124</v>
      </c>
      <c r="N140" s="17" t="s">
        <v>1122</v>
      </c>
      <c r="O140" s="7" t="s">
        <v>1123</v>
      </c>
      <c r="P140" s="7" t="s">
        <v>1011</v>
      </c>
      <c r="Z140" s="3" t="str">
        <f ca="1">HYPERLINK("#"&amp;단가산출근거목록표!J2&amp;"!A"&amp;ROW(단가산출근거목록표!A9),"D00867 →")</f>
        <v>D00867 →</v>
      </c>
    </row>
    <row r="141" spans="1:26" ht="28.7" customHeight="1" x14ac:dyDescent="0.3">
      <c r="A141" s="10" t="s">
        <v>528</v>
      </c>
      <c r="B141" s="10" t="s">
        <v>529</v>
      </c>
      <c r="C141" s="85">
        <v>0.21</v>
      </c>
      <c r="D141" s="32" t="s">
        <v>414</v>
      </c>
      <c r="E141" s="62">
        <f t="shared" si="18"/>
        <v>1912</v>
      </c>
      <c r="F141" s="89">
        <f t="shared" si="19"/>
        <v>401.5</v>
      </c>
      <c r="G141" s="58">
        <v>0</v>
      </c>
      <c r="H141" s="90">
        <f t="shared" si="20"/>
        <v>0</v>
      </c>
      <c r="I141" s="91">
        <f>재료비목록표!E33</f>
        <v>1912</v>
      </c>
      <c r="J141" s="93">
        <f t="shared" si="21"/>
        <v>401.5</v>
      </c>
      <c r="K141" s="58">
        <v>0</v>
      </c>
      <c r="L141" s="90">
        <f t="shared" si="22"/>
        <v>0</v>
      </c>
      <c r="M141" s="23" t="s">
        <v>1063</v>
      </c>
      <c r="N141" s="17" t="s">
        <v>1061</v>
      </c>
      <c r="O141" s="7" t="s">
        <v>1062</v>
      </c>
      <c r="P141" s="7" t="s">
        <v>1011</v>
      </c>
      <c r="Z141" s="3" t="str">
        <f ca="1">HYPERLINK("#"&amp;재료비목록표!G2&amp;"!A"&amp;ROW(재료비목록표!A33),"M01436 →")</f>
        <v>M01436 →</v>
      </c>
    </row>
    <row r="142" spans="1:26" ht="28.7" customHeight="1" x14ac:dyDescent="0.3">
      <c r="A142" s="10" t="s">
        <v>187</v>
      </c>
      <c r="B142" s="10" t="s">
        <v>188</v>
      </c>
      <c r="C142" s="85">
        <v>0.28999999999999998</v>
      </c>
      <c r="D142" s="32" t="s">
        <v>26</v>
      </c>
      <c r="E142" s="62">
        <f t="shared" si="18"/>
        <v>4340</v>
      </c>
      <c r="F142" s="90">
        <f t="shared" si="19"/>
        <v>1258.4000000000001</v>
      </c>
      <c r="G142" s="91">
        <f>단가산출근거목록표!F19</f>
        <v>2403</v>
      </c>
      <c r="H142" s="92">
        <f t="shared" si="20"/>
        <v>696.8</v>
      </c>
      <c r="I142" s="91">
        <f>단가산출근거목록표!G19</f>
        <v>823</v>
      </c>
      <c r="J142" s="92">
        <f t="shared" si="21"/>
        <v>238.6</v>
      </c>
      <c r="K142" s="91">
        <f>단가산출근거목록표!H19</f>
        <v>1114</v>
      </c>
      <c r="L142" s="92">
        <f t="shared" si="22"/>
        <v>323</v>
      </c>
      <c r="M142" s="23" t="s">
        <v>1094</v>
      </c>
      <c r="N142" s="17" t="s">
        <v>1092</v>
      </c>
      <c r="O142" s="7" t="s">
        <v>1093</v>
      </c>
      <c r="P142" s="7" t="s">
        <v>1011</v>
      </c>
      <c r="Z142" s="3" t="str">
        <f ca="1">HYPERLINK("#"&amp;단가산출근거목록표!J2&amp;"!A"&amp;ROW(단가산출근거목록표!A19),"D01456 →")</f>
        <v>D01456 →</v>
      </c>
    </row>
    <row r="143" spans="1:26" ht="28.7" customHeight="1" x14ac:dyDescent="0.3">
      <c r="A143" s="10" t="s">
        <v>191</v>
      </c>
      <c r="B143" s="10" t="s">
        <v>188</v>
      </c>
      <c r="C143" s="85">
        <v>0.19</v>
      </c>
      <c r="D143" s="32" t="s">
        <v>26</v>
      </c>
      <c r="E143" s="62">
        <f t="shared" si="18"/>
        <v>4192</v>
      </c>
      <c r="F143" s="90">
        <f t="shared" si="19"/>
        <v>796.39999999999986</v>
      </c>
      <c r="G143" s="91">
        <f>단가산출근거목록표!F20</f>
        <v>2923</v>
      </c>
      <c r="H143" s="92">
        <f t="shared" si="20"/>
        <v>555.29999999999995</v>
      </c>
      <c r="I143" s="91">
        <f>단가산출근거목록표!G20</f>
        <v>539</v>
      </c>
      <c r="J143" s="92">
        <f t="shared" si="21"/>
        <v>102.4</v>
      </c>
      <c r="K143" s="91">
        <f>단가산출근거목록표!H20</f>
        <v>730</v>
      </c>
      <c r="L143" s="92">
        <f t="shared" si="22"/>
        <v>138.69999999999999</v>
      </c>
      <c r="M143" s="23" t="s">
        <v>1097</v>
      </c>
      <c r="N143" s="17" t="s">
        <v>1095</v>
      </c>
      <c r="O143" s="7" t="s">
        <v>1096</v>
      </c>
      <c r="P143" s="7" t="s">
        <v>1011</v>
      </c>
      <c r="Z143" s="3" t="str">
        <f ca="1">HYPERLINK("#"&amp;단가산출근거목록표!J2&amp;"!A"&amp;ROW(단가산출근거목록표!A20),"D01474 →")</f>
        <v>D01474 →</v>
      </c>
    </row>
    <row r="144" spans="1:26" ht="28.7" customHeight="1" x14ac:dyDescent="0.3">
      <c r="A144" s="10" t="s">
        <v>194</v>
      </c>
      <c r="B144" s="10" t="s">
        <v>188</v>
      </c>
      <c r="C144" s="85">
        <v>0.11</v>
      </c>
      <c r="D144" s="32" t="s">
        <v>26</v>
      </c>
      <c r="E144" s="62">
        <f t="shared" si="18"/>
        <v>1192</v>
      </c>
      <c r="F144" s="90">
        <f t="shared" si="19"/>
        <v>131</v>
      </c>
      <c r="G144" s="91">
        <f>단가산출근거목록표!F21</f>
        <v>660</v>
      </c>
      <c r="H144" s="92">
        <f t="shared" si="20"/>
        <v>72.599999999999994</v>
      </c>
      <c r="I144" s="91">
        <f>단가산출근거목록표!G21</f>
        <v>226</v>
      </c>
      <c r="J144" s="92">
        <f t="shared" si="21"/>
        <v>24.8</v>
      </c>
      <c r="K144" s="91">
        <f>단가산출근거목록표!H21</f>
        <v>306</v>
      </c>
      <c r="L144" s="92">
        <f t="shared" si="22"/>
        <v>33.6</v>
      </c>
      <c r="M144" s="23" t="s">
        <v>1100</v>
      </c>
      <c r="N144" s="17" t="s">
        <v>1098</v>
      </c>
      <c r="O144" s="7" t="s">
        <v>1099</v>
      </c>
      <c r="P144" s="7" t="s">
        <v>1011</v>
      </c>
      <c r="Z144" s="3" t="str">
        <f ca="1">HYPERLINK("#"&amp;단가산출근거목록표!J2&amp;"!A"&amp;ROW(단가산출근거목록표!A21),"D01475 →")</f>
        <v>D01475 →</v>
      </c>
    </row>
    <row r="145" spans="1:26" ht="28.7" customHeight="1" x14ac:dyDescent="0.3">
      <c r="A145" s="23" t="s">
        <v>1101</v>
      </c>
      <c r="B145" s="56"/>
      <c r="C145" s="56"/>
      <c r="D145" s="56"/>
      <c r="E145" s="56"/>
      <c r="F145" s="54">
        <f>J145+H145+L145</f>
        <v>76963</v>
      </c>
      <c r="G145" s="56"/>
      <c r="H145" s="54">
        <f>ROUNDDOWN(SUMIF(P135:P144,O145,H135:H144),0)</f>
        <v>59947</v>
      </c>
      <c r="I145" s="56"/>
      <c r="J145" s="54">
        <f>ROUNDDOWN(SUMIF(P135:P144,O145,J135:J144),0)</f>
        <v>6897</v>
      </c>
      <c r="K145" s="56"/>
      <c r="L145" s="54">
        <f>ROUNDDOWN(SUMIF(P135:P144,O145,L135:L144),0)</f>
        <v>10119</v>
      </c>
      <c r="M145" s="56"/>
      <c r="O145" s="7" t="s">
        <v>1011</v>
      </c>
      <c r="P145" s="7" t="s">
        <v>1102</v>
      </c>
    </row>
    <row r="146" spans="1:26" ht="28.7" customHeight="1" x14ac:dyDescent="0.3">
      <c r="A146" s="14" t="s">
        <v>1103</v>
      </c>
      <c r="B146" s="14"/>
      <c r="C146" s="86">
        <v>87.745000000000005</v>
      </c>
      <c r="D146" s="14"/>
      <c r="E146" s="88"/>
      <c r="F146" s="72">
        <f>J146+H146+L146</f>
        <v>67529</v>
      </c>
      <c r="G146" s="88"/>
      <c r="H146" s="72">
        <f>ROUNDDOWN(H145*C146/100,0)</f>
        <v>52600</v>
      </c>
      <c r="I146" s="88"/>
      <c r="J146" s="72">
        <f>ROUNDDOWN(J145*C146/100,0)</f>
        <v>6051</v>
      </c>
      <c r="K146" s="88"/>
      <c r="L146" s="72">
        <f>ROUNDDOWN(L145*C146/100,0)</f>
        <v>8878</v>
      </c>
      <c r="M146" s="88"/>
      <c r="O146" s="7" t="s">
        <v>1102</v>
      </c>
    </row>
    <row r="147" spans="1:26" ht="28.7" customHeight="1" x14ac:dyDescent="0.3">
      <c r="A147" s="82" t="s">
        <v>94</v>
      </c>
      <c r="B147" s="82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97" t="str">
        <f>HYPERLINK("#N"&amp;ROW(N155),"_x0005_`BDCOD|B02123_x0007_`POSS|"&amp;ROW(N149)&amp;"_x0007_`POSE|"&amp;ROW(N155)&amp;"_x0007_`")</f>
        <v>_x0005_`BDCOD|B02123_x0007_`POSS|149_x0007_`POSE|155_x0007_`</v>
      </c>
    </row>
    <row r="148" spans="1:26" ht="28.7" customHeight="1" x14ac:dyDescent="0.3">
      <c r="A148" s="43" t="s">
        <v>96</v>
      </c>
      <c r="B148" s="43" t="s">
        <v>97</v>
      </c>
      <c r="C148" s="84"/>
      <c r="D148" s="87" t="s">
        <v>50</v>
      </c>
      <c r="E148" s="84"/>
      <c r="F148" s="84"/>
      <c r="G148" s="84"/>
      <c r="H148" s="84"/>
      <c r="I148" s="84"/>
      <c r="J148" s="84"/>
      <c r="K148" s="84"/>
      <c r="L148" s="84"/>
      <c r="M148" s="87" t="s">
        <v>98</v>
      </c>
      <c r="O148" s="7" t="s">
        <v>98</v>
      </c>
    </row>
    <row r="149" spans="1:26" ht="28.7" customHeight="1" x14ac:dyDescent="0.3">
      <c r="A149" s="10" t="s">
        <v>490</v>
      </c>
      <c r="B149" s="10" t="s">
        <v>674</v>
      </c>
      <c r="C149" s="85">
        <v>0.52</v>
      </c>
      <c r="D149" s="32" t="s">
        <v>14</v>
      </c>
      <c r="E149" s="62">
        <f t="shared" ref="E149:F155" si="23">I149+G149+K149</f>
        <v>0</v>
      </c>
      <c r="F149" s="90">
        <f t="shared" si="23"/>
        <v>0</v>
      </c>
      <c r="G149" s="91">
        <f>일식견적목록표!F6</f>
        <v>0</v>
      </c>
      <c r="H149" s="92">
        <f t="shared" ref="H149:H155" si="24">IF(C149=0,0,ROUNDDOWN(G149*C149,1))</f>
        <v>0</v>
      </c>
      <c r="I149" s="91">
        <f>일식견적목록표!G6</f>
        <v>0</v>
      </c>
      <c r="J149" s="92">
        <f t="shared" ref="J149:J155" si="25">IF(C149=0,0,ROUNDDOWN(I149*C149,1))</f>
        <v>0</v>
      </c>
      <c r="K149" s="91">
        <f>일식견적목록표!H6</f>
        <v>0</v>
      </c>
      <c r="L149" s="92">
        <f t="shared" ref="L149:L155" si="26">IF(C149=0,0,ROUNDDOWN(K149*C149,1))</f>
        <v>0</v>
      </c>
      <c r="M149" s="23" t="s">
        <v>1133</v>
      </c>
      <c r="N149" s="17" t="s">
        <v>1131</v>
      </c>
      <c r="O149" s="7" t="s">
        <v>1132</v>
      </c>
      <c r="P149" s="7" t="s">
        <v>1011</v>
      </c>
      <c r="Z149" s="3" t="str">
        <f ca="1">HYPERLINK("#"&amp;일식견적목록표!J2&amp;"!A"&amp;ROW(일식견적목록표!A6),"W01835 →")</f>
        <v>W01835 →</v>
      </c>
    </row>
    <row r="150" spans="1:26" ht="28.7" customHeight="1" x14ac:dyDescent="0.3">
      <c r="A150" s="10" t="s">
        <v>72</v>
      </c>
      <c r="B150" s="10" t="s">
        <v>73</v>
      </c>
      <c r="C150" s="85">
        <v>0.52</v>
      </c>
      <c r="D150" s="32" t="s">
        <v>14</v>
      </c>
      <c r="E150" s="62">
        <f t="shared" si="23"/>
        <v>68895</v>
      </c>
      <c r="F150" s="90">
        <f t="shared" si="23"/>
        <v>35825.300000000003</v>
      </c>
      <c r="G150" s="91">
        <f>일위대가목록표!F16</f>
        <v>51872</v>
      </c>
      <c r="H150" s="92">
        <f t="shared" si="24"/>
        <v>26973.4</v>
      </c>
      <c r="I150" s="91">
        <f>일위대가목록표!G16</f>
        <v>7232</v>
      </c>
      <c r="J150" s="92">
        <f t="shared" si="25"/>
        <v>3760.6</v>
      </c>
      <c r="K150" s="91">
        <f>일위대가목록표!H16</f>
        <v>9791</v>
      </c>
      <c r="L150" s="92">
        <f t="shared" si="26"/>
        <v>5091.3</v>
      </c>
      <c r="M150" s="23" t="s">
        <v>1139</v>
      </c>
      <c r="N150" s="17" t="s">
        <v>1137</v>
      </c>
      <c r="O150" s="7" t="s">
        <v>1138</v>
      </c>
      <c r="P150" s="7" t="s">
        <v>1011</v>
      </c>
      <c r="Z150" s="3" t="str">
        <f ca="1">HYPERLINK("#"&amp;일위대가목록표!J2&amp;"!A"&amp;ROW(일위대가목록표!A16),"B01680 →")</f>
        <v>B01680 →</v>
      </c>
    </row>
    <row r="151" spans="1:26" ht="28.7" customHeight="1" x14ac:dyDescent="0.3">
      <c r="A151" s="10" t="s">
        <v>139</v>
      </c>
      <c r="B151" s="10" t="s">
        <v>140</v>
      </c>
      <c r="C151" s="85">
        <v>7.0000000000000007E-2</v>
      </c>
      <c r="D151" s="32" t="s">
        <v>26</v>
      </c>
      <c r="E151" s="62">
        <f t="shared" si="23"/>
        <v>8029</v>
      </c>
      <c r="F151" s="90">
        <f t="shared" si="23"/>
        <v>561.9</v>
      </c>
      <c r="G151" s="91">
        <f>단가산출근거목록표!F5</f>
        <v>4569</v>
      </c>
      <c r="H151" s="92">
        <f t="shared" si="24"/>
        <v>319.8</v>
      </c>
      <c r="I151" s="91">
        <f>단가산출근거목록표!G5</f>
        <v>1539</v>
      </c>
      <c r="J151" s="92">
        <f t="shared" si="25"/>
        <v>107.7</v>
      </c>
      <c r="K151" s="91">
        <f>단가산출근거목록표!H5</f>
        <v>1921</v>
      </c>
      <c r="L151" s="92">
        <f t="shared" si="26"/>
        <v>134.4</v>
      </c>
      <c r="M151" s="23" t="s">
        <v>1118</v>
      </c>
      <c r="N151" s="17" t="s">
        <v>1116</v>
      </c>
      <c r="O151" s="7" t="s">
        <v>1117</v>
      </c>
      <c r="P151" s="7" t="s">
        <v>1011</v>
      </c>
      <c r="Z151" s="3" t="str">
        <f ca="1">HYPERLINK("#"&amp;단가산출근거목록표!J2&amp;"!A"&amp;ROW(단가산출근거목록표!A5),"D00091 →")</f>
        <v>D00091 →</v>
      </c>
    </row>
    <row r="152" spans="1:26" ht="28.7" customHeight="1" x14ac:dyDescent="0.3">
      <c r="A152" s="10" t="s">
        <v>154</v>
      </c>
      <c r="B152" s="10" t="s">
        <v>155</v>
      </c>
      <c r="C152" s="85">
        <v>0.08</v>
      </c>
      <c r="D152" s="32" t="s">
        <v>26</v>
      </c>
      <c r="E152" s="62">
        <f t="shared" si="23"/>
        <v>4862</v>
      </c>
      <c r="F152" s="90">
        <f t="shared" si="23"/>
        <v>388.79999999999995</v>
      </c>
      <c r="G152" s="91">
        <f>단가산출근거목록표!F9</f>
        <v>3391</v>
      </c>
      <c r="H152" s="92">
        <f t="shared" si="24"/>
        <v>271.2</v>
      </c>
      <c r="I152" s="91">
        <f>단가산출근거목록표!G9</f>
        <v>625</v>
      </c>
      <c r="J152" s="92">
        <f t="shared" si="25"/>
        <v>50</v>
      </c>
      <c r="K152" s="91">
        <f>단가산출근거목록표!H9</f>
        <v>846</v>
      </c>
      <c r="L152" s="92">
        <f t="shared" si="26"/>
        <v>67.599999999999994</v>
      </c>
      <c r="M152" s="23" t="s">
        <v>1124</v>
      </c>
      <c r="N152" s="17" t="s">
        <v>1122</v>
      </c>
      <c r="O152" s="7" t="s">
        <v>1123</v>
      </c>
      <c r="P152" s="7" t="s">
        <v>1011</v>
      </c>
      <c r="Z152" s="3" t="str">
        <f ca="1">HYPERLINK("#"&amp;단가산출근거목록표!J2&amp;"!A"&amp;ROW(단가산출근거목록표!A9),"D00867 →")</f>
        <v>D00867 →</v>
      </c>
    </row>
    <row r="153" spans="1:26" ht="28.7" customHeight="1" x14ac:dyDescent="0.3">
      <c r="A153" s="10" t="s">
        <v>187</v>
      </c>
      <c r="B153" s="10" t="s">
        <v>188</v>
      </c>
      <c r="C153" s="85">
        <v>0.26</v>
      </c>
      <c r="D153" s="32" t="s">
        <v>26</v>
      </c>
      <c r="E153" s="62">
        <f t="shared" si="23"/>
        <v>4340</v>
      </c>
      <c r="F153" s="90">
        <f t="shared" si="23"/>
        <v>1128.2</v>
      </c>
      <c r="G153" s="91">
        <f>단가산출근거목록표!F19</f>
        <v>2403</v>
      </c>
      <c r="H153" s="92">
        <f t="shared" si="24"/>
        <v>624.70000000000005</v>
      </c>
      <c r="I153" s="91">
        <f>단가산출근거목록표!G19</f>
        <v>823</v>
      </c>
      <c r="J153" s="92">
        <f t="shared" si="25"/>
        <v>213.9</v>
      </c>
      <c r="K153" s="91">
        <f>단가산출근거목록표!H19</f>
        <v>1114</v>
      </c>
      <c r="L153" s="92">
        <f t="shared" si="26"/>
        <v>289.60000000000002</v>
      </c>
      <c r="M153" s="23" t="s">
        <v>1094</v>
      </c>
      <c r="N153" s="17" t="s">
        <v>1092</v>
      </c>
      <c r="O153" s="7" t="s">
        <v>1093</v>
      </c>
      <c r="P153" s="7" t="s">
        <v>1011</v>
      </c>
      <c r="Z153" s="3" t="str">
        <f ca="1">HYPERLINK("#"&amp;단가산출근거목록표!J2&amp;"!A"&amp;ROW(단가산출근거목록표!A19),"D01456 →")</f>
        <v>D01456 →</v>
      </c>
    </row>
    <row r="154" spans="1:26" ht="28.7" customHeight="1" x14ac:dyDescent="0.3">
      <c r="A154" s="10" t="s">
        <v>191</v>
      </c>
      <c r="B154" s="10" t="s">
        <v>188</v>
      </c>
      <c r="C154" s="85">
        <v>0.11</v>
      </c>
      <c r="D154" s="32" t="s">
        <v>26</v>
      </c>
      <c r="E154" s="62">
        <f t="shared" si="23"/>
        <v>4192</v>
      </c>
      <c r="F154" s="90">
        <f t="shared" si="23"/>
        <v>461</v>
      </c>
      <c r="G154" s="91">
        <f>단가산출근거목록표!F20</f>
        <v>2923</v>
      </c>
      <c r="H154" s="92">
        <f t="shared" si="24"/>
        <v>321.5</v>
      </c>
      <c r="I154" s="91">
        <f>단가산출근거목록표!G20</f>
        <v>539</v>
      </c>
      <c r="J154" s="92">
        <f t="shared" si="25"/>
        <v>59.2</v>
      </c>
      <c r="K154" s="91">
        <f>단가산출근거목록표!H20</f>
        <v>730</v>
      </c>
      <c r="L154" s="92">
        <f t="shared" si="26"/>
        <v>80.3</v>
      </c>
      <c r="M154" s="23" t="s">
        <v>1097</v>
      </c>
      <c r="N154" s="17" t="s">
        <v>1095</v>
      </c>
      <c r="O154" s="7" t="s">
        <v>1096</v>
      </c>
      <c r="P154" s="7" t="s">
        <v>1011</v>
      </c>
      <c r="Z154" s="3" t="str">
        <f ca="1">HYPERLINK("#"&amp;단가산출근거목록표!J2&amp;"!A"&amp;ROW(단가산출근거목록표!A20),"D01474 →")</f>
        <v>D01474 →</v>
      </c>
    </row>
    <row r="155" spans="1:26" ht="28.7" customHeight="1" x14ac:dyDescent="0.3">
      <c r="A155" s="10" t="s">
        <v>194</v>
      </c>
      <c r="B155" s="10" t="s">
        <v>188</v>
      </c>
      <c r="C155" s="85">
        <v>0.16</v>
      </c>
      <c r="D155" s="32" t="s">
        <v>26</v>
      </c>
      <c r="E155" s="62">
        <f t="shared" si="23"/>
        <v>1192</v>
      </c>
      <c r="F155" s="90">
        <f t="shared" si="23"/>
        <v>190.6</v>
      </c>
      <c r="G155" s="91">
        <f>단가산출근거목록표!F21</f>
        <v>660</v>
      </c>
      <c r="H155" s="92">
        <f t="shared" si="24"/>
        <v>105.6</v>
      </c>
      <c r="I155" s="91">
        <f>단가산출근거목록표!G21</f>
        <v>226</v>
      </c>
      <c r="J155" s="92">
        <f t="shared" si="25"/>
        <v>36.1</v>
      </c>
      <c r="K155" s="91">
        <f>단가산출근거목록표!H21</f>
        <v>306</v>
      </c>
      <c r="L155" s="92">
        <f t="shared" si="26"/>
        <v>48.9</v>
      </c>
      <c r="M155" s="23" t="s">
        <v>1100</v>
      </c>
      <c r="N155" s="17" t="s">
        <v>1098</v>
      </c>
      <c r="O155" s="7" t="s">
        <v>1099</v>
      </c>
      <c r="P155" s="7" t="s">
        <v>1011</v>
      </c>
      <c r="Z155" s="3" t="str">
        <f ca="1">HYPERLINK("#"&amp;단가산출근거목록표!J2&amp;"!A"&amp;ROW(단가산출근거목록표!A21),"D01475 →")</f>
        <v>D01475 →</v>
      </c>
    </row>
    <row r="156" spans="1:26" ht="28.7" customHeight="1" x14ac:dyDescent="0.3">
      <c r="A156" s="23" t="s">
        <v>1101</v>
      </c>
      <c r="B156" s="56"/>
      <c r="C156" s="56"/>
      <c r="D156" s="56"/>
      <c r="E156" s="56"/>
      <c r="F156" s="54">
        <f>J156+H156+L156</f>
        <v>38555</v>
      </c>
      <c r="G156" s="56"/>
      <c r="H156" s="54">
        <f>ROUNDDOWN(SUMIF(P149:P155,O156,H149:H155),0)</f>
        <v>28616</v>
      </c>
      <c r="I156" s="56"/>
      <c r="J156" s="54">
        <f>ROUNDDOWN(SUMIF(P149:P155,O156,J149:J155),0)</f>
        <v>4227</v>
      </c>
      <c r="K156" s="56"/>
      <c r="L156" s="54">
        <f>ROUNDDOWN(SUMIF(P149:P155,O156,L149:L155),0)</f>
        <v>5712</v>
      </c>
      <c r="M156" s="56"/>
      <c r="O156" s="7" t="s">
        <v>1011</v>
      </c>
      <c r="P156" s="7" t="s">
        <v>1102</v>
      </c>
    </row>
    <row r="157" spans="1:26" ht="28.7" customHeight="1" x14ac:dyDescent="0.3">
      <c r="A157" s="14" t="s">
        <v>1103</v>
      </c>
      <c r="B157" s="14"/>
      <c r="C157" s="86">
        <v>87.745000000000005</v>
      </c>
      <c r="D157" s="14"/>
      <c r="E157" s="88"/>
      <c r="F157" s="72">
        <f>J157+H157+L157</f>
        <v>33828</v>
      </c>
      <c r="G157" s="88"/>
      <c r="H157" s="72">
        <f>ROUNDDOWN(H156*C157/100,0)</f>
        <v>25109</v>
      </c>
      <c r="I157" s="88"/>
      <c r="J157" s="72">
        <f>ROUNDDOWN(J156*C157/100,0)</f>
        <v>3708</v>
      </c>
      <c r="K157" s="88"/>
      <c r="L157" s="72">
        <f>ROUNDDOWN(L156*C157/100,0)</f>
        <v>5011</v>
      </c>
      <c r="M157" s="88"/>
      <c r="O157" s="7" t="s">
        <v>1102</v>
      </c>
    </row>
    <row r="158" spans="1:26" ht="28.7" customHeight="1" x14ac:dyDescent="0.3">
      <c r="A158" s="82" t="s">
        <v>99</v>
      </c>
      <c r="B158" s="82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97" t="str">
        <f>HYPERLINK("#N"&amp;ROW(N168),"_x0005_`BDCOD|B02124_x0007_`POSS|"&amp;ROW(N160)&amp;"_x0007_`POSE|"&amp;ROW(N168)&amp;"_x0007_`")</f>
        <v>_x0005_`BDCOD|B02124_x0007_`POSS|160_x0007_`POSE|168_x0007_`</v>
      </c>
    </row>
    <row r="159" spans="1:26" ht="28.7" customHeight="1" x14ac:dyDescent="0.3">
      <c r="A159" s="43" t="s">
        <v>101</v>
      </c>
      <c r="B159" s="43" t="s">
        <v>102</v>
      </c>
      <c r="C159" s="84"/>
      <c r="D159" s="87" t="s">
        <v>50</v>
      </c>
      <c r="E159" s="84"/>
      <c r="F159" s="84"/>
      <c r="G159" s="84"/>
      <c r="H159" s="84"/>
      <c r="I159" s="84"/>
      <c r="J159" s="84"/>
      <c r="K159" s="84"/>
      <c r="L159" s="84"/>
      <c r="M159" s="87" t="s">
        <v>103</v>
      </c>
      <c r="O159" s="7" t="s">
        <v>103</v>
      </c>
    </row>
    <row r="160" spans="1:26" ht="28.7" customHeight="1" x14ac:dyDescent="0.3">
      <c r="A160" s="10" t="s">
        <v>490</v>
      </c>
      <c r="B160" s="10" t="s">
        <v>674</v>
      </c>
      <c r="C160" s="85">
        <v>1.1399999999999999</v>
      </c>
      <c r="D160" s="32" t="s">
        <v>677</v>
      </c>
      <c r="E160" s="62">
        <f t="shared" ref="E160:E168" si="27">I160+G160+K160</f>
        <v>0</v>
      </c>
      <c r="F160" s="90">
        <f t="shared" ref="F160:F168" si="28">J160+H160+L160</f>
        <v>0</v>
      </c>
      <c r="G160" s="91">
        <f>일식견적목록표!F7</f>
        <v>0</v>
      </c>
      <c r="H160" s="92">
        <f t="shared" ref="H160:H168" si="29">IF(C160=0,0,ROUNDDOWN(G160*C160,1))</f>
        <v>0</v>
      </c>
      <c r="I160" s="91">
        <f>일식견적목록표!G7</f>
        <v>0</v>
      </c>
      <c r="J160" s="92">
        <f t="shared" ref="J160:J168" si="30">IF(C160=0,0,ROUNDDOWN(I160*C160,1))</f>
        <v>0</v>
      </c>
      <c r="K160" s="91">
        <f>일식견적목록표!H7</f>
        <v>0</v>
      </c>
      <c r="L160" s="92">
        <f t="shared" ref="L160:L168" si="31">IF(C160=0,0,ROUNDDOWN(K160*C160,1))</f>
        <v>0</v>
      </c>
      <c r="M160" s="23" t="s">
        <v>1142</v>
      </c>
      <c r="N160" s="17" t="s">
        <v>1140</v>
      </c>
      <c r="O160" s="7" t="s">
        <v>1141</v>
      </c>
      <c r="P160" s="7" t="s">
        <v>1011</v>
      </c>
      <c r="Z160" s="3" t="str">
        <f ca="1">HYPERLINK("#"&amp;일식견적목록표!J2&amp;"!A"&amp;ROW(일식견적목록표!A7),"W02335 →")</f>
        <v>W02335 →</v>
      </c>
    </row>
    <row r="161" spans="1:26" ht="28.7" customHeight="1" x14ac:dyDescent="0.3">
      <c r="A161" s="10" t="s">
        <v>67</v>
      </c>
      <c r="B161" s="10" t="s">
        <v>68</v>
      </c>
      <c r="C161" s="85">
        <v>1.1200000000000001</v>
      </c>
      <c r="D161" s="32" t="s">
        <v>14</v>
      </c>
      <c r="E161" s="62">
        <f t="shared" si="27"/>
        <v>54642</v>
      </c>
      <c r="F161" s="90">
        <f t="shared" si="28"/>
        <v>61198.899999999994</v>
      </c>
      <c r="G161" s="91">
        <f>일위대가목록표!F15</f>
        <v>40693</v>
      </c>
      <c r="H161" s="92">
        <f t="shared" si="29"/>
        <v>45576.1</v>
      </c>
      <c r="I161" s="91">
        <f>일위대가목록표!G15</f>
        <v>5277</v>
      </c>
      <c r="J161" s="92">
        <f t="shared" si="30"/>
        <v>5910.2</v>
      </c>
      <c r="K161" s="91">
        <f>일위대가목록표!H15</f>
        <v>8672</v>
      </c>
      <c r="L161" s="92">
        <f t="shared" si="31"/>
        <v>9712.6</v>
      </c>
      <c r="M161" s="23" t="s">
        <v>1109</v>
      </c>
      <c r="N161" s="17" t="s">
        <v>1107</v>
      </c>
      <c r="O161" s="7" t="s">
        <v>1108</v>
      </c>
      <c r="P161" s="7" t="s">
        <v>1011</v>
      </c>
      <c r="Z161" s="3" t="str">
        <f ca="1">HYPERLINK("#"&amp;일위대가목록표!J2&amp;"!A"&amp;ROW(일위대가목록표!A15),"B01608 →")</f>
        <v>B01608 →</v>
      </c>
    </row>
    <row r="162" spans="1:26" ht="28.7" customHeight="1" x14ac:dyDescent="0.3">
      <c r="A162" s="10" t="s">
        <v>39</v>
      </c>
      <c r="B162" s="10" t="s">
        <v>44</v>
      </c>
      <c r="C162" s="85">
        <v>0.75</v>
      </c>
      <c r="D162" s="32" t="s">
        <v>14</v>
      </c>
      <c r="E162" s="62">
        <f t="shared" si="27"/>
        <v>54553</v>
      </c>
      <c r="F162" s="90">
        <f t="shared" si="28"/>
        <v>40914.699999999997</v>
      </c>
      <c r="G162" s="91">
        <f>일위대가목록표!F10</f>
        <v>43704</v>
      </c>
      <c r="H162" s="92">
        <f t="shared" si="29"/>
        <v>32778</v>
      </c>
      <c r="I162" s="91">
        <f>일위대가목록표!G10</f>
        <v>4104</v>
      </c>
      <c r="J162" s="92">
        <f t="shared" si="30"/>
        <v>3078</v>
      </c>
      <c r="K162" s="91">
        <f>일위대가목록표!H10</f>
        <v>6745</v>
      </c>
      <c r="L162" s="92">
        <f t="shared" si="31"/>
        <v>5058.7</v>
      </c>
      <c r="M162" s="23" t="s">
        <v>1145</v>
      </c>
      <c r="N162" s="17" t="s">
        <v>1143</v>
      </c>
      <c r="O162" s="7" t="s">
        <v>1144</v>
      </c>
      <c r="P162" s="7" t="s">
        <v>1011</v>
      </c>
      <c r="Z162" s="3" t="str">
        <f ca="1">HYPERLINK("#"&amp;일위대가목록표!J2&amp;"!A"&amp;ROW(일위대가목록표!A10),"B00378 →")</f>
        <v>B00378 →</v>
      </c>
    </row>
    <row r="163" spans="1:26" ht="28.7" customHeight="1" x14ac:dyDescent="0.3">
      <c r="A163" s="10" t="s">
        <v>139</v>
      </c>
      <c r="B163" s="10" t="s">
        <v>140</v>
      </c>
      <c r="C163" s="85">
        <v>0.28000000000000003</v>
      </c>
      <c r="D163" s="32" t="s">
        <v>26</v>
      </c>
      <c r="E163" s="62">
        <f t="shared" si="27"/>
        <v>8029</v>
      </c>
      <c r="F163" s="90">
        <f t="shared" si="28"/>
        <v>2248</v>
      </c>
      <c r="G163" s="91">
        <f>단가산출근거목록표!F5</f>
        <v>4569</v>
      </c>
      <c r="H163" s="92">
        <f t="shared" si="29"/>
        <v>1279.3</v>
      </c>
      <c r="I163" s="91">
        <f>단가산출근거목록표!G5</f>
        <v>1539</v>
      </c>
      <c r="J163" s="92">
        <f t="shared" si="30"/>
        <v>430.9</v>
      </c>
      <c r="K163" s="91">
        <f>단가산출근거목록표!H5</f>
        <v>1921</v>
      </c>
      <c r="L163" s="92">
        <f t="shared" si="31"/>
        <v>537.79999999999995</v>
      </c>
      <c r="M163" s="23" t="s">
        <v>1118</v>
      </c>
      <c r="N163" s="17" t="s">
        <v>1116</v>
      </c>
      <c r="O163" s="7" t="s">
        <v>1117</v>
      </c>
      <c r="P163" s="7" t="s">
        <v>1011</v>
      </c>
      <c r="Z163" s="3" t="str">
        <f ca="1">HYPERLINK("#"&amp;단가산출근거목록표!J2&amp;"!A"&amp;ROW(단가산출근거목록표!A5),"D00091 →")</f>
        <v>D00091 →</v>
      </c>
    </row>
    <row r="164" spans="1:26" ht="28.7" customHeight="1" x14ac:dyDescent="0.3">
      <c r="A164" s="10" t="s">
        <v>158</v>
      </c>
      <c r="B164" s="10" t="s">
        <v>147</v>
      </c>
      <c r="C164" s="85">
        <v>0.37</v>
      </c>
      <c r="D164" s="32" t="s">
        <v>26</v>
      </c>
      <c r="E164" s="62">
        <f t="shared" si="27"/>
        <v>69391</v>
      </c>
      <c r="F164" s="90">
        <f t="shared" si="28"/>
        <v>25674.5</v>
      </c>
      <c r="G164" s="91">
        <f>단가산출근거목록표!F10</f>
        <v>67956</v>
      </c>
      <c r="H164" s="92">
        <f t="shared" si="29"/>
        <v>25143.7</v>
      </c>
      <c r="I164" s="91">
        <f>단가산출근거목록표!G10</f>
        <v>1118</v>
      </c>
      <c r="J164" s="92">
        <f t="shared" si="30"/>
        <v>413.6</v>
      </c>
      <c r="K164" s="91">
        <f>단가산출근거목록표!H10</f>
        <v>317</v>
      </c>
      <c r="L164" s="92">
        <f t="shared" si="31"/>
        <v>117.2</v>
      </c>
      <c r="M164" s="23" t="s">
        <v>1136</v>
      </c>
      <c r="N164" s="17" t="s">
        <v>1134</v>
      </c>
      <c r="O164" s="7" t="s">
        <v>1135</v>
      </c>
      <c r="P164" s="7" t="s">
        <v>1011</v>
      </c>
      <c r="Z164" s="3" t="str">
        <f ca="1">HYPERLINK("#"&amp;단가산출근거목록표!J2&amp;"!A"&amp;ROW(단가산출근거목록표!A10),"D00918 →")</f>
        <v>D00918 →</v>
      </c>
    </row>
    <row r="165" spans="1:26" ht="28.7" customHeight="1" x14ac:dyDescent="0.3">
      <c r="A165" s="10" t="s">
        <v>24</v>
      </c>
      <c r="B165" s="10" t="s">
        <v>25</v>
      </c>
      <c r="C165" s="85">
        <v>0.01</v>
      </c>
      <c r="D165" s="32" t="s">
        <v>26</v>
      </c>
      <c r="E165" s="62">
        <f t="shared" si="27"/>
        <v>112070</v>
      </c>
      <c r="F165" s="90">
        <f t="shared" si="28"/>
        <v>1120.7</v>
      </c>
      <c r="G165" s="91">
        <f>일위대가목록표!F6</f>
        <v>112070</v>
      </c>
      <c r="H165" s="92">
        <f t="shared" si="29"/>
        <v>1120.7</v>
      </c>
      <c r="I165" s="91">
        <f>일위대가목록표!G6</f>
        <v>0</v>
      </c>
      <c r="J165" s="92">
        <f t="shared" si="30"/>
        <v>0</v>
      </c>
      <c r="K165" s="91">
        <f>일위대가목록표!H6</f>
        <v>0</v>
      </c>
      <c r="L165" s="92">
        <f t="shared" si="31"/>
        <v>0</v>
      </c>
      <c r="M165" s="23" t="s">
        <v>1115</v>
      </c>
      <c r="N165" s="17" t="s">
        <v>1113</v>
      </c>
      <c r="O165" s="7" t="s">
        <v>1114</v>
      </c>
      <c r="P165" s="7" t="s">
        <v>1011</v>
      </c>
      <c r="Z165" s="3" t="str">
        <f ca="1">HYPERLINK("#"&amp;일위대가목록표!J2&amp;"!A"&amp;ROW(일위대가목록표!A6),"B00048 →")</f>
        <v>B00048 →</v>
      </c>
    </row>
    <row r="166" spans="1:26" ht="28.7" customHeight="1" x14ac:dyDescent="0.3">
      <c r="A166" s="10" t="s">
        <v>528</v>
      </c>
      <c r="B166" s="10" t="s">
        <v>529</v>
      </c>
      <c r="C166" s="85">
        <v>0.28000000000000003</v>
      </c>
      <c r="D166" s="32" t="s">
        <v>414</v>
      </c>
      <c r="E166" s="62">
        <f t="shared" si="27"/>
        <v>1912</v>
      </c>
      <c r="F166" s="89">
        <f t="shared" si="28"/>
        <v>535.29999999999995</v>
      </c>
      <c r="G166" s="58">
        <v>0</v>
      </c>
      <c r="H166" s="90">
        <f t="shared" si="29"/>
        <v>0</v>
      </c>
      <c r="I166" s="91">
        <f>재료비목록표!E33</f>
        <v>1912</v>
      </c>
      <c r="J166" s="93">
        <f t="shared" si="30"/>
        <v>535.29999999999995</v>
      </c>
      <c r="K166" s="58">
        <v>0</v>
      </c>
      <c r="L166" s="90">
        <f t="shared" si="31"/>
        <v>0</v>
      </c>
      <c r="M166" s="23" t="s">
        <v>1063</v>
      </c>
      <c r="N166" s="17" t="s">
        <v>1061</v>
      </c>
      <c r="O166" s="7" t="s">
        <v>1062</v>
      </c>
      <c r="P166" s="7" t="s">
        <v>1011</v>
      </c>
      <c r="Z166" s="3" t="str">
        <f ca="1">HYPERLINK("#"&amp;재료비목록표!G2&amp;"!A"&amp;ROW(재료비목록표!A33),"M01436 →")</f>
        <v>M01436 →</v>
      </c>
    </row>
    <row r="167" spans="1:26" ht="28.7" customHeight="1" x14ac:dyDescent="0.3">
      <c r="A167" s="10" t="s">
        <v>187</v>
      </c>
      <c r="B167" s="10" t="s">
        <v>188</v>
      </c>
      <c r="C167" s="85">
        <v>1.81</v>
      </c>
      <c r="D167" s="32" t="s">
        <v>26</v>
      </c>
      <c r="E167" s="62">
        <f t="shared" si="27"/>
        <v>4340</v>
      </c>
      <c r="F167" s="90">
        <f t="shared" si="28"/>
        <v>7855.3</v>
      </c>
      <c r="G167" s="91">
        <f>단가산출근거목록표!F19</f>
        <v>2403</v>
      </c>
      <c r="H167" s="92">
        <f t="shared" si="29"/>
        <v>4349.3999999999996</v>
      </c>
      <c r="I167" s="91">
        <f>단가산출근거목록표!G19</f>
        <v>823</v>
      </c>
      <c r="J167" s="92">
        <f t="shared" si="30"/>
        <v>1489.6</v>
      </c>
      <c r="K167" s="91">
        <f>단가산출근거목록표!H19</f>
        <v>1114</v>
      </c>
      <c r="L167" s="92">
        <f t="shared" si="31"/>
        <v>2016.3</v>
      </c>
      <c r="M167" s="23" t="s">
        <v>1094</v>
      </c>
      <c r="N167" s="17" t="s">
        <v>1092</v>
      </c>
      <c r="O167" s="7" t="s">
        <v>1093</v>
      </c>
      <c r="P167" s="7" t="s">
        <v>1011</v>
      </c>
      <c r="Z167" s="3" t="str">
        <f ca="1">HYPERLINK("#"&amp;단가산출근거목록표!J2&amp;"!A"&amp;ROW(단가산출근거목록표!A19),"D01456 →")</f>
        <v>D01456 →</v>
      </c>
    </row>
    <row r="168" spans="1:26" ht="28.7" customHeight="1" x14ac:dyDescent="0.3">
      <c r="A168" s="10" t="s">
        <v>194</v>
      </c>
      <c r="B168" s="10" t="s">
        <v>188</v>
      </c>
      <c r="C168" s="85">
        <v>1.81</v>
      </c>
      <c r="D168" s="32" t="s">
        <v>26</v>
      </c>
      <c r="E168" s="62">
        <f t="shared" si="27"/>
        <v>1192</v>
      </c>
      <c r="F168" s="90">
        <f t="shared" si="28"/>
        <v>2157.3999999999996</v>
      </c>
      <c r="G168" s="91">
        <f>단가산출근거목록표!F21</f>
        <v>660</v>
      </c>
      <c r="H168" s="92">
        <f t="shared" si="29"/>
        <v>1194.5999999999999</v>
      </c>
      <c r="I168" s="91">
        <f>단가산출근거목록표!G21</f>
        <v>226</v>
      </c>
      <c r="J168" s="92">
        <f t="shared" si="30"/>
        <v>409</v>
      </c>
      <c r="K168" s="91">
        <f>단가산출근거목록표!H21</f>
        <v>306</v>
      </c>
      <c r="L168" s="92">
        <f t="shared" si="31"/>
        <v>553.79999999999995</v>
      </c>
      <c r="M168" s="23" t="s">
        <v>1100</v>
      </c>
      <c r="N168" s="17" t="s">
        <v>1098</v>
      </c>
      <c r="O168" s="7" t="s">
        <v>1099</v>
      </c>
      <c r="P168" s="7" t="s">
        <v>1011</v>
      </c>
      <c r="Z168" s="3" t="str">
        <f ca="1">HYPERLINK("#"&amp;단가산출근거목록표!J2&amp;"!A"&amp;ROW(단가산출근거목록표!A21),"D01475 →")</f>
        <v>D01475 →</v>
      </c>
    </row>
    <row r="169" spans="1:26" ht="28.7" customHeight="1" x14ac:dyDescent="0.3">
      <c r="A169" s="23" t="s">
        <v>1101</v>
      </c>
      <c r="B169" s="56"/>
      <c r="C169" s="56"/>
      <c r="D169" s="56"/>
      <c r="E169" s="56"/>
      <c r="F169" s="54">
        <f>J169+H169+L169</f>
        <v>141703</v>
      </c>
      <c r="G169" s="56"/>
      <c r="H169" s="54">
        <f>ROUNDDOWN(SUMIF(P160:P168,O169,H160:H168),0)</f>
        <v>111441</v>
      </c>
      <c r="I169" s="56"/>
      <c r="J169" s="54">
        <f>ROUNDDOWN(SUMIF(P160:P168,O169,J160:J168),0)</f>
        <v>12266</v>
      </c>
      <c r="K169" s="56"/>
      <c r="L169" s="54">
        <f>ROUNDDOWN(SUMIF(P160:P168,O169,L160:L168),0)</f>
        <v>17996</v>
      </c>
      <c r="M169" s="56"/>
      <c r="O169" s="7" t="s">
        <v>1011</v>
      </c>
      <c r="P169" s="7" t="s">
        <v>1102</v>
      </c>
    </row>
    <row r="170" spans="1:26" ht="28.7" customHeight="1" x14ac:dyDescent="0.3">
      <c r="A170" s="14" t="s">
        <v>1103</v>
      </c>
      <c r="B170" s="14"/>
      <c r="C170" s="86">
        <v>87.745000000000005</v>
      </c>
      <c r="D170" s="14"/>
      <c r="E170" s="88"/>
      <c r="F170" s="72">
        <f>J170+H170+L170</f>
        <v>124335</v>
      </c>
      <c r="G170" s="88"/>
      <c r="H170" s="72">
        <f>ROUNDDOWN(H169*C170/100,0)</f>
        <v>97783</v>
      </c>
      <c r="I170" s="88"/>
      <c r="J170" s="72">
        <f>ROUNDDOWN(J169*C170/100,0)</f>
        <v>10762</v>
      </c>
      <c r="K170" s="88"/>
      <c r="L170" s="72">
        <f>ROUNDDOWN(L169*C170/100,0)</f>
        <v>15790</v>
      </c>
      <c r="M170" s="88"/>
      <c r="O170" s="7" t="s">
        <v>1102</v>
      </c>
    </row>
    <row r="171" spans="1:26" ht="28.7" customHeight="1" x14ac:dyDescent="0.3">
      <c r="A171" s="82" t="s">
        <v>104</v>
      </c>
      <c r="B171" s="82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97" t="str">
        <f>HYPERLINK("#N"&amp;ROW(N177),"_x0005_`BDCOD|B02125_x0007_`POSS|"&amp;ROW(N173)&amp;"_x0007_`POSE|"&amp;ROW(N177)&amp;"_x0007_`")</f>
        <v>_x0005_`BDCOD|B02125_x0007_`POSS|173_x0007_`POSE|177_x0007_`</v>
      </c>
    </row>
    <row r="172" spans="1:26" ht="28.7" customHeight="1" x14ac:dyDescent="0.3">
      <c r="A172" s="43" t="s">
        <v>39</v>
      </c>
      <c r="B172" s="43" t="s">
        <v>106</v>
      </c>
      <c r="C172" s="84"/>
      <c r="D172" s="87" t="s">
        <v>14</v>
      </c>
      <c r="E172" s="84"/>
      <c r="F172" s="84"/>
      <c r="G172" s="84"/>
      <c r="H172" s="84"/>
      <c r="I172" s="84"/>
      <c r="J172" s="84"/>
      <c r="K172" s="84"/>
      <c r="L172" s="84"/>
      <c r="M172" s="87" t="s">
        <v>107</v>
      </c>
      <c r="O172" s="7" t="s">
        <v>107</v>
      </c>
    </row>
    <row r="173" spans="1:26" ht="28.7" customHeight="1" x14ac:dyDescent="0.3">
      <c r="A173" s="10" t="s">
        <v>183</v>
      </c>
      <c r="B173" s="10" t="s">
        <v>184</v>
      </c>
      <c r="C173" s="85">
        <v>1</v>
      </c>
      <c r="D173" s="32" t="s">
        <v>14</v>
      </c>
      <c r="E173" s="62">
        <f t="shared" ref="E173:F177" si="32">I173+G173+K173</f>
        <v>18687</v>
      </c>
      <c r="F173" s="90">
        <f t="shared" si="32"/>
        <v>18687</v>
      </c>
      <c r="G173" s="91">
        <f>단가산출근거목록표!F18</f>
        <v>11717</v>
      </c>
      <c r="H173" s="92">
        <f>IF(C173=0,0,ROUNDDOWN(G173*C173,1))</f>
        <v>11717</v>
      </c>
      <c r="I173" s="91">
        <f>단가산출근거목록표!G18</f>
        <v>2669</v>
      </c>
      <c r="J173" s="92">
        <f>IF(C173=0,0,ROUNDDOWN(I173*C173,1))</f>
        <v>2669</v>
      </c>
      <c r="K173" s="91">
        <f>단가산출근거목록표!H18</f>
        <v>4301</v>
      </c>
      <c r="L173" s="92">
        <f>IF(C173=0,0,ROUNDDOWN(K173*C173,1))</f>
        <v>4301</v>
      </c>
      <c r="M173" s="23" t="s">
        <v>1148</v>
      </c>
      <c r="N173" s="17" t="s">
        <v>1146</v>
      </c>
      <c r="O173" s="7" t="s">
        <v>1147</v>
      </c>
      <c r="P173" s="7" t="s">
        <v>1011</v>
      </c>
      <c r="Z173" s="3" t="str">
        <f ca="1">HYPERLINK("#"&amp;단가산출근거목록표!J2&amp;"!A"&amp;ROW(단가산출근거목록표!A18),"D01448 →")</f>
        <v>D01448 →</v>
      </c>
    </row>
    <row r="174" spans="1:26" ht="28.7" customHeight="1" x14ac:dyDescent="0.3">
      <c r="A174" s="10" t="s">
        <v>39</v>
      </c>
      <c r="B174" s="10" t="s">
        <v>40</v>
      </c>
      <c r="C174" s="85">
        <v>1</v>
      </c>
      <c r="D174" s="32" t="s">
        <v>14</v>
      </c>
      <c r="E174" s="62">
        <f t="shared" si="32"/>
        <v>68589</v>
      </c>
      <c r="F174" s="90">
        <f t="shared" si="32"/>
        <v>68589</v>
      </c>
      <c r="G174" s="91">
        <f>일위대가목록표!F9</f>
        <v>55673</v>
      </c>
      <c r="H174" s="92">
        <f>IF(C174=0,0,ROUNDDOWN(G174*C174,1))</f>
        <v>55673</v>
      </c>
      <c r="I174" s="91">
        <f>일위대가목록표!G9</f>
        <v>4886</v>
      </c>
      <c r="J174" s="92">
        <f>IF(C174=0,0,ROUNDDOWN(I174*C174,1))</f>
        <v>4886</v>
      </c>
      <c r="K174" s="91">
        <f>일위대가목록표!H9</f>
        <v>8030</v>
      </c>
      <c r="L174" s="92">
        <f>IF(C174=0,0,ROUNDDOWN(K174*C174,1))</f>
        <v>8030</v>
      </c>
      <c r="M174" s="23" t="s">
        <v>1151</v>
      </c>
      <c r="N174" s="17" t="s">
        <v>1149</v>
      </c>
      <c r="O174" s="7" t="s">
        <v>1150</v>
      </c>
      <c r="P174" s="7" t="s">
        <v>1011</v>
      </c>
      <c r="Z174" s="3" t="str">
        <f ca="1">HYPERLINK("#"&amp;일위대가목록표!J2&amp;"!A"&amp;ROW(일위대가목록표!A9),"B00374 →")</f>
        <v>B00374 →</v>
      </c>
    </row>
    <row r="175" spans="1:26" ht="28.7" customHeight="1" x14ac:dyDescent="0.3">
      <c r="A175" s="10" t="s">
        <v>139</v>
      </c>
      <c r="B175" s="10" t="s">
        <v>161</v>
      </c>
      <c r="C175" s="85">
        <v>0.12</v>
      </c>
      <c r="D175" s="32" t="s">
        <v>26</v>
      </c>
      <c r="E175" s="62">
        <f t="shared" si="32"/>
        <v>9165</v>
      </c>
      <c r="F175" s="90">
        <f t="shared" si="32"/>
        <v>1099.5999999999999</v>
      </c>
      <c r="G175" s="91">
        <f>단가산출근거목록표!F11</f>
        <v>6478</v>
      </c>
      <c r="H175" s="92">
        <f>IF(C175=0,0,ROUNDDOWN(G175*C175,1))</f>
        <v>777.3</v>
      </c>
      <c r="I175" s="91">
        <f>단가산출근거목록표!G11</f>
        <v>933</v>
      </c>
      <c r="J175" s="92">
        <f>IF(C175=0,0,ROUNDDOWN(I175*C175,1))</f>
        <v>111.9</v>
      </c>
      <c r="K175" s="91">
        <f>단가산출근거목록표!H11</f>
        <v>1754</v>
      </c>
      <c r="L175" s="92">
        <f>IF(C175=0,0,ROUNDDOWN(K175*C175,1))</f>
        <v>210.4</v>
      </c>
      <c r="M175" s="23" t="s">
        <v>1154</v>
      </c>
      <c r="N175" s="17" t="s">
        <v>1152</v>
      </c>
      <c r="O175" s="7" t="s">
        <v>1153</v>
      </c>
      <c r="P175" s="7" t="s">
        <v>1011</v>
      </c>
      <c r="Z175" s="3" t="str">
        <f ca="1">HYPERLINK("#"&amp;단가산출근거목록표!J2&amp;"!A"&amp;ROW(단가산출근거목록표!A11),"D01030 →")</f>
        <v>D01030 →</v>
      </c>
    </row>
    <row r="176" spans="1:26" ht="28.7" customHeight="1" x14ac:dyDescent="0.3">
      <c r="A176" s="10" t="s">
        <v>187</v>
      </c>
      <c r="B176" s="10" t="s">
        <v>188</v>
      </c>
      <c r="C176" s="85">
        <v>0.35</v>
      </c>
      <c r="D176" s="32" t="s">
        <v>26</v>
      </c>
      <c r="E176" s="62">
        <f t="shared" si="32"/>
        <v>4340</v>
      </c>
      <c r="F176" s="90">
        <f t="shared" si="32"/>
        <v>1518.9</v>
      </c>
      <c r="G176" s="91">
        <f>단가산출근거목록표!F19</f>
        <v>2403</v>
      </c>
      <c r="H176" s="92">
        <f>IF(C176=0,0,ROUNDDOWN(G176*C176,1))</f>
        <v>841</v>
      </c>
      <c r="I176" s="91">
        <f>단가산출근거목록표!G19</f>
        <v>823</v>
      </c>
      <c r="J176" s="92">
        <f>IF(C176=0,0,ROUNDDOWN(I176*C176,1))</f>
        <v>288</v>
      </c>
      <c r="K176" s="91">
        <f>단가산출근거목록표!H19</f>
        <v>1114</v>
      </c>
      <c r="L176" s="92">
        <f>IF(C176=0,0,ROUNDDOWN(K176*C176,1))</f>
        <v>389.9</v>
      </c>
      <c r="M176" s="23" t="s">
        <v>1094</v>
      </c>
      <c r="N176" s="17" t="s">
        <v>1092</v>
      </c>
      <c r="O176" s="7" t="s">
        <v>1093</v>
      </c>
      <c r="P176" s="7" t="s">
        <v>1011</v>
      </c>
      <c r="Z176" s="3" t="str">
        <f ca="1">HYPERLINK("#"&amp;단가산출근거목록표!J2&amp;"!A"&amp;ROW(단가산출근거목록표!A19),"D01456 →")</f>
        <v>D01456 →</v>
      </c>
    </row>
    <row r="177" spans="1:26" ht="28.7" customHeight="1" x14ac:dyDescent="0.3">
      <c r="A177" s="10" t="s">
        <v>194</v>
      </c>
      <c r="B177" s="10" t="s">
        <v>188</v>
      </c>
      <c r="C177" s="85">
        <v>0.35</v>
      </c>
      <c r="D177" s="32" t="s">
        <v>26</v>
      </c>
      <c r="E177" s="62">
        <f t="shared" si="32"/>
        <v>1192</v>
      </c>
      <c r="F177" s="90">
        <f t="shared" si="32"/>
        <v>417.20000000000005</v>
      </c>
      <c r="G177" s="91">
        <f>단가산출근거목록표!F21</f>
        <v>660</v>
      </c>
      <c r="H177" s="92">
        <f>IF(C177=0,0,ROUNDDOWN(G177*C177,1))</f>
        <v>231</v>
      </c>
      <c r="I177" s="91">
        <f>단가산출근거목록표!G21</f>
        <v>226</v>
      </c>
      <c r="J177" s="92">
        <f>IF(C177=0,0,ROUNDDOWN(I177*C177,1))</f>
        <v>79.099999999999994</v>
      </c>
      <c r="K177" s="91">
        <f>단가산출근거목록표!H21</f>
        <v>306</v>
      </c>
      <c r="L177" s="92">
        <f>IF(C177=0,0,ROUNDDOWN(K177*C177,1))</f>
        <v>107.1</v>
      </c>
      <c r="M177" s="23" t="s">
        <v>1100</v>
      </c>
      <c r="N177" s="17" t="s">
        <v>1098</v>
      </c>
      <c r="O177" s="7" t="s">
        <v>1099</v>
      </c>
      <c r="P177" s="7" t="s">
        <v>1011</v>
      </c>
      <c r="Z177" s="3" t="str">
        <f ca="1">HYPERLINK("#"&amp;단가산출근거목록표!J2&amp;"!A"&amp;ROW(단가산출근거목록표!A21),"D01475 →")</f>
        <v>D01475 →</v>
      </c>
    </row>
    <row r="178" spans="1:26" ht="28.7" customHeight="1" x14ac:dyDescent="0.3">
      <c r="A178" s="23" t="s">
        <v>1101</v>
      </c>
      <c r="B178" s="56"/>
      <c r="C178" s="56"/>
      <c r="D178" s="56"/>
      <c r="E178" s="56"/>
      <c r="F178" s="54">
        <f>J178+H178+L178</f>
        <v>90311</v>
      </c>
      <c r="G178" s="56"/>
      <c r="H178" s="54">
        <f>ROUNDDOWN(SUMIF(P173:P177,O178,H173:H177),0)</f>
        <v>69239</v>
      </c>
      <c r="I178" s="56"/>
      <c r="J178" s="54">
        <f>ROUNDDOWN(SUMIF(P173:P177,O178,J173:J177),0)</f>
        <v>8034</v>
      </c>
      <c r="K178" s="56"/>
      <c r="L178" s="54">
        <f>ROUNDDOWN(SUMIF(P173:P177,O178,L173:L177),0)</f>
        <v>13038</v>
      </c>
      <c r="M178" s="56"/>
      <c r="O178" s="7" t="s">
        <v>1011</v>
      </c>
      <c r="P178" s="7" t="s">
        <v>1102</v>
      </c>
    </row>
    <row r="179" spans="1:26" ht="28.7" customHeight="1" x14ac:dyDescent="0.3">
      <c r="A179" s="14" t="s">
        <v>1103</v>
      </c>
      <c r="B179" s="14"/>
      <c r="C179" s="86">
        <v>87.745000000000005</v>
      </c>
      <c r="D179" s="14"/>
      <c r="E179" s="88"/>
      <c r="F179" s="72">
        <f>J179+H179+L179</f>
        <v>79242</v>
      </c>
      <c r="G179" s="88"/>
      <c r="H179" s="72">
        <f>ROUNDDOWN(H178*C179/100,0)</f>
        <v>60753</v>
      </c>
      <c r="I179" s="88"/>
      <c r="J179" s="72">
        <f>ROUNDDOWN(J178*C179/100,0)</f>
        <v>7049</v>
      </c>
      <c r="K179" s="88"/>
      <c r="L179" s="72">
        <f>ROUNDDOWN(L178*C179/100,0)</f>
        <v>11440</v>
      </c>
      <c r="M179" s="88"/>
      <c r="O179" s="7" t="s">
        <v>1102</v>
      </c>
    </row>
    <row r="180" spans="1:26" ht="28.7" customHeight="1" x14ac:dyDescent="0.3">
      <c r="A180" s="82" t="s">
        <v>108</v>
      </c>
      <c r="B180" s="82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97" t="str">
        <f>HYPERLINK("#N"&amp;ROW(N185),"_x0005_`BDCOD|B02126_x0007_`POSS|"&amp;ROW(N182)&amp;"_x0007_`POSE|"&amp;ROW(N185)&amp;"_x0007_`")</f>
        <v>_x0005_`BDCOD|B02126_x0007_`POSS|182_x0007_`POSE|185_x0007_`</v>
      </c>
    </row>
    <row r="181" spans="1:26" ht="28.7" customHeight="1" x14ac:dyDescent="0.3">
      <c r="A181" s="43" t="s">
        <v>110</v>
      </c>
      <c r="B181" s="43" t="s">
        <v>111</v>
      </c>
      <c r="C181" s="84"/>
      <c r="D181" s="87" t="s">
        <v>14</v>
      </c>
      <c r="E181" s="84"/>
      <c r="F181" s="84"/>
      <c r="G181" s="84"/>
      <c r="H181" s="84"/>
      <c r="I181" s="84"/>
      <c r="J181" s="84"/>
      <c r="K181" s="84"/>
      <c r="L181" s="84"/>
      <c r="M181" s="87" t="s">
        <v>112</v>
      </c>
      <c r="O181" s="7" t="s">
        <v>112</v>
      </c>
    </row>
    <row r="182" spans="1:26" ht="28.7" customHeight="1" x14ac:dyDescent="0.3">
      <c r="A182" s="10" t="s">
        <v>448</v>
      </c>
      <c r="B182" s="10" t="s">
        <v>445</v>
      </c>
      <c r="C182" s="85">
        <v>0.2</v>
      </c>
      <c r="D182" s="32" t="s">
        <v>449</v>
      </c>
      <c r="E182" s="62">
        <f t="shared" ref="E182:F185" si="33">I182+G182+K182</f>
        <v>0</v>
      </c>
      <c r="F182" s="89">
        <f t="shared" si="33"/>
        <v>0</v>
      </c>
      <c r="G182" s="58">
        <v>0</v>
      </c>
      <c r="H182" s="90">
        <f>IF(C182=0,0,ROUNDDOWN(G182*C182,1))</f>
        <v>0</v>
      </c>
      <c r="I182" s="91">
        <f>재료비목록표!E13</f>
        <v>0</v>
      </c>
      <c r="J182" s="93">
        <f>IF(C182=0,0,ROUNDDOWN(I182*C182,1))</f>
        <v>0</v>
      </c>
      <c r="K182" s="58">
        <v>0</v>
      </c>
      <c r="L182" s="90">
        <f>IF(C182=0,0,ROUNDDOWN(K182*C182,1))</f>
        <v>0</v>
      </c>
      <c r="M182" s="23" t="s">
        <v>1157</v>
      </c>
      <c r="N182" s="17" t="s">
        <v>1155</v>
      </c>
      <c r="O182" s="7" t="s">
        <v>1156</v>
      </c>
      <c r="P182" s="7" t="s">
        <v>1011</v>
      </c>
      <c r="Z182" s="3" t="str">
        <f ca="1">HYPERLINK("#"&amp;재료비목록표!G2&amp;"!A"&amp;ROW(재료비목록표!A13),"M00125 →")</f>
        <v>M00125 →</v>
      </c>
    </row>
    <row r="183" spans="1:26" ht="28.7" customHeight="1" x14ac:dyDescent="0.3">
      <c r="A183" s="10" t="s">
        <v>179</v>
      </c>
      <c r="B183" s="10" t="s">
        <v>180</v>
      </c>
      <c r="C183" s="85">
        <v>0.2</v>
      </c>
      <c r="D183" s="32" t="s">
        <v>26</v>
      </c>
      <c r="E183" s="62">
        <f t="shared" si="33"/>
        <v>29077</v>
      </c>
      <c r="F183" s="90">
        <f t="shared" si="33"/>
        <v>5815.4</v>
      </c>
      <c r="G183" s="91">
        <f>단가산출근거목록표!F17</f>
        <v>28231</v>
      </c>
      <c r="H183" s="92">
        <f>IF(C183=0,0,ROUNDDOWN(G183*C183,1))</f>
        <v>5646.2</v>
      </c>
      <c r="I183" s="91">
        <f>단가산출근거목록표!G17</f>
        <v>0</v>
      </c>
      <c r="J183" s="92">
        <f>IF(C183=0,0,ROUNDDOWN(I183*C183,1))</f>
        <v>0</v>
      </c>
      <c r="K183" s="91">
        <f>단가산출근거목록표!H17</f>
        <v>846</v>
      </c>
      <c r="L183" s="92">
        <f>IF(C183=0,0,ROUNDDOWN(K183*C183,1))</f>
        <v>169.2</v>
      </c>
      <c r="M183" s="23" t="s">
        <v>1160</v>
      </c>
      <c r="N183" s="17" t="s">
        <v>1158</v>
      </c>
      <c r="O183" s="7" t="s">
        <v>1159</v>
      </c>
      <c r="P183" s="7" t="s">
        <v>1011</v>
      </c>
      <c r="Z183" s="3" t="str">
        <f ca="1">HYPERLINK("#"&amp;단가산출근거목록표!J2&amp;"!A"&amp;ROW(단가산출근거목록표!A17),"D01354 →")</f>
        <v>D01354 →</v>
      </c>
    </row>
    <row r="184" spans="1:26" ht="28.7" customHeight="1" x14ac:dyDescent="0.3">
      <c r="A184" s="10" t="s">
        <v>470</v>
      </c>
      <c r="B184" s="10" t="s">
        <v>471</v>
      </c>
      <c r="C184" s="85">
        <v>1.1599999999999999</v>
      </c>
      <c r="D184" s="32" t="s">
        <v>409</v>
      </c>
      <c r="E184" s="62">
        <f t="shared" si="33"/>
        <v>4418</v>
      </c>
      <c r="F184" s="89">
        <f t="shared" si="33"/>
        <v>5124.8</v>
      </c>
      <c r="G184" s="58">
        <v>0</v>
      </c>
      <c r="H184" s="90">
        <f>IF(C184=0,0,ROUNDDOWN(G184*C184,1))</f>
        <v>0</v>
      </c>
      <c r="I184" s="91">
        <f>재료비목록표!E19</f>
        <v>4418</v>
      </c>
      <c r="J184" s="93">
        <f>IF(C184=0,0,ROUNDDOWN(I184*C184,1))</f>
        <v>5124.8</v>
      </c>
      <c r="K184" s="58">
        <v>0</v>
      </c>
      <c r="L184" s="90">
        <f>IF(C184=0,0,ROUNDDOWN(K184*C184,1))</f>
        <v>0</v>
      </c>
      <c r="M184" s="23" t="s">
        <v>1163</v>
      </c>
      <c r="N184" s="17" t="s">
        <v>1161</v>
      </c>
      <c r="O184" s="7" t="s">
        <v>1162</v>
      </c>
      <c r="P184" s="7" t="s">
        <v>1011</v>
      </c>
      <c r="Z184" s="3" t="str">
        <f ca="1">HYPERLINK("#"&amp;재료비목록표!G2&amp;"!A"&amp;ROW(재료비목록표!A19),"M00231 →")</f>
        <v>M00231 →</v>
      </c>
    </row>
    <row r="185" spans="1:26" ht="28.7" customHeight="1" x14ac:dyDescent="0.3">
      <c r="A185" s="10" t="s">
        <v>407</v>
      </c>
      <c r="B185" s="10" t="s">
        <v>408</v>
      </c>
      <c r="C185" s="85">
        <v>2.06</v>
      </c>
      <c r="D185" s="32" t="s">
        <v>409</v>
      </c>
      <c r="E185" s="62">
        <f t="shared" si="33"/>
        <v>767</v>
      </c>
      <c r="F185" s="89">
        <f t="shared" si="33"/>
        <v>1580</v>
      </c>
      <c r="G185" s="58">
        <v>0</v>
      </c>
      <c r="H185" s="90">
        <f>IF(C185=0,0,ROUNDDOWN(G185*C185,1))</f>
        <v>0</v>
      </c>
      <c r="I185" s="91">
        <f>재료비목록표!E4</f>
        <v>767</v>
      </c>
      <c r="J185" s="93">
        <f>IF(C185=0,0,ROUNDDOWN(I185*C185,1))</f>
        <v>1580</v>
      </c>
      <c r="K185" s="58">
        <v>0</v>
      </c>
      <c r="L185" s="90">
        <f>IF(C185=0,0,ROUNDDOWN(K185*C185,1))</f>
        <v>0</v>
      </c>
      <c r="M185" s="23" t="s">
        <v>1166</v>
      </c>
      <c r="N185" s="17" t="s">
        <v>1164</v>
      </c>
      <c r="O185" s="7" t="s">
        <v>1165</v>
      </c>
      <c r="P185" s="7" t="s">
        <v>1011</v>
      </c>
      <c r="Z185" s="3" t="str">
        <f ca="1">HYPERLINK("#"&amp;재료비목록표!G2&amp;"!A"&amp;ROW(재료비목록표!A4),"M00011 →")</f>
        <v>M00011 →</v>
      </c>
    </row>
    <row r="186" spans="1:26" ht="28.7" customHeight="1" x14ac:dyDescent="0.3">
      <c r="A186" s="23" t="s">
        <v>1101</v>
      </c>
      <c r="B186" s="56"/>
      <c r="C186" s="56"/>
      <c r="D186" s="56"/>
      <c r="E186" s="56"/>
      <c r="F186" s="54">
        <f>J186+H186+L186</f>
        <v>12519</v>
      </c>
      <c r="G186" s="56"/>
      <c r="H186" s="54">
        <f>ROUNDDOWN(SUMIF(P182:P185,O186,H182:H185),0)</f>
        <v>5646</v>
      </c>
      <c r="I186" s="56"/>
      <c r="J186" s="54">
        <f>ROUNDDOWN(SUMIF(P182:P185,O186,J182:J185),0)</f>
        <v>6704</v>
      </c>
      <c r="K186" s="56"/>
      <c r="L186" s="54">
        <f>ROUNDDOWN(SUMIF(P182:P185,O186,L182:L185),0)</f>
        <v>169</v>
      </c>
      <c r="M186" s="56"/>
      <c r="O186" s="7" t="s">
        <v>1011</v>
      </c>
      <c r="P186" s="7" t="s">
        <v>1102</v>
      </c>
    </row>
    <row r="187" spans="1:26" ht="28.7" customHeight="1" x14ac:dyDescent="0.3">
      <c r="A187" s="14" t="s">
        <v>1103</v>
      </c>
      <c r="B187" s="14"/>
      <c r="C187" s="86">
        <v>87.745000000000005</v>
      </c>
      <c r="D187" s="14"/>
      <c r="E187" s="88"/>
      <c r="F187" s="72">
        <f>J187+H187+L187</f>
        <v>10984</v>
      </c>
      <c r="G187" s="88"/>
      <c r="H187" s="72">
        <f>ROUNDDOWN(H186*C187/100,0)</f>
        <v>4954</v>
      </c>
      <c r="I187" s="88"/>
      <c r="J187" s="72">
        <f>ROUNDDOWN(J186*C187/100,0)</f>
        <v>5882</v>
      </c>
      <c r="K187" s="88"/>
      <c r="L187" s="72">
        <f>ROUNDDOWN(L186*C187/100,0)</f>
        <v>148</v>
      </c>
      <c r="M187" s="88"/>
      <c r="O187" s="7" t="s">
        <v>1102</v>
      </c>
    </row>
    <row r="188" spans="1:26" ht="28.7" customHeight="1" x14ac:dyDescent="0.3">
      <c r="A188" s="82" t="s">
        <v>113</v>
      </c>
      <c r="B188" s="82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97" t="str">
        <f>HYPERLINK("#N"&amp;ROW(N191),"_x0005_`BDCOD|B02127_x0007_`POSS|"&amp;ROW(N190)&amp;"_x0007_`POSE|"&amp;ROW(N191)&amp;"_x0007_`")</f>
        <v>_x0005_`BDCOD|B02127_x0007_`POSS|190_x0007_`POSE|191_x0007_`</v>
      </c>
    </row>
    <row r="189" spans="1:26" ht="28.7" customHeight="1" x14ac:dyDescent="0.3">
      <c r="A189" s="43" t="s">
        <v>115</v>
      </c>
      <c r="B189" s="43" t="s">
        <v>116</v>
      </c>
      <c r="C189" s="84"/>
      <c r="D189" s="87" t="s">
        <v>50</v>
      </c>
      <c r="E189" s="84"/>
      <c r="F189" s="84"/>
      <c r="G189" s="84"/>
      <c r="H189" s="84"/>
      <c r="I189" s="84"/>
      <c r="J189" s="84"/>
      <c r="K189" s="84"/>
      <c r="L189" s="84"/>
      <c r="M189" s="87" t="s">
        <v>117</v>
      </c>
      <c r="O189" s="7" t="s">
        <v>117</v>
      </c>
    </row>
    <row r="190" spans="1:26" ht="28.7" customHeight="1" x14ac:dyDescent="0.3">
      <c r="A190" s="10" t="s">
        <v>12</v>
      </c>
      <c r="B190" s="10" t="s">
        <v>59</v>
      </c>
      <c r="C190" s="85">
        <v>0.2</v>
      </c>
      <c r="D190" s="32" t="s">
        <v>14</v>
      </c>
      <c r="E190" s="62">
        <f>I190+G190+K190</f>
        <v>36111</v>
      </c>
      <c r="F190" s="90">
        <f>J190+H190+L190</f>
        <v>7222.2000000000007</v>
      </c>
      <c r="G190" s="91">
        <f>일위대가목록표!F13</f>
        <v>31528</v>
      </c>
      <c r="H190" s="92">
        <f>IF(C190=0,0,ROUNDDOWN(G190*C190,1))</f>
        <v>6305.6</v>
      </c>
      <c r="I190" s="91">
        <f>일위대가목록표!G13</f>
        <v>3638</v>
      </c>
      <c r="J190" s="92">
        <f>IF(C190=0,0,ROUNDDOWN(I190*C190,1))</f>
        <v>727.6</v>
      </c>
      <c r="K190" s="91">
        <f>일위대가목록표!H13</f>
        <v>945</v>
      </c>
      <c r="L190" s="92">
        <f>IF(C190=0,0,ROUNDDOWN(K190*C190,1))</f>
        <v>189</v>
      </c>
      <c r="M190" s="23" t="s">
        <v>1130</v>
      </c>
      <c r="N190" s="17" t="s">
        <v>1128</v>
      </c>
      <c r="O190" s="7" t="s">
        <v>1129</v>
      </c>
      <c r="P190" s="7" t="s">
        <v>1011</v>
      </c>
      <c r="Z190" s="3" t="str">
        <f ca="1">HYPERLINK("#"&amp;일위대가목록표!J2&amp;"!A"&amp;ROW(일위대가목록표!A13),"B01299 →")</f>
        <v>B01299 →</v>
      </c>
    </row>
    <row r="191" spans="1:26" ht="28.7" customHeight="1" x14ac:dyDescent="0.3">
      <c r="A191" s="10" t="s">
        <v>412</v>
      </c>
      <c r="B191" s="10" t="s">
        <v>413</v>
      </c>
      <c r="C191" s="85">
        <v>1</v>
      </c>
      <c r="D191" s="32" t="s">
        <v>414</v>
      </c>
      <c r="E191" s="62">
        <f>I191+G191+K191</f>
        <v>142</v>
      </c>
      <c r="F191" s="89">
        <f>J191+H191+L191</f>
        <v>142</v>
      </c>
      <c r="G191" s="58">
        <v>0</v>
      </c>
      <c r="H191" s="90">
        <f>IF(C191=0,0,ROUNDDOWN(G191*C191,1))</f>
        <v>0</v>
      </c>
      <c r="I191" s="91">
        <f>재료비목록표!E5</f>
        <v>142</v>
      </c>
      <c r="J191" s="93">
        <f>IF(C191=0,0,ROUNDDOWN(I191*C191,1))</f>
        <v>142</v>
      </c>
      <c r="K191" s="58">
        <v>0</v>
      </c>
      <c r="L191" s="90">
        <f>IF(C191=0,0,ROUNDDOWN(K191*C191,1))</f>
        <v>0</v>
      </c>
      <c r="M191" s="23" t="s">
        <v>1169</v>
      </c>
      <c r="N191" s="17" t="s">
        <v>1167</v>
      </c>
      <c r="O191" s="7" t="s">
        <v>1168</v>
      </c>
      <c r="P191" s="7" t="s">
        <v>1011</v>
      </c>
      <c r="Z191" s="3" t="str">
        <f ca="1">HYPERLINK("#"&amp;재료비목록표!G2&amp;"!A"&amp;ROW(재료비목록표!A5),"M00026 →")</f>
        <v>M00026 →</v>
      </c>
    </row>
    <row r="192" spans="1:26" ht="28.7" customHeight="1" x14ac:dyDescent="0.3">
      <c r="A192" s="23" t="s">
        <v>1101</v>
      </c>
      <c r="B192" s="56"/>
      <c r="C192" s="56"/>
      <c r="D192" s="56"/>
      <c r="E192" s="56"/>
      <c r="F192" s="54">
        <f>J192+H192+L192</f>
        <v>7363</v>
      </c>
      <c r="G192" s="56"/>
      <c r="H192" s="54">
        <f>ROUNDDOWN(SUMIF(P190:P191,O192,H190:H191),0)</f>
        <v>6305</v>
      </c>
      <c r="I192" s="56"/>
      <c r="J192" s="54">
        <f>ROUNDDOWN(SUMIF(P190:P191,O192,J190:J191),0)</f>
        <v>869</v>
      </c>
      <c r="K192" s="56"/>
      <c r="L192" s="54">
        <f>ROUNDDOWN(SUMIF(P190:P191,O192,L190:L191),0)</f>
        <v>189</v>
      </c>
      <c r="M192" s="56"/>
      <c r="O192" s="7" t="s">
        <v>1011</v>
      </c>
      <c r="P192" s="7" t="s">
        <v>1102</v>
      </c>
    </row>
    <row r="193" spans="1:26" ht="28.7" customHeight="1" x14ac:dyDescent="0.3">
      <c r="A193" s="14" t="s">
        <v>1103</v>
      </c>
      <c r="B193" s="14"/>
      <c r="C193" s="86">
        <v>87.745000000000005</v>
      </c>
      <c r="D193" s="14"/>
      <c r="E193" s="88"/>
      <c r="F193" s="72">
        <f>J193+H193+L193</f>
        <v>6459</v>
      </c>
      <c r="G193" s="88"/>
      <c r="H193" s="72">
        <f>ROUNDDOWN(H192*C193/100,0)</f>
        <v>5532</v>
      </c>
      <c r="I193" s="88"/>
      <c r="J193" s="72">
        <f>ROUNDDOWN(J192*C193/100,0)</f>
        <v>762</v>
      </c>
      <c r="K193" s="88"/>
      <c r="L193" s="72">
        <f>ROUNDDOWN(L192*C193/100,0)</f>
        <v>165</v>
      </c>
      <c r="M193" s="88"/>
      <c r="O193" s="7" t="s">
        <v>1102</v>
      </c>
    </row>
    <row r="194" spans="1:26" ht="28.7" customHeight="1" x14ac:dyDescent="0.3">
      <c r="A194" s="82" t="s">
        <v>118</v>
      </c>
      <c r="B194" s="82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97" t="str">
        <f>HYPERLINK("#N"&amp;ROW(N203),"_x0005_`BDCOD|B02128_x0007_`POSS|"&amp;ROW(N196)&amp;"_x0007_`POSE|"&amp;ROW(N203)&amp;"_x0007_`")</f>
        <v>_x0005_`BDCOD|B02128_x0007_`POSS|196_x0007_`POSE|203_x0007_`</v>
      </c>
    </row>
    <row r="195" spans="1:26" ht="28.7" customHeight="1" x14ac:dyDescent="0.3">
      <c r="A195" s="43" t="s">
        <v>120</v>
      </c>
      <c r="B195" s="43" t="s">
        <v>121</v>
      </c>
      <c r="C195" s="84"/>
      <c r="D195" s="87" t="s">
        <v>50</v>
      </c>
      <c r="E195" s="84"/>
      <c r="F195" s="84"/>
      <c r="G195" s="84"/>
      <c r="H195" s="84"/>
      <c r="I195" s="84"/>
      <c r="J195" s="84"/>
      <c r="K195" s="84"/>
      <c r="L195" s="84"/>
      <c r="M195" s="87" t="s">
        <v>122</v>
      </c>
      <c r="O195" s="7" t="s">
        <v>122</v>
      </c>
    </row>
    <row r="196" spans="1:26" ht="28.7" customHeight="1" x14ac:dyDescent="0.3">
      <c r="A196" s="10" t="s">
        <v>170</v>
      </c>
      <c r="B196" s="10" t="s">
        <v>171</v>
      </c>
      <c r="C196" s="85">
        <v>0.47699999999999998</v>
      </c>
      <c r="D196" s="32" t="s">
        <v>26</v>
      </c>
      <c r="E196" s="62">
        <f t="shared" ref="E196:F203" si="34">I196+G196+K196</f>
        <v>28767</v>
      </c>
      <c r="F196" s="90">
        <f t="shared" si="34"/>
        <v>13721.7</v>
      </c>
      <c r="G196" s="91">
        <f>단가산출근거목록표!F14</f>
        <v>22622</v>
      </c>
      <c r="H196" s="92">
        <f t="shared" ref="H196:H203" si="35">IF(C196=0,0,ROUNDDOWN(G196*C196,1))</f>
        <v>10790.6</v>
      </c>
      <c r="I196" s="91">
        <f>단가산출근거목록표!G14</f>
        <v>2480</v>
      </c>
      <c r="J196" s="92">
        <f t="shared" ref="J196:J203" si="36">IF(C196=0,0,ROUNDDOWN(I196*C196,1))</f>
        <v>1182.9000000000001</v>
      </c>
      <c r="K196" s="91">
        <f>단가산출근거목록표!H14</f>
        <v>3665</v>
      </c>
      <c r="L196" s="92">
        <f t="shared" ref="L196:L203" si="37">IF(C196=0,0,ROUNDDOWN(K196*C196,1))</f>
        <v>1748.2</v>
      </c>
      <c r="M196" s="23" t="s">
        <v>1127</v>
      </c>
      <c r="N196" s="17" t="s">
        <v>1125</v>
      </c>
      <c r="O196" s="7" t="s">
        <v>1126</v>
      </c>
      <c r="P196" s="7" t="s">
        <v>1011</v>
      </c>
      <c r="Z196" s="3" t="str">
        <f ca="1">HYPERLINK("#"&amp;단가산출근거목록표!J2&amp;"!A"&amp;ROW(단가산출근거목록표!A14),"D01336 →")</f>
        <v>D01336 →</v>
      </c>
    </row>
    <row r="197" spans="1:26" ht="28.7" customHeight="1" x14ac:dyDescent="0.3">
      <c r="A197" s="10" t="s">
        <v>12</v>
      </c>
      <c r="B197" s="10" t="s">
        <v>13</v>
      </c>
      <c r="C197" s="85">
        <v>0.127</v>
      </c>
      <c r="D197" s="32" t="s">
        <v>14</v>
      </c>
      <c r="E197" s="62">
        <f t="shared" si="34"/>
        <v>41540</v>
      </c>
      <c r="F197" s="90">
        <f t="shared" si="34"/>
        <v>5275.4000000000005</v>
      </c>
      <c r="G197" s="91">
        <f>일위대가목록표!F4</f>
        <v>36032</v>
      </c>
      <c r="H197" s="92">
        <f t="shared" si="35"/>
        <v>4576</v>
      </c>
      <c r="I197" s="91">
        <f>일위대가목록표!G4</f>
        <v>4428</v>
      </c>
      <c r="J197" s="92">
        <f t="shared" si="36"/>
        <v>562.29999999999995</v>
      </c>
      <c r="K197" s="91">
        <f>일위대가목록표!H4</f>
        <v>1080</v>
      </c>
      <c r="L197" s="92">
        <f t="shared" si="37"/>
        <v>137.1</v>
      </c>
      <c r="M197" s="23" t="s">
        <v>1172</v>
      </c>
      <c r="N197" s="17" t="s">
        <v>1170</v>
      </c>
      <c r="O197" s="7" t="s">
        <v>1171</v>
      </c>
      <c r="P197" s="7" t="s">
        <v>1011</v>
      </c>
      <c r="Z197" s="3" t="str">
        <f ca="1">HYPERLINK("#"&amp;일위대가목록표!J2&amp;"!A"&amp;ROW(일위대가목록표!A4),"B00011 →")</f>
        <v>B00011 →</v>
      </c>
    </row>
    <row r="198" spans="1:26" ht="28.7" customHeight="1" x14ac:dyDescent="0.3">
      <c r="A198" s="10" t="s">
        <v>30</v>
      </c>
      <c r="B198" s="10"/>
      <c r="C198" s="85">
        <v>0.6</v>
      </c>
      <c r="D198" s="32" t="s">
        <v>14</v>
      </c>
      <c r="E198" s="62">
        <f t="shared" si="34"/>
        <v>27886</v>
      </c>
      <c r="F198" s="90">
        <f t="shared" si="34"/>
        <v>16731.600000000002</v>
      </c>
      <c r="G198" s="91">
        <f>일위대가목록표!F7</f>
        <v>24192</v>
      </c>
      <c r="H198" s="92">
        <f t="shared" si="35"/>
        <v>14515.2</v>
      </c>
      <c r="I198" s="91">
        <f>일위대가목록표!G7</f>
        <v>3694</v>
      </c>
      <c r="J198" s="92">
        <f t="shared" si="36"/>
        <v>2216.4</v>
      </c>
      <c r="K198" s="91">
        <f>일위대가목록표!H7</f>
        <v>0</v>
      </c>
      <c r="L198" s="92">
        <f t="shared" si="37"/>
        <v>0</v>
      </c>
      <c r="M198" s="23" t="s">
        <v>1175</v>
      </c>
      <c r="N198" s="17" t="s">
        <v>1173</v>
      </c>
      <c r="O198" s="7" t="s">
        <v>1174</v>
      </c>
      <c r="P198" s="7" t="s">
        <v>1011</v>
      </c>
      <c r="Z198" s="3" t="str">
        <f ca="1">HYPERLINK("#"&amp;일위대가목록표!J2&amp;"!A"&amp;ROW(일위대가목록표!A7),"B00233 →")</f>
        <v>B00233 →</v>
      </c>
    </row>
    <row r="199" spans="1:26" ht="28.7" customHeight="1" x14ac:dyDescent="0.3">
      <c r="A199" s="10" t="s">
        <v>34</v>
      </c>
      <c r="B199" s="10"/>
      <c r="C199" s="85">
        <v>1.56</v>
      </c>
      <c r="D199" s="32" t="s">
        <v>35</v>
      </c>
      <c r="E199" s="62">
        <f t="shared" si="34"/>
        <v>817</v>
      </c>
      <c r="F199" s="90">
        <f t="shared" si="34"/>
        <v>1274.3999999999999</v>
      </c>
      <c r="G199" s="91">
        <f>일위대가목록표!F8</f>
        <v>776</v>
      </c>
      <c r="H199" s="92">
        <f t="shared" si="35"/>
        <v>1210.5</v>
      </c>
      <c r="I199" s="91">
        <f>일위대가목록표!G8</f>
        <v>11</v>
      </c>
      <c r="J199" s="92">
        <f t="shared" si="36"/>
        <v>17.100000000000001</v>
      </c>
      <c r="K199" s="91">
        <f>일위대가목록표!H8</f>
        <v>30</v>
      </c>
      <c r="L199" s="92">
        <f t="shared" si="37"/>
        <v>46.8</v>
      </c>
      <c r="M199" s="23" t="s">
        <v>1178</v>
      </c>
      <c r="N199" s="17" t="s">
        <v>1176</v>
      </c>
      <c r="O199" s="7" t="s">
        <v>1177</v>
      </c>
      <c r="P199" s="7" t="s">
        <v>1011</v>
      </c>
      <c r="Z199" s="3" t="str">
        <f ca="1">HYPERLINK("#"&amp;일위대가목록표!J2&amp;"!A"&amp;ROW(일위대가목록표!A8),"B00287 →")</f>
        <v>B00287 →</v>
      </c>
    </row>
    <row r="200" spans="1:26" ht="28.7" customHeight="1" x14ac:dyDescent="0.3">
      <c r="A200" s="10" t="s">
        <v>412</v>
      </c>
      <c r="B200" s="10" t="s">
        <v>413</v>
      </c>
      <c r="C200" s="85">
        <v>1</v>
      </c>
      <c r="D200" s="32" t="s">
        <v>414</v>
      </c>
      <c r="E200" s="62">
        <f t="shared" si="34"/>
        <v>142</v>
      </c>
      <c r="F200" s="89">
        <f t="shared" si="34"/>
        <v>142</v>
      </c>
      <c r="G200" s="58">
        <v>0</v>
      </c>
      <c r="H200" s="90">
        <f t="shared" si="35"/>
        <v>0</v>
      </c>
      <c r="I200" s="91">
        <f>재료비목록표!E5</f>
        <v>142</v>
      </c>
      <c r="J200" s="93">
        <f t="shared" si="36"/>
        <v>142</v>
      </c>
      <c r="K200" s="58">
        <v>0</v>
      </c>
      <c r="L200" s="90">
        <f t="shared" si="37"/>
        <v>0</v>
      </c>
      <c r="M200" s="23" t="s">
        <v>1169</v>
      </c>
      <c r="N200" s="17" t="s">
        <v>1167</v>
      </c>
      <c r="O200" s="7" t="s">
        <v>1168</v>
      </c>
      <c r="P200" s="7" t="s">
        <v>1011</v>
      </c>
      <c r="Z200" s="3" t="str">
        <f ca="1">HYPERLINK("#"&amp;재료비목록표!G2&amp;"!A"&amp;ROW(재료비목록표!A5),"M00026 →")</f>
        <v>M00026 →</v>
      </c>
    </row>
    <row r="201" spans="1:26" ht="28.7" customHeight="1" x14ac:dyDescent="0.3">
      <c r="A201" s="10" t="s">
        <v>54</v>
      </c>
      <c r="B201" s="10" t="s">
        <v>55</v>
      </c>
      <c r="C201" s="85">
        <v>0.25</v>
      </c>
      <c r="D201" s="32" t="s">
        <v>50</v>
      </c>
      <c r="E201" s="62">
        <f t="shared" si="34"/>
        <v>1912</v>
      </c>
      <c r="F201" s="90">
        <f t="shared" si="34"/>
        <v>478</v>
      </c>
      <c r="G201" s="91">
        <f>일위대가목록표!F12</f>
        <v>0</v>
      </c>
      <c r="H201" s="92">
        <f t="shared" si="35"/>
        <v>0</v>
      </c>
      <c r="I201" s="91">
        <f>일위대가목록표!G12</f>
        <v>1912</v>
      </c>
      <c r="J201" s="92">
        <f t="shared" si="36"/>
        <v>478</v>
      </c>
      <c r="K201" s="91">
        <f>일위대가목록표!H12</f>
        <v>0</v>
      </c>
      <c r="L201" s="92">
        <f t="shared" si="37"/>
        <v>0</v>
      </c>
      <c r="M201" s="23" t="s">
        <v>1181</v>
      </c>
      <c r="N201" s="17" t="s">
        <v>1179</v>
      </c>
      <c r="O201" s="7" t="s">
        <v>1180</v>
      </c>
      <c r="P201" s="7" t="s">
        <v>1011</v>
      </c>
      <c r="Z201" s="3" t="str">
        <f ca="1">HYPERLINK("#"&amp;일위대가목록표!J2&amp;"!A"&amp;ROW(일위대가목록표!A12),"B00442 →")</f>
        <v>B00442 →</v>
      </c>
    </row>
    <row r="202" spans="1:26" ht="28.7" customHeight="1" x14ac:dyDescent="0.3">
      <c r="A202" s="10" t="s">
        <v>187</v>
      </c>
      <c r="B202" s="10" t="s">
        <v>188</v>
      </c>
      <c r="C202" s="85">
        <v>0.39500000000000002</v>
      </c>
      <c r="D202" s="32" t="s">
        <v>26</v>
      </c>
      <c r="E202" s="62">
        <f t="shared" si="34"/>
        <v>4340</v>
      </c>
      <c r="F202" s="90">
        <f t="shared" si="34"/>
        <v>1714.1</v>
      </c>
      <c r="G202" s="91">
        <f>단가산출근거목록표!F19</f>
        <v>2403</v>
      </c>
      <c r="H202" s="92">
        <f t="shared" si="35"/>
        <v>949.1</v>
      </c>
      <c r="I202" s="91">
        <f>단가산출근거목록표!G19</f>
        <v>823</v>
      </c>
      <c r="J202" s="92">
        <f t="shared" si="36"/>
        <v>325</v>
      </c>
      <c r="K202" s="91">
        <f>단가산출근거목록표!H19</f>
        <v>1114</v>
      </c>
      <c r="L202" s="92">
        <f t="shared" si="37"/>
        <v>440</v>
      </c>
      <c r="M202" s="23" t="s">
        <v>1094</v>
      </c>
      <c r="N202" s="17" t="s">
        <v>1092</v>
      </c>
      <c r="O202" s="7" t="s">
        <v>1093</v>
      </c>
      <c r="P202" s="7" t="s">
        <v>1011</v>
      </c>
      <c r="Z202" s="3" t="str">
        <f ca="1">HYPERLINK("#"&amp;단가산출근거목록표!J2&amp;"!A"&amp;ROW(단가산출근거목록표!A19),"D01456 →")</f>
        <v>D01456 →</v>
      </c>
    </row>
    <row r="203" spans="1:26" ht="28.7" customHeight="1" x14ac:dyDescent="0.3">
      <c r="A203" s="10" t="s">
        <v>191</v>
      </c>
      <c r="B203" s="10" t="s">
        <v>188</v>
      </c>
      <c r="C203" s="85">
        <v>0.39500000000000002</v>
      </c>
      <c r="D203" s="32" t="s">
        <v>26</v>
      </c>
      <c r="E203" s="62">
        <f t="shared" si="34"/>
        <v>4192</v>
      </c>
      <c r="F203" s="90">
        <f t="shared" si="34"/>
        <v>1655.7</v>
      </c>
      <c r="G203" s="91">
        <f>단가산출근거목록표!F20</f>
        <v>2923</v>
      </c>
      <c r="H203" s="92">
        <f t="shared" si="35"/>
        <v>1154.5</v>
      </c>
      <c r="I203" s="91">
        <f>단가산출근거목록표!G20</f>
        <v>539</v>
      </c>
      <c r="J203" s="92">
        <f t="shared" si="36"/>
        <v>212.9</v>
      </c>
      <c r="K203" s="91">
        <f>단가산출근거목록표!H20</f>
        <v>730</v>
      </c>
      <c r="L203" s="92">
        <f t="shared" si="37"/>
        <v>288.3</v>
      </c>
      <c r="M203" s="23" t="s">
        <v>1097</v>
      </c>
      <c r="N203" s="17" t="s">
        <v>1095</v>
      </c>
      <c r="O203" s="7" t="s">
        <v>1096</v>
      </c>
      <c r="P203" s="7" t="s">
        <v>1011</v>
      </c>
      <c r="Z203" s="3" t="str">
        <f ca="1">HYPERLINK("#"&amp;단가산출근거목록표!J2&amp;"!A"&amp;ROW(단가산출근거목록표!A20),"D01474 →")</f>
        <v>D01474 →</v>
      </c>
    </row>
    <row r="204" spans="1:26" ht="28.7" customHeight="1" x14ac:dyDescent="0.3">
      <c r="A204" s="23" t="s">
        <v>1101</v>
      </c>
      <c r="B204" s="56"/>
      <c r="C204" s="56"/>
      <c r="D204" s="56"/>
      <c r="E204" s="56"/>
      <c r="F204" s="54">
        <f>J204+H204+L204</f>
        <v>40991</v>
      </c>
      <c r="G204" s="56"/>
      <c r="H204" s="54">
        <f>ROUNDDOWN(SUMIF(P196:P203,O204,H196:H203),0)</f>
        <v>33195</v>
      </c>
      <c r="I204" s="56"/>
      <c r="J204" s="54">
        <f>ROUNDDOWN(SUMIF(P196:P203,O204,J196:J203),0)</f>
        <v>5136</v>
      </c>
      <c r="K204" s="56"/>
      <c r="L204" s="54">
        <f>ROUNDDOWN(SUMIF(P196:P203,O204,L196:L203),0)</f>
        <v>2660</v>
      </c>
      <c r="M204" s="56"/>
      <c r="O204" s="7" t="s">
        <v>1011</v>
      </c>
      <c r="P204" s="7" t="s">
        <v>1102</v>
      </c>
    </row>
    <row r="205" spans="1:26" ht="28.7" customHeight="1" x14ac:dyDescent="0.3">
      <c r="A205" s="14" t="s">
        <v>1103</v>
      </c>
      <c r="B205" s="14"/>
      <c r="C205" s="86">
        <v>87.745000000000005</v>
      </c>
      <c r="D205" s="14"/>
      <c r="E205" s="88"/>
      <c r="F205" s="72">
        <f>J205+H205+L205</f>
        <v>35966</v>
      </c>
      <c r="G205" s="88"/>
      <c r="H205" s="72">
        <f>ROUNDDOWN(H204*C205/100,0)</f>
        <v>29126</v>
      </c>
      <c r="I205" s="88"/>
      <c r="J205" s="72">
        <f>ROUNDDOWN(J204*C205/100,0)</f>
        <v>4506</v>
      </c>
      <c r="K205" s="88"/>
      <c r="L205" s="72">
        <f>ROUNDDOWN(L204*C205/100,0)</f>
        <v>2334</v>
      </c>
      <c r="M205" s="88"/>
      <c r="O205" s="7" t="s">
        <v>1102</v>
      </c>
    </row>
    <row r="206" spans="1:26" ht="28.7" customHeight="1" x14ac:dyDescent="0.3">
      <c r="A206" s="82" t="s">
        <v>123</v>
      </c>
      <c r="B206" s="82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97" t="str">
        <f>HYPERLINK("#N"&amp;ROW(N209),"_x0005_`BDCOD|B02129_x0007_`POSS|"&amp;ROW(N208)&amp;"_x0007_`POSE|"&amp;ROW(N209)&amp;"_x0007_`")</f>
        <v>_x0005_`BDCOD|B02129_x0007_`POSS|208_x0007_`POSE|209_x0007_`</v>
      </c>
    </row>
    <row r="207" spans="1:26" ht="28.7" customHeight="1" x14ac:dyDescent="0.3">
      <c r="A207" s="43" t="s">
        <v>86</v>
      </c>
      <c r="B207" s="43" t="s">
        <v>125</v>
      </c>
      <c r="C207" s="84"/>
      <c r="D207" s="87" t="s">
        <v>82</v>
      </c>
      <c r="E207" s="84"/>
      <c r="F207" s="84"/>
      <c r="G207" s="84"/>
      <c r="H207" s="84"/>
      <c r="I207" s="84"/>
      <c r="J207" s="84"/>
      <c r="K207" s="84"/>
      <c r="L207" s="84"/>
      <c r="M207" s="87" t="s">
        <v>126</v>
      </c>
      <c r="O207" s="7" t="s">
        <v>126</v>
      </c>
    </row>
    <row r="208" spans="1:26" ht="28.7" customHeight="1" x14ac:dyDescent="0.3">
      <c r="A208" s="10" t="s">
        <v>170</v>
      </c>
      <c r="B208" s="10" t="s">
        <v>171</v>
      </c>
      <c r="C208" s="85">
        <v>0.1</v>
      </c>
      <c r="D208" s="32" t="s">
        <v>26</v>
      </c>
      <c r="E208" s="62">
        <f>I208+G208+K208</f>
        <v>28767</v>
      </c>
      <c r="F208" s="90">
        <f>J208+H208+L208</f>
        <v>2876.7</v>
      </c>
      <c r="G208" s="91">
        <f>단가산출근거목록표!F14</f>
        <v>22622</v>
      </c>
      <c r="H208" s="92">
        <f>IF(C208=0,0,ROUNDDOWN(G208*C208,1))</f>
        <v>2262.1999999999998</v>
      </c>
      <c r="I208" s="91">
        <f>단가산출근거목록표!G14</f>
        <v>2480</v>
      </c>
      <c r="J208" s="92">
        <f>IF(C208=0,0,ROUNDDOWN(I208*C208,1))</f>
        <v>248</v>
      </c>
      <c r="K208" s="91">
        <f>단가산출근거목록표!H14</f>
        <v>3665</v>
      </c>
      <c r="L208" s="92">
        <f>IF(C208=0,0,ROUNDDOWN(K208*C208,1))</f>
        <v>366.5</v>
      </c>
      <c r="M208" s="23" t="s">
        <v>1127</v>
      </c>
      <c r="N208" s="17" t="s">
        <v>1125</v>
      </c>
      <c r="O208" s="7" t="s">
        <v>1126</v>
      </c>
      <c r="P208" s="7" t="s">
        <v>1011</v>
      </c>
      <c r="Z208" s="3" t="str">
        <f ca="1">HYPERLINK("#"&amp;단가산출근거목록표!J2&amp;"!A"&amp;ROW(단가산출근거목록표!A14),"D01336 →")</f>
        <v>D01336 →</v>
      </c>
    </row>
    <row r="209" spans="1:26" ht="28.7" customHeight="1" x14ac:dyDescent="0.3">
      <c r="A209" s="10" t="s">
        <v>12</v>
      </c>
      <c r="B209" s="10" t="s">
        <v>59</v>
      </c>
      <c r="C209" s="85">
        <v>0.96</v>
      </c>
      <c r="D209" s="32" t="s">
        <v>14</v>
      </c>
      <c r="E209" s="62">
        <f>I209+G209+K209</f>
        <v>36111</v>
      </c>
      <c r="F209" s="90">
        <f>J209+H209+L209</f>
        <v>34666.399999999994</v>
      </c>
      <c r="G209" s="91">
        <f>일위대가목록표!F13</f>
        <v>31528</v>
      </c>
      <c r="H209" s="92">
        <f>IF(C209=0,0,ROUNDDOWN(G209*C209,1))</f>
        <v>30266.799999999999</v>
      </c>
      <c r="I209" s="91">
        <f>일위대가목록표!G13</f>
        <v>3638</v>
      </c>
      <c r="J209" s="92">
        <f>IF(C209=0,0,ROUNDDOWN(I209*C209,1))</f>
        <v>3492.4</v>
      </c>
      <c r="K209" s="91">
        <f>일위대가목록표!H13</f>
        <v>945</v>
      </c>
      <c r="L209" s="92">
        <f>IF(C209=0,0,ROUNDDOWN(K209*C209,1))</f>
        <v>907.2</v>
      </c>
      <c r="M209" s="23" t="s">
        <v>1130</v>
      </c>
      <c r="N209" s="17" t="s">
        <v>1128</v>
      </c>
      <c r="O209" s="7" t="s">
        <v>1129</v>
      </c>
      <c r="P209" s="7" t="s">
        <v>1011</v>
      </c>
      <c r="Z209" s="3" t="str">
        <f ca="1">HYPERLINK("#"&amp;일위대가목록표!J2&amp;"!A"&amp;ROW(일위대가목록표!A13),"B01299 →")</f>
        <v>B01299 →</v>
      </c>
    </row>
    <row r="210" spans="1:26" ht="28.7" customHeight="1" x14ac:dyDescent="0.3">
      <c r="A210" s="23" t="s">
        <v>1101</v>
      </c>
      <c r="B210" s="56"/>
      <c r="C210" s="56"/>
      <c r="D210" s="56"/>
      <c r="E210" s="56"/>
      <c r="F210" s="54">
        <f>J210+H210+L210</f>
        <v>37542</v>
      </c>
      <c r="G210" s="56"/>
      <c r="H210" s="54">
        <f>ROUNDDOWN(SUMIF(P208:P209,O210,H208:H209),0)</f>
        <v>32529</v>
      </c>
      <c r="I210" s="56"/>
      <c r="J210" s="54">
        <f>ROUNDDOWN(SUMIF(P208:P209,O210,J208:J209),0)</f>
        <v>3740</v>
      </c>
      <c r="K210" s="56"/>
      <c r="L210" s="54">
        <f>ROUNDDOWN(SUMIF(P208:P209,O210,L208:L209),0)</f>
        <v>1273</v>
      </c>
      <c r="M210" s="56"/>
      <c r="O210" s="7" t="s">
        <v>1011</v>
      </c>
      <c r="P210" s="7" t="s">
        <v>1102</v>
      </c>
    </row>
    <row r="211" spans="1:26" ht="28.7" customHeight="1" x14ac:dyDescent="0.3">
      <c r="A211" s="14" t="s">
        <v>1103</v>
      </c>
      <c r="B211" s="14"/>
      <c r="C211" s="86">
        <v>87.745000000000005</v>
      </c>
      <c r="D211" s="14"/>
      <c r="E211" s="88"/>
      <c r="F211" s="72">
        <f>J211+H211+L211</f>
        <v>32939</v>
      </c>
      <c r="G211" s="88"/>
      <c r="H211" s="72">
        <f>ROUNDDOWN(H210*C211/100,0)</f>
        <v>28542</v>
      </c>
      <c r="I211" s="88"/>
      <c r="J211" s="72">
        <f>ROUNDDOWN(J210*C211/100,0)</f>
        <v>3281</v>
      </c>
      <c r="K211" s="88"/>
      <c r="L211" s="72">
        <f>ROUNDDOWN(L210*C211/100,0)</f>
        <v>1116</v>
      </c>
      <c r="M211" s="88"/>
      <c r="O211" s="7" t="s">
        <v>1102</v>
      </c>
    </row>
    <row r="212" spans="1:26" ht="28.7" customHeight="1" x14ac:dyDescent="0.3">
      <c r="A212" s="82" t="s">
        <v>127</v>
      </c>
      <c r="B212" s="82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97" t="str">
        <f>HYPERLINK("#N"&amp;ROW(N218),"_x0005_`BDCOD|B02130_x0007_`POSS|"&amp;ROW(N214)&amp;"_x0007_`POSE|"&amp;ROW(N218)&amp;"_x0007_`")</f>
        <v>_x0005_`BDCOD|B02130_x0007_`POSS|214_x0007_`POSE|218_x0007_`</v>
      </c>
    </row>
    <row r="213" spans="1:26" ht="28.7" customHeight="1" x14ac:dyDescent="0.3">
      <c r="A213" s="43" t="s">
        <v>129</v>
      </c>
      <c r="B213" s="43" t="s">
        <v>130</v>
      </c>
      <c r="C213" s="84"/>
      <c r="D213" s="87" t="s">
        <v>50</v>
      </c>
      <c r="E213" s="84"/>
      <c r="F213" s="84"/>
      <c r="G213" s="84"/>
      <c r="H213" s="84"/>
      <c r="I213" s="84"/>
      <c r="J213" s="84"/>
      <c r="K213" s="84"/>
      <c r="L213" s="84"/>
      <c r="M213" s="87" t="s">
        <v>131</v>
      </c>
      <c r="O213" s="7" t="s">
        <v>131</v>
      </c>
    </row>
    <row r="214" spans="1:26" ht="28.7" customHeight="1" x14ac:dyDescent="0.3">
      <c r="A214" s="10" t="s">
        <v>1182</v>
      </c>
      <c r="B214" s="10"/>
      <c r="C214" s="85">
        <v>0</v>
      </c>
      <c r="D214" s="32"/>
      <c r="E214" s="22">
        <v>0</v>
      </c>
      <c r="F214" s="11">
        <v>0</v>
      </c>
      <c r="G214" s="45"/>
      <c r="H214" s="11">
        <v>0</v>
      </c>
      <c r="I214" s="45"/>
      <c r="J214" s="22">
        <v>0</v>
      </c>
      <c r="K214" s="51"/>
      <c r="L214" s="22">
        <v>0</v>
      </c>
      <c r="M214" s="23" t="s">
        <v>994</v>
      </c>
      <c r="N214" s="17" t="s">
        <v>992</v>
      </c>
      <c r="O214" s="7" t="s">
        <v>993</v>
      </c>
      <c r="P214" s="7" t="s">
        <v>993</v>
      </c>
    </row>
    <row r="215" spans="1:26" ht="28.7" customHeight="1" x14ac:dyDescent="0.3">
      <c r="A215" s="10" t="s">
        <v>150</v>
      </c>
      <c r="B215" s="10" t="s">
        <v>151</v>
      </c>
      <c r="C215" s="85">
        <v>1</v>
      </c>
      <c r="D215" s="32" t="s">
        <v>50</v>
      </c>
      <c r="E215" s="62">
        <f t="shared" ref="E215:F218" si="38">I215+G215+K215</f>
        <v>3067</v>
      </c>
      <c r="F215" s="90">
        <f t="shared" si="38"/>
        <v>3067</v>
      </c>
      <c r="G215" s="91">
        <f>단가산출근거목록표!F8</f>
        <v>3067</v>
      </c>
      <c r="H215" s="92">
        <f>IF(C215=0,0,ROUNDDOWN(G215*C215,1))</f>
        <v>3067</v>
      </c>
      <c r="I215" s="91">
        <f>단가산출근거목록표!G8</f>
        <v>0</v>
      </c>
      <c r="J215" s="92">
        <f>IF(C215=0,0,ROUNDDOWN(I215*C215,1))</f>
        <v>0</v>
      </c>
      <c r="K215" s="91">
        <f>단가산출근거목록표!H8</f>
        <v>0</v>
      </c>
      <c r="L215" s="92">
        <f>IF(C215=0,0,ROUNDDOWN(K215*C215,1))</f>
        <v>0</v>
      </c>
      <c r="M215" s="23" t="s">
        <v>1185</v>
      </c>
      <c r="N215" s="17" t="s">
        <v>1183</v>
      </c>
      <c r="O215" s="7" t="s">
        <v>1184</v>
      </c>
      <c r="P215" s="7" t="s">
        <v>1011</v>
      </c>
      <c r="Z215" s="3" t="str">
        <f ca="1">HYPERLINK("#"&amp;단가산출근거목록표!J2&amp;"!A"&amp;ROW(단가산출근거목록표!A8),"D00794 →")</f>
        <v>D00794 →</v>
      </c>
    </row>
    <row r="216" spans="1:26" ht="28.7" customHeight="1" x14ac:dyDescent="0.3">
      <c r="A216" s="10" t="s">
        <v>167</v>
      </c>
      <c r="B216" s="10"/>
      <c r="C216" s="85">
        <v>0.4</v>
      </c>
      <c r="D216" s="32" t="s">
        <v>14</v>
      </c>
      <c r="E216" s="62">
        <f t="shared" si="38"/>
        <v>6022</v>
      </c>
      <c r="F216" s="90">
        <f t="shared" si="38"/>
        <v>2408.8000000000002</v>
      </c>
      <c r="G216" s="91">
        <f>단가산출근거목록표!F13</f>
        <v>6022</v>
      </c>
      <c r="H216" s="92">
        <f>IF(C216=0,0,ROUNDDOWN(G216*C216,1))</f>
        <v>2408.8000000000002</v>
      </c>
      <c r="I216" s="91">
        <f>단가산출근거목록표!G13</f>
        <v>0</v>
      </c>
      <c r="J216" s="92">
        <f>IF(C216=0,0,ROUNDDOWN(I216*C216,1))</f>
        <v>0</v>
      </c>
      <c r="K216" s="91">
        <f>단가산출근거목록표!H13</f>
        <v>0</v>
      </c>
      <c r="L216" s="92">
        <f>IF(C216=0,0,ROUNDDOWN(K216*C216,1))</f>
        <v>0</v>
      </c>
      <c r="M216" s="23" t="s">
        <v>1188</v>
      </c>
      <c r="N216" s="17" t="s">
        <v>1186</v>
      </c>
      <c r="O216" s="7" t="s">
        <v>1187</v>
      </c>
      <c r="P216" s="7" t="s">
        <v>1011</v>
      </c>
      <c r="Z216" s="3" t="str">
        <f ca="1">HYPERLINK("#"&amp;단가산출근거목록표!J2&amp;"!A"&amp;ROW(단가산출근거목록표!A13),"D01329 →")</f>
        <v>D01329 →</v>
      </c>
    </row>
    <row r="217" spans="1:26" ht="28.7" customHeight="1" x14ac:dyDescent="0.3">
      <c r="A217" s="10" t="s">
        <v>506</v>
      </c>
      <c r="B217" s="10"/>
      <c r="C217" s="85">
        <v>0.44</v>
      </c>
      <c r="D217" s="32" t="s">
        <v>14</v>
      </c>
      <c r="E217" s="62">
        <f t="shared" si="38"/>
        <v>6875</v>
      </c>
      <c r="F217" s="89">
        <f t="shared" si="38"/>
        <v>3025</v>
      </c>
      <c r="G217" s="58">
        <v>0</v>
      </c>
      <c r="H217" s="90">
        <f>IF(C217=0,0,ROUNDDOWN(G217*C217,1))</f>
        <v>0</v>
      </c>
      <c r="I217" s="91">
        <f>재료비목록표!E28</f>
        <v>6875</v>
      </c>
      <c r="J217" s="93">
        <f>IF(C217=0,0,ROUNDDOWN(I217*C217,1))</f>
        <v>3025</v>
      </c>
      <c r="K217" s="58">
        <v>0</v>
      </c>
      <c r="L217" s="90">
        <f>IF(C217=0,0,ROUNDDOWN(K217*C217,1))</f>
        <v>0</v>
      </c>
      <c r="M217" s="23" t="s">
        <v>1191</v>
      </c>
      <c r="N217" s="17" t="s">
        <v>1189</v>
      </c>
      <c r="O217" s="7" t="s">
        <v>1190</v>
      </c>
      <c r="P217" s="7" t="s">
        <v>1011</v>
      </c>
      <c r="Z217" s="3" t="str">
        <f ca="1">HYPERLINK("#"&amp;재료비목록표!G2&amp;"!A"&amp;ROW(재료비목록표!A28),"M01150 →")</f>
        <v>M01150 →</v>
      </c>
    </row>
    <row r="218" spans="1:26" ht="28.7" customHeight="1" x14ac:dyDescent="0.3">
      <c r="A218" s="10" t="s">
        <v>164</v>
      </c>
      <c r="B218" s="10"/>
      <c r="C218" s="85">
        <v>0.44</v>
      </c>
      <c r="D218" s="32" t="s">
        <v>14</v>
      </c>
      <c r="E218" s="62">
        <f t="shared" si="38"/>
        <v>664</v>
      </c>
      <c r="F218" s="90">
        <f t="shared" si="38"/>
        <v>292.10000000000002</v>
      </c>
      <c r="G218" s="91">
        <f>단가산출근거목록표!F12</f>
        <v>664</v>
      </c>
      <c r="H218" s="92">
        <f>IF(C218=0,0,ROUNDDOWN(G218*C218,1))</f>
        <v>292.10000000000002</v>
      </c>
      <c r="I218" s="91">
        <f>단가산출근거목록표!G12</f>
        <v>0</v>
      </c>
      <c r="J218" s="92">
        <f>IF(C218=0,0,ROUNDDOWN(I218*C218,1))</f>
        <v>0</v>
      </c>
      <c r="K218" s="91">
        <f>단가산출근거목록표!H12</f>
        <v>0</v>
      </c>
      <c r="L218" s="92">
        <f>IF(C218=0,0,ROUNDDOWN(K218*C218,1))</f>
        <v>0</v>
      </c>
      <c r="M218" s="23" t="s">
        <v>1194</v>
      </c>
      <c r="N218" s="17" t="s">
        <v>1192</v>
      </c>
      <c r="O218" s="7" t="s">
        <v>1193</v>
      </c>
      <c r="P218" s="7" t="s">
        <v>1011</v>
      </c>
      <c r="Z218" s="3" t="str">
        <f ca="1">HYPERLINK("#"&amp;단가산출근거목록표!J2&amp;"!A"&amp;ROW(단가산출근거목록표!A12),"D01129 →")</f>
        <v>D01129 →</v>
      </c>
    </row>
    <row r="219" spans="1:26" ht="28.7" customHeight="1" x14ac:dyDescent="0.3">
      <c r="A219" s="23" t="s">
        <v>1101</v>
      </c>
      <c r="B219" s="56"/>
      <c r="C219" s="56"/>
      <c r="D219" s="56"/>
      <c r="E219" s="56"/>
      <c r="F219" s="54">
        <f>J219+H219+L219</f>
        <v>8792</v>
      </c>
      <c r="G219" s="56"/>
      <c r="H219" s="54">
        <f>ROUNDDOWN(SUMIF(P214:P218,O219,H214:H218),0)</f>
        <v>5767</v>
      </c>
      <c r="I219" s="56"/>
      <c r="J219" s="54">
        <f>ROUNDDOWN(SUMIF(P214:P218,O219,J214:J218),0)</f>
        <v>3025</v>
      </c>
      <c r="K219" s="56"/>
      <c r="L219" s="54">
        <f>ROUNDDOWN(SUMIF(P214:P218,O219,L214:L218),0)</f>
        <v>0</v>
      </c>
      <c r="M219" s="56"/>
      <c r="O219" s="7" t="s">
        <v>1011</v>
      </c>
      <c r="P219" s="7" t="s">
        <v>1102</v>
      </c>
    </row>
    <row r="220" spans="1:26" ht="28.7" customHeight="1" x14ac:dyDescent="0.3">
      <c r="A220" s="14" t="s">
        <v>1103</v>
      </c>
      <c r="B220" s="14"/>
      <c r="C220" s="86">
        <v>87.745000000000005</v>
      </c>
      <c r="D220" s="14"/>
      <c r="E220" s="88"/>
      <c r="F220" s="72">
        <f>J220+H220+L220</f>
        <v>7714</v>
      </c>
      <c r="G220" s="88"/>
      <c r="H220" s="72">
        <f>ROUNDDOWN(H219*C220/100,0)</f>
        <v>5060</v>
      </c>
      <c r="I220" s="88"/>
      <c r="J220" s="72">
        <f>ROUNDDOWN(J219*C220/100,0)</f>
        <v>2654</v>
      </c>
      <c r="K220" s="88"/>
      <c r="L220" s="72">
        <f>ROUNDDOWN(L219*C220/100,0)</f>
        <v>0</v>
      </c>
      <c r="M220" s="88"/>
      <c r="O220" s="7" t="s">
        <v>1102</v>
      </c>
    </row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3" type="noConversion"/>
  <conditionalFormatting sqref="C5:M220">
    <cfRule type="expression" dxfId="2" priority="1" stopIfTrue="1">
      <formula>AND(C5&lt;&gt;0,INT(C5)=C5)</formula>
    </cfRule>
  </conditionalFormatting>
  <hyperlinks>
    <hyperlink ref="Z1" r:id="rId1" tooltip="설계예산시스템(STmate w25.07)으로 작성 하였으며,_x000a_엑셀 인쇄품질 600 dpi에 최적화 되어 있습니다._x000a_경영정보(주) http://www.stma.co.kr_x000a_Tel) 070-4350-0040_x000a_Fax) 0505-300-3948"/>
    <hyperlink ref="N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73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10" style="6" customWidth="1"/>
    <col min="5" max="5" width="5.5" style="6" customWidth="1"/>
    <col min="6" max="9" width="13" style="6" customWidth="1"/>
    <col min="10" max="10" width="10" style="6" customWidth="1"/>
    <col min="11" max="11" width="9.125" style="6" hidden="1" customWidth="1"/>
    <col min="12" max="12" width="9.125" style="18" customWidth="1"/>
    <col min="13" max="16384" width="9.125" style="6"/>
  </cols>
  <sheetData>
    <row r="1" spans="1:12" ht="24.95" customHeight="1" x14ac:dyDescent="0.3">
      <c r="A1" s="133" t="s">
        <v>132</v>
      </c>
      <c r="B1" s="132"/>
      <c r="C1" s="132"/>
      <c r="D1" s="132"/>
      <c r="E1" s="132"/>
      <c r="F1" s="132"/>
      <c r="G1" s="132"/>
      <c r="H1" s="132"/>
      <c r="I1" s="132"/>
      <c r="J1" s="132"/>
      <c r="K1" s="5" t="s">
        <v>133</v>
      </c>
      <c r="L1" s="19" t="s">
        <v>133</v>
      </c>
    </row>
    <row r="2" spans="1:12" ht="24.95" customHeight="1" x14ac:dyDescent="0.3">
      <c r="A2" s="1" t="s">
        <v>1</v>
      </c>
      <c r="K2" s="20" t="str">
        <f ca="1">MID(CELL("filename",$A$1),FIND("]",CELL("filename",$A$1))+1,LEN(CELL("filename",$A$1)))</f>
        <v>일위대가수량금액집계표</v>
      </c>
    </row>
    <row r="3" spans="1:12" ht="24.95" customHeight="1" x14ac:dyDescent="0.3">
      <c r="A3" s="8" t="s">
        <v>2</v>
      </c>
      <c r="B3" s="8" t="s">
        <v>3</v>
      </c>
      <c r="C3" s="8" t="s">
        <v>4</v>
      </c>
      <c r="D3" s="8" t="s">
        <v>735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4" t="s">
        <v>10</v>
      </c>
      <c r="L3" s="3" t="str">
        <f>HYPERLINK("#'〓 목 차 〓'!B2","목차 →")</f>
        <v>목차 →</v>
      </c>
    </row>
    <row r="4" spans="1:12" ht="24.95" customHeight="1" x14ac:dyDescent="0.3">
      <c r="A4" s="9" t="s">
        <v>1195</v>
      </c>
      <c r="B4" s="10" t="s">
        <v>12</v>
      </c>
      <c r="C4" s="10" t="s">
        <v>13</v>
      </c>
      <c r="D4" s="98">
        <v>10.92</v>
      </c>
      <c r="E4" s="32" t="s">
        <v>14</v>
      </c>
      <c r="F4" s="54">
        <f t="shared" ref="F4:F28" si="0">H4+G4+I4</f>
        <v>453617</v>
      </c>
      <c r="G4" s="52">
        <f>ROUND(D4*일위대가목록표!F4,0)</f>
        <v>393469</v>
      </c>
      <c r="H4" s="64">
        <f>ROUND(D4*일위대가목록표!G4,0)</f>
        <v>48354</v>
      </c>
      <c r="I4" s="54">
        <f>ROUND(D4*일위대가목록표!H4,0)</f>
        <v>11794</v>
      </c>
      <c r="J4" s="15" t="s">
        <v>15</v>
      </c>
      <c r="L4" s="3" t="str">
        <f ca="1">HYPERLINK("#"&amp;일위대가목록표!J2&amp;"!A"&amp;ROW(일위대가목록표!A4),"B00011 →")</f>
        <v>B00011 →</v>
      </c>
    </row>
    <row r="5" spans="1:12" ht="24.95" customHeight="1" x14ac:dyDescent="0.3">
      <c r="A5" s="9" t="s">
        <v>1196</v>
      </c>
      <c r="B5" s="10" t="s">
        <v>18</v>
      </c>
      <c r="C5" s="10" t="s">
        <v>19</v>
      </c>
      <c r="D5" s="98">
        <v>0.13</v>
      </c>
      <c r="E5" s="32" t="s">
        <v>20</v>
      </c>
      <c r="F5" s="54">
        <f t="shared" si="0"/>
        <v>31115</v>
      </c>
      <c r="G5" s="52">
        <f>ROUND(D5*일위대가목록표!F5,0)</f>
        <v>28546</v>
      </c>
      <c r="H5" s="64">
        <f>ROUND(D5*일위대가목록표!G5,0)</f>
        <v>0</v>
      </c>
      <c r="I5" s="54">
        <f>ROUND(D5*일위대가목록표!H5,0)</f>
        <v>2569</v>
      </c>
      <c r="J5" s="15" t="s">
        <v>21</v>
      </c>
      <c r="L5" s="3" t="str">
        <f ca="1">HYPERLINK("#"&amp;일위대가목록표!J2&amp;"!A"&amp;ROW(일위대가목록표!A5),"B00032 →")</f>
        <v>B00032 →</v>
      </c>
    </row>
    <row r="6" spans="1:12" ht="24.95" customHeight="1" x14ac:dyDescent="0.3">
      <c r="A6" s="9" t="s">
        <v>1197</v>
      </c>
      <c r="B6" s="10" t="s">
        <v>24</v>
      </c>
      <c r="C6" s="10" t="s">
        <v>25</v>
      </c>
      <c r="D6" s="98">
        <v>1.24</v>
      </c>
      <c r="E6" s="32" t="s">
        <v>26</v>
      </c>
      <c r="F6" s="54">
        <f t="shared" si="0"/>
        <v>138967</v>
      </c>
      <c r="G6" s="52">
        <f>ROUND(D6*일위대가목록표!F6,0)</f>
        <v>138967</v>
      </c>
      <c r="H6" s="64">
        <f>ROUND(D6*일위대가목록표!G6,0)</f>
        <v>0</v>
      </c>
      <c r="I6" s="54">
        <f>ROUND(D6*일위대가목록표!H6,0)</f>
        <v>0</v>
      </c>
      <c r="J6" s="15" t="s">
        <v>27</v>
      </c>
      <c r="L6" s="3" t="str">
        <f ca="1">HYPERLINK("#"&amp;일위대가목록표!J2&amp;"!A"&amp;ROW(일위대가목록표!A6),"B00048 →")</f>
        <v>B00048 →</v>
      </c>
    </row>
    <row r="7" spans="1:12" ht="24.95" customHeight="1" x14ac:dyDescent="0.3">
      <c r="A7" s="9" t="s">
        <v>1198</v>
      </c>
      <c r="B7" s="10" t="s">
        <v>30</v>
      </c>
      <c r="C7" s="10"/>
      <c r="D7" s="98">
        <v>51.6</v>
      </c>
      <c r="E7" s="32" t="s">
        <v>14</v>
      </c>
      <c r="F7" s="54">
        <f t="shared" si="0"/>
        <v>1438917</v>
      </c>
      <c r="G7" s="52">
        <f>ROUND(D7*일위대가목록표!F7,0)</f>
        <v>1248307</v>
      </c>
      <c r="H7" s="64">
        <f>ROUND(D7*일위대가목록표!G7,0)</f>
        <v>190610</v>
      </c>
      <c r="I7" s="54">
        <f>ROUND(D7*일위대가목록표!H7,0)</f>
        <v>0</v>
      </c>
      <c r="J7" s="15" t="s">
        <v>31</v>
      </c>
      <c r="L7" s="3" t="str">
        <f ca="1">HYPERLINK("#"&amp;일위대가목록표!J2&amp;"!A"&amp;ROW(일위대가목록표!A7),"B00233 →")</f>
        <v>B00233 →</v>
      </c>
    </row>
    <row r="8" spans="1:12" ht="24.95" customHeight="1" x14ac:dyDescent="0.3">
      <c r="A8" s="9" t="s">
        <v>1199</v>
      </c>
      <c r="B8" s="10" t="s">
        <v>34</v>
      </c>
      <c r="C8" s="10"/>
      <c r="D8" s="98">
        <v>134.16</v>
      </c>
      <c r="E8" s="32" t="s">
        <v>35</v>
      </c>
      <c r="F8" s="54">
        <f t="shared" si="0"/>
        <v>109609</v>
      </c>
      <c r="G8" s="52">
        <f>ROUND(D8*일위대가목록표!F8,0)</f>
        <v>104108</v>
      </c>
      <c r="H8" s="64">
        <f>ROUND(D8*일위대가목록표!G8,0)</f>
        <v>1476</v>
      </c>
      <c r="I8" s="54">
        <f>ROUND(D8*일위대가목록표!H8,0)</f>
        <v>4025</v>
      </c>
      <c r="J8" s="15" t="s">
        <v>36</v>
      </c>
      <c r="L8" s="3" t="str">
        <f ca="1">HYPERLINK("#"&amp;일위대가목록표!J2&amp;"!A"&amp;ROW(일위대가목록표!A8),"B00287 →")</f>
        <v>B00287 →</v>
      </c>
    </row>
    <row r="9" spans="1:12" ht="24.95" customHeight="1" x14ac:dyDescent="0.3">
      <c r="A9" s="9" t="s">
        <v>1200</v>
      </c>
      <c r="B9" s="10" t="s">
        <v>39</v>
      </c>
      <c r="C9" s="10" t="s">
        <v>40</v>
      </c>
      <c r="D9" s="98">
        <v>3</v>
      </c>
      <c r="E9" s="32" t="s">
        <v>14</v>
      </c>
      <c r="F9" s="54">
        <f t="shared" si="0"/>
        <v>205767</v>
      </c>
      <c r="G9" s="52">
        <f>ROUND(D9*일위대가목록표!F9,0)</f>
        <v>167019</v>
      </c>
      <c r="H9" s="64">
        <f>ROUND(D9*일위대가목록표!G9,0)</f>
        <v>14658</v>
      </c>
      <c r="I9" s="54">
        <f>ROUND(D9*일위대가목록표!H9,0)</f>
        <v>24090</v>
      </c>
      <c r="J9" s="15" t="s">
        <v>41</v>
      </c>
      <c r="L9" s="3" t="str">
        <f ca="1">HYPERLINK("#"&amp;일위대가목록표!J2&amp;"!A"&amp;ROW(일위대가목록표!A9),"B00374 →")</f>
        <v>B00374 →</v>
      </c>
    </row>
    <row r="10" spans="1:12" ht="24.95" customHeight="1" x14ac:dyDescent="0.3">
      <c r="A10" s="9" t="s">
        <v>1201</v>
      </c>
      <c r="B10" s="10" t="s">
        <v>39</v>
      </c>
      <c r="C10" s="10" t="s">
        <v>44</v>
      </c>
      <c r="D10" s="98">
        <v>11.25</v>
      </c>
      <c r="E10" s="32" t="s">
        <v>14</v>
      </c>
      <c r="F10" s="54">
        <f t="shared" si="0"/>
        <v>613721</v>
      </c>
      <c r="G10" s="52">
        <f>ROUND(D10*일위대가목록표!F10,0)</f>
        <v>491670</v>
      </c>
      <c r="H10" s="64">
        <f>ROUND(D10*일위대가목록표!G10,0)</f>
        <v>46170</v>
      </c>
      <c r="I10" s="54">
        <f>ROUND(D10*일위대가목록표!H10,0)</f>
        <v>75881</v>
      </c>
      <c r="J10" s="15" t="s">
        <v>45</v>
      </c>
      <c r="L10" s="3" t="str">
        <f ca="1">HYPERLINK("#"&amp;일위대가목록표!J2&amp;"!A"&amp;ROW(일위대가목록표!A10),"B00378 →")</f>
        <v>B00378 →</v>
      </c>
    </row>
    <row r="11" spans="1:12" ht="24.95" customHeight="1" x14ac:dyDescent="0.3">
      <c r="A11" s="9" t="s">
        <v>1202</v>
      </c>
      <c r="B11" s="10" t="s">
        <v>48</v>
      </c>
      <c r="C11" s="10" t="s">
        <v>49</v>
      </c>
      <c r="D11" s="98">
        <v>12</v>
      </c>
      <c r="E11" s="32" t="s">
        <v>50</v>
      </c>
      <c r="F11" s="54">
        <f t="shared" si="0"/>
        <v>198228</v>
      </c>
      <c r="G11" s="52">
        <f>ROUND(D11*일위대가목록표!F11,0)</f>
        <v>185724</v>
      </c>
      <c r="H11" s="64">
        <f>ROUND(D11*일위대가목록표!G11,0)</f>
        <v>4140</v>
      </c>
      <c r="I11" s="54">
        <f>ROUND(D11*일위대가목록표!H11,0)</f>
        <v>8364</v>
      </c>
      <c r="J11" s="15" t="s">
        <v>51</v>
      </c>
      <c r="L11" s="3" t="str">
        <f ca="1">HYPERLINK("#"&amp;일위대가목록표!J2&amp;"!A"&amp;ROW(일위대가목록표!A11),"B00437 →")</f>
        <v>B00437 →</v>
      </c>
    </row>
    <row r="12" spans="1:12" ht="24.95" customHeight="1" x14ac:dyDescent="0.3">
      <c r="A12" s="9" t="s">
        <v>1203</v>
      </c>
      <c r="B12" s="10" t="s">
        <v>54</v>
      </c>
      <c r="C12" s="10" t="s">
        <v>55</v>
      </c>
      <c r="D12" s="98">
        <v>21.5</v>
      </c>
      <c r="E12" s="32" t="s">
        <v>50</v>
      </c>
      <c r="F12" s="54">
        <f t="shared" si="0"/>
        <v>41108</v>
      </c>
      <c r="G12" s="52">
        <f>ROUND(D12*일위대가목록표!F12,0)</f>
        <v>0</v>
      </c>
      <c r="H12" s="64">
        <f>ROUND(D12*일위대가목록표!G12,0)</f>
        <v>41108</v>
      </c>
      <c r="I12" s="54">
        <f>ROUND(D12*일위대가목록표!H12,0)</f>
        <v>0</v>
      </c>
      <c r="J12" s="15" t="s">
        <v>56</v>
      </c>
      <c r="L12" s="3" t="str">
        <f ca="1">HYPERLINK("#"&amp;일위대가목록표!J2&amp;"!A"&amp;ROW(일위대가목록표!A12),"B00442 →")</f>
        <v>B00442 →</v>
      </c>
    </row>
    <row r="13" spans="1:12" ht="24.95" customHeight="1" x14ac:dyDescent="0.3">
      <c r="A13" s="9" t="s">
        <v>1204</v>
      </c>
      <c r="B13" s="10" t="s">
        <v>12</v>
      </c>
      <c r="C13" s="10" t="s">
        <v>59</v>
      </c>
      <c r="D13" s="98">
        <v>308.22000000000003</v>
      </c>
      <c r="E13" s="32" t="s">
        <v>14</v>
      </c>
      <c r="F13" s="54">
        <f t="shared" si="0"/>
        <v>11130132</v>
      </c>
      <c r="G13" s="52">
        <f>ROUND(D13*일위대가목록표!F13,0)</f>
        <v>9717560</v>
      </c>
      <c r="H13" s="64">
        <f>ROUND(D13*일위대가목록표!G13,0)</f>
        <v>1121304</v>
      </c>
      <c r="I13" s="54">
        <f>ROUND(D13*일위대가목록표!H13,0)</f>
        <v>291268</v>
      </c>
      <c r="J13" s="15" t="s">
        <v>60</v>
      </c>
      <c r="L13" s="3" t="str">
        <f ca="1">HYPERLINK("#"&amp;일위대가목록표!J2&amp;"!A"&amp;ROW(일위대가목록표!A13),"B01299 →")</f>
        <v>B01299 →</v>
      </c>
    </row>
    <row r="14" spans="1:12" ht="24.95" customHeight="1" x14ac:dyDescent="0.3">
      <c r="A14" s="9" t="s">
        <v>1205</v>
      </c>
      <c r="B14" s="10" t="s">
        <v>63</v>
      </c>
      <c r="C14" s="10" t="s">
        <v>19</v>
      </c>
      <c r="D14" s="98">
        <v>0.13</v>
      </c>
      <c r="E14" s="32" t="s">
        <v>20</v>
      </c>
      <c r="F14" s="54">
        <f t="shared" si="0"/>
        <v>75314</v>
      </c>
      <c r="G14" s="52">
        <f>ROUND(D14*일위대가목록표!F14,0)</f>
        <v>72421</v>
      </c>
      <c r="H14" s="64">
        <f>ROUND(D14*일위대가목록표!G14,0)</f>
        <v>1445</v>
      </c>
      <c r="I14" s="54">
        <f>ROUND(D14*일위대가목록표!H14,0)</f>
        <v>1448</v>
      </c>
      <c r="J14" s="15" t="s">
        <v>64</v>
      </c>
      <c r="L14" s="3" t="str">
        <f ca="1">HYPERLINK("#"&amp;일위대가목록표!J2&amp;"!A"&amp;ROW(일위대가목록표!A14),"B01582 →")</f>
        <v>B01582 →</v>
      </c>
    </row>
    <row r="15" spans="1:12" ht="24.95" customHeight="1" x14ac:dyDescent="0.3">
      <c r="A15" s="9" t="s">
        <v>1206</v>
      </c>
      <c r="B15" s="10" t="s">
        <v>67</v>
      </c>
      <c r="C15" s="10" t="s">
        <v>68</v>
      </c>
      <c r="D15" s="98">
        <v>142.19999999999999</v>
      </c>
      <c r="E15" s="32" t="s">
        <v>14</v>
      </c>
      <c r="F15" s="54">
        <f t="shared" si="0"/>
        <v>7770092</v>
      </c>
      <c r="G15" s="52">
        <f>ROUND(D15*일위대가목록표!F15,0)</f>
        <v>5786545</v>
      </c>
      <c r="H15" s="64">
        <f>ROUND(D15*일위대가목록표!G15,0)</f>
        <v>750389</v>
      </c>
      <c r="I15" s="54">
        <f>ROUND(D15*일위대가목록표!H15,0)</f>
        <v>1233158</v>
      </c>
      <c r="J15" s="15" t="s">
        <v>69</v>
      </c>
      <c r="L15" s="3" t="str">
        <f ca="1">HYPERLINK("#"&amp;일위대가목록표!J2&amp;"!A"&amp;ROW(일위대가목록표!A15),"B01608 →")</f>
        <v>B01608 →</v>
      </c>
    </row>
    <row r="16" spans="1:12" ht="24.95" customHeight="1" x14ac:dyDescent="0.3">
      <c r="A16" s="9" t="s">
        <v>1207</v>
      </c>
      <c r="B16" s="10" t="s">
        <v>72</v>
      </c>
      <c r="C16" s="10" t="s">
        <v>73</v>
      </c>
      <c r="D16" s="98">
        <v>67.599999999999994</v>
      </c>
      <c r="E16" s="32" t="s">
        <v>14</v>
      </c>
      <c r="F16" s="54">
        <f t="shared" si="0"/>
        <v>4657302</v>
      </c>
      <c r="G16" s="52">
        <f>ROUND(D16*일위대가목록표!F16,0)</f>
        <v>3506547</v>
      </c>
      <c r="H16" s="64">
        <f>ROUND(D16*일위대가목록표!G16,0)</f>
        <v>488883</v>
      </c>
      <c r="I16" s="54">
        <f>ROUND(D16*일위대가목록표!H16,0)</f>
        <v>661872</v>
      </c>
      <c r="J16" s="15" t="s">
        <v>74</v>
      </c>
      <c r="L16" s="3" t="str">
        <f ca="1">HYPERLINK("#"&amp;일위대가목록표!J2&amp;"!A"&amp;ROW(일위대가목록표!A16),"B01680 →")</f>
        <v>B01680 →</v>
      </c>
    </row>
    <row r="17" spans="1:12" ht="24.95" customHeight="1" x14ac:dyDescent="0.3">
      <c r="A17" s="9" t="s">
        <v>1208</v>
      </c>
      <c r="B17" s="10" t="s">
        <v>48</v>
      </c>
      <c r="C17" s="10" t="s">
        <v>49</v>
      </c>
      <c r="D17" s="98">
        <v>12</v>
      </c>
      <c r="E17" s="32" t="s">
        <v>50</v>
      </c>
      <c r="F17" s="54">
        <f t="shared" si="0"/>
        <v>558768</v>
      </c>
      <c r="G17" s="52">
        <f>ROUND(D17*일위대가목록표!F17,0)</f>
        <v>401148</v>
      </c>
      <c r="H17" s="64">
        <f>ROUND(D17*일위대가목록표!G17,0)</f>
        <v>65928</v>
      </c>
      <c r="I17" s="54">
        <f>ROUND(D17*일위대가목록표!H17,0)</f>
        <v>91692</v>
      </c>
      <c r="J17" s="15" t="s">
        <v>77</v>
      </c>
      <c r="L17" s="3" t="str">
        <f ca="1">HYPERLINK("#"&amp;일위대가목록표!J2&amp;"!A"&amp;ROW(일위대가목록표!A17),"B02119 →")</f>
        <v>B02119 →</v>
      </c>
    </row>
    <row r="18" spans="1:12" ht="24.95" customHeight="1" x14ac:dyDescent="0.3">
      <c r="A18" s="9" t="s">
        <v>1209</v>
      </c>
      <c r="B18" s="10" t="s">
        <v>80</v>
      </c>
      <c r="C18" s="10" t="s">
        <v>81</v>
      </c>
      <c r="D18" s="98">
        <v>1</v>
      </c>
      <c r="E18" s="32" t="s">
        <v>82</v>
      </c>
      <c r="F18" s="54">
        <f t="shared" si="0"/>
        <v>657013</v>
      </c>
      <c r="G18" s="52">
        <f>ROUND(D18*일위대가목록표!F18,0)</f>
        <v>475322</v>
      </c>
      <c r="H18" s="64">
        <f>ROUND(D18*일위대가목록표!G18,0)</f>
        <v>76005</v>
      </c>
      <c r="I18" s="54">
        <f>ROUND(D18*일위대가목록표!H18,0)</f>
        <v>105686</v>
      </c>
      <c r="J18" s="15" t="s">
        <v>83</v>
      </c>
      <c r="L18" s="3" t="str">
        <f ca="1">HYPERLINK("#"&amp;일위대가목록표!J2&amp;"!A"&amp;ROW(일위대가목록표!A18),"B02120 →")</f>
        <v>B02120 →</v>
      </c>
    </row>
    <row r="19" spans="1:12" ht="24.95" customHeight="1" x14ac:dyDescent="0.3">
      <c r="A19" s="9" t="s">
        <v>1210</v>
      </c>
      <c r="B19" s="10" t="s">
        <v>86</v>
      </c>
      <c r="C19" s="10" t="s">
        <v>87</v>
      </c>
      <c r="D19" s="98">
        <v>70</v>
      </c>
      <c r="E19" s="32" t="s">
        <v>50</v>
      </c>
      <c r="F19" s="54">
        <f t="shared" si="0"/>
        <v>2622620</v>
      </c>
      <c r="G19" s="52">
        <f>ROUND(D19*일위대가목록표!F19,0)</f>
        <v>2189180</v>
      </c>
      <c r="H19" s="64">
        <f>ROUND(D19*일위대가목록표!G19,0)</f>
        <v>269920</v>
      </c>
      <c r="I19" s="54">
        <f>ROUND(D19*일위대가목록표!H19,0)</f>
        <v>163520</v>
      </c>
      <c r="J19" s="15" t="s">
        <v>88</v>
      </c>
      <c r="L19" s="3" t="str">
        <f ca="1">HYPERLINK("#"&amp;일위대가목록표!J2&amp;"!A"&amp;ROW(일위대가목록표!A19),"B02121 →")</f>
        <v>B02121 →</v>
      </c>
    </row>
    <row r="20" spans="1:12" ht="24.95" customHeight="1" x14ac:dyDescent="0.3">
      <c r="A20" s="9" t="s">
        <v>1211</v>
      </c>
      <c r="B20" s="10" t="s">
        <v>91</v>
      </c>
      <c r="C20" s="10" t="s">
        <v>92</v>
      </c>
      <c r="D20" s="98">
        <v>110</v>
      </c>
      <c r="E20" s="32" t="s">
        <v>50</v>
      </c>
      <c r="F20" s="54">
        <f t="shared" si="0"/>
        <v>7428190</v>
      </c>
      <c r="G20" s="52">
        <f>ROUND(D20*일위대가목록표!F20,0)</f>
        <v>5786000</v>
      </c>
      <c r="H20" s="64">
        <f>ROUND(D20*일위대가목록표!G20,0)</f>
        <v>665610</v>
      </c>
      <c r="I20" s="54">
        <f>ROUND(D20*일위대가목록표!H20,0)</f>
        <v>976580</v>
      </c>
      <c r="J20" s="15" t="s">
        <v>93</v>
      </c>
      <c r="L20" s="3" t="str">
        <f ca="1">HYPERLINK("#"&amp;일위대가목록표!J2&amp;"!A"&amp;ROW(일위대가목록표!A20),"B02122 →")</f>
        <v>B02122 →</v>
      </c>
    </row>
    <row r="21" spans="1:12" ht="24.95" customHeight="1" x14ac:dyDescent="0.3">
      <c r="A21" s="9" t="s">
        <v>1212</v>
      </c>
      <c r="B21" s="10" t="s">
        <v>96</v>
      </c>
      <c r="C21" s="10" t="s">
        <v>97</v>
      </c>
      <c r="D21" s="98">
        <v>130</v>
      </c>
      <c r="E21" s="32" t="s">
        <v>50</v>
      </c>
      <c r="F21" s="54">
        <f t="shared" si="0"/>
        <v>4397640</v>
      </c>
      <c r="G21" s="52">
        <f>ROUND(D21*일위대가목록표!F21,0)</f>
        <v>3264170</v>
      </c>
      <c r="H21" s="64">
        <f>ROUND(D21*일위대가목록표!G21,0)</f>
        <v>482040</v>
      </c>
      <c r="I21" s="54">
        <f>ROUND(D21*일위대가목록표!H21,0)</f>
        <v>651430</v>
      </c>
      <c r="J21" s="15" t="s">
        <v>98</v>
      </c>
      <c r="L21" s="3" t="str">
        <f ca="1">HYPERLINK("#"&amp;일위대가목록표!J2&amp;"!A"&amp;ROW(일위대가목록표!A21),"B02123 →")</f>
        <v>B02123 →</v>
      </c>
    </row>
    <row r="22" spans="1:12" ht="24.95" customHeight="1" x14ac:dyDescent="0.3">
      <c r="A22" s="9" t="s">
        <v>1213</v>
      </c>
      <c r="B22" s="10" t="s">
        <v>101</v>
      </c>
      <c r="C22" s="10" t="s">
        <v>102</v>
      </c>
      <c r="D22" s="98">
        <v>15</v>
      </c>
      <c r="E22" s="32" t="s">
        <v>50</v>
      </c>
      <c r="F22" s="54">
        <f t="shared" si="0"/>
        <v>1865025</v>
      </c>
      <c r="G22" s="52">
        <f>ROUND(D22*일위대가목록표!F22,0)</f>
        <v>1466745</v>
      </c>
      <c r="H22" s="64">
        <f>ROUND(D22*일위대가목록표!G22,0)</f>
        <v>161430</v>
      </c>
      <c r="I22" s="54">
        <f>ROUND(D22*일위대가목록표!H22,0)</f>
        <v>236850</v>
      </c>
      <c r="J22" s="15" t="s">
        <v>103</v>
      </c>
      <c r="L22" s="3" t="str">
        <f ca="1">HYPERLINK("#"&amp;일위대가목록표!J2&amp;"!A"&amp;ROW(일위대가목록표!A22),"B02124 →")</f>
        <v>B02124 →</v>
      </c>
    </row>
    <row r="23" spans="1:12" ht="24.95" customHeight="1" x14ac:dyDescent="0.3">
      <c r="A23" s="9" t="s">
        <v>1214</v>
      </c>
      <c r="B23" s="10" t="s">
        <v>39</v>
      </c>
      <c r="C23" s="10" t="s">
        <v>106</v>
      </c>
      <c r="D23" s="98">
        <v>3</v>
      </c>
      <c r="E23" s="32" t="s">
        <v>14</v>
      </c>
      <c r="F23" s="54">
        <f t="shared" si="0"/>
        <v>237726</v>
      </c>
      <c r="G23" s="52">
        <f>ROUND(D23*일위대가목록표!F23,0)</f>
        <v>182259</v>
      </c>
      <c r="H23" s="64">
        <f>ROUND(D23*일위대가목록표!G23,0)</f>
        <v>21147</v>
      </c>
      <c r="I23" s="54">
        <f>ROUND(D23*일위대가목록표!H23,0)</f>
        <v>34320</v>
      </c>
      <c r="J23" s="15" t="s">
        <v>107</v>
      </c>
      <c r="L23" s="3" t="str">
        <f ca="1">HYPERLINK("#"&amp;일위대가목록표!J2&amp;"!A"&amp;ROW(일위대가목록표!A23),"B02125 →")</f>
        <v>B02125 →</v>
      </c>
    </row>
    <row r="24" spans="1:12" ht="24.95" customHeight="1" x14ac:dyDescent="0.3">
      <c r="A24" s="9" t="s">
        <v>1215</v>
      </c>
      <c r="B24" s="10" t="s">
        <v>110</v>
      </c>
      <c r="C24" s="10" t="s">
        <v>111</v>
      </c>
      <c r="D24" s="98">
        <v>1884</v>
      </c>
      <c r="E24" s="32" t="s">
        <v>14</v>
      </c>
      <c r="F24" s="54">
        <f t="shared" si="0"/>
        <v>20693856</v>
      </c>
      <c r="G24" s="52">
        <f>ROUND(D24*일위대가목록표!F24,0)</f>
        <v>9333336</v>
      </c>
      <c r="H24" s="64">
        <f>ROUND(D24*일위대가목록표!G24,0)</f>
        <v>11081688</v>
      </c>
      <c r="I24" s="54">
        <f>ROUND(D24*일위대가목록표!H24,0)</f>
        <v>278832</v>
      </c>
      <c r="J24" s="15" t="s">
        <v>112</v>
      </c>
      <c r="L24" s="3" t="str">
        <f ca="1">HYPERLINK("#"&amp;일위대가목록표!J2&amp;"!A"&amp;ROW(일위대가목록표!A24),"B02126 →")</f>
        <v>B02126 →</v>
      </c>
    </row>
    <row r="25" spans="1:12" ht="24.95" customHeight="1" x14ac:dyDescent="0.3">
      <c r="A25" s="9" t="s">
        <v>1216</v>
      </c>
      <c r="B25" s="10" t="s">
        <v>115</v>
      </c>
      <c r="C25" s="10" t="s">
        <v>116</v>
      </c>
      <c r="D25" s="98">
        <v>1042</v>
      </c>
      <c r="E25" s="32" t="s">
        <v>50</v>
      </c>
      <c r="F25" s="54">
        <f t="shared" si="0"/>
        <v>6730278</v>
      </c>
      <c r="G25" s="52">
        <f>ROUND(D25*일위대가목록표!F25,0)</f>
        <v>5764344</v>
      </c>
      <c r="H25" s="64">
        <f>ROUND(D25*일위대가목록표!G25,0)</f>
        <v>794004</v>
      </c>
      <c r="I25" s="54">
        <f>ROUND(D25*일위대가목록표!H25,0)</f>
        <v>171930</v>
      </c>
      <c r="J25" s="15" t="s">
        <v>117</v>
      </c>
      <c r="L25" s="3" t="str">
        <f ca="1">HYPERLINK("#"&amp;일위대가목록표!J2&amp;"!A"&amp;ROW(일위대가목록표!A25),"B02127 →")</f>
        <v>B02127 →</v>
      </c>
    </row>
    <row r="26" spans="1:12" ht="24.95" customHeight="1" x14ac:dyDescent="0.3">
      <c r="A26" s="9" t="s">
        <v>1217</v>
      </c>
      <c r="B26" s="10" t="s">
        <v>120</v>
      </c>
      <c r="C26" s="10" t="s">
        <v>121</v>
      </c>
      <c r="D26" s="98">
        <v>86</v>
      </c>
      <c r="E26" s="32" t="s">
        <v>50</v>
      </c>
      <c r="F26" s="54">
        <f t="shared" si="0"/>
        <v>3093076</v>
      </c>
      <c r="G26" s="52">
        <f>ROUND(D26*일위대가목록표!F26,0)</f>
        <v>2504836</v>
      </c>
      <c r="H26" s="64">
        <f>ROUND(D26*일위대가목록표!G26,0)</f>
        <v>387516</v>
      </c>
      <c r="I26" s="54">
        <f>ROUND(D26*일위대가목록표!H26,0)</f>
        <v>200724</v>
      </c>
      <c r="J26" s="15" t="s">
        <v>122</v>
      </c>
      <c r="L26" s="3" t="str">
        <f ca="1">HYPERLINK("#"&amp;일위대가목록표!J2&amp;"!A"&amp;ROW(일위대가목록표!A26),"B02128 →")</f>
        <v>B02128 →</v>
      </c>
    </row>
    <row r="27" spans="1:12" ht="24.95" customHeight="1" x14ac:dyDescent="0.3">
      <c r="A27" s="9" t="s">
        <v>1218</v>
      </c>
      <c r="B27" s="10" t="s">
        <v>86</v>
      </c>
      <c r="C27" s="10" t="s">
        <v>125</v>
      </c>
      <c r="D27" s="98">
        <v>42</v>
      </c>
      <c r="E27" s="32" t="s">
        <v>82</v>
      </c>
      <c r="F27" s="54">
        <f t="shared" si="0"/>
        <v>1383438</v>
      </c>
      <c r="G27" s="52">
        <f>ROUND(D27*일위대가목록표!F27,0)</f>
        <v>1198764</v>
      </c>
      <c r="H27" s="64">
        <f>ROUND(D27*일위대가목록표!G27,0)</f>
        <v>137802</v>
      </c>
      <c r="I27" s="54">
        <f>ROUND(D27*일위대가목록표!H27,0)</f>
        <v>46872</v>
      </c>
      <c r="J27" s="15" t="s">
        <v>126</v>
      </c>
      <c r="L27" s="3" t="str">
        <f ca="1">HYPERLINK("#"&amp;일위대가목록표!J2&amp;"!A"&amp;ROW(일위대가목록표!A27),"B02129 →")</f>
        <v>B02129 →</v>
      </c>
    </row>
    <row r="28" spans="1:12" ht="24.95" customHeight="1" x14ac:dyDescent="0.3">
      <c r="A28" s="9" t="s">
        <v>1219</v>
      </c>
      <c r="B28" s="10" t="s">
        <v>129</v>
      </c>
      <c r="C28" s="10" t="s">
        <v>130</v>
      </c>
      <c r="D28" s="98">
        <v>110</v>
      </c>
      <c r="E28" s="32" t="s">
        <v>50</v>
      </c>
      <c r="F28" s="54">
        <f t="shared" si="0"/>
        <v>848540</v>
      </c>
      <c r="G28" s="52">
        <f>ROUND(D28*일위대가목록표!F28,0)</f>
        <v>556600</v>
      </c>
      <c r="H28" s="64">
        <f>ROUND(D28*일위대가목록표!G28,0)</f>
        <v>291940</v>
      </c>
      <c r="I28" s="54">
        <f>ROUND(D28*일위대가목록표!H28,0)</f>
        <v>0</v>
      </c>
      <c r="J28" s="15" t="s">
        <v>131</v>
      </c>
      <c r="L28" s="3" t="str">
        <f ca="1">HYPERLINK("#"&amp;일위대가목록표!J2&amp;"!A"&amp;ROW(일위대가목록표!A28),"B02130 →")</f>
        <v>B02130 →</v>
      </c>
    </row>
  </sheetData>
  <mergeCells count="1">
    <mergeCell ref="A1:J1"/>
  </mergeCells>
  <phoneticPr fontId="23" type="noConversion"/>
  <hyperlinks>
    <hyperlink ref="L1" r:id="rId1" tooltip="설계예산시스템(STmate w25.07)으로 작성 하였으며,_x000a_엑셀 인쇄품질 600 dpi에 최적화 되어 있습니다._x000a_경영정보(주) http://www.stma.co.kr_x000a_Tel) 070-4350-0040_x000a_Fax) 0505-300-3948"/>
    <hyperlink ref="K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87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3"/>
  <sheetViews>
    <sheetView workbookViewId="0">
      <pane ySplit="3" topLeftCell="A4" activePane="bottomLeft" state="frozenSplit"/>
      <selection pane="bottomLeft" activeCell="A4" sqref="A4"/>
    </sheetView>
  </sheetViews>
  <sheetFormatPr defaultColWidth="9.125" defaultRowHeight="16.5" x14ac:dyDescent="0.3"/>
  <cols>
    <col min="1" max="1" width="10" style="6" customWidth="1"/>
    <col min="2" max="3" width="24.25" style="6" customWidth="1"/>
    <col min="4" max="4" width="5.5" style="6" customWidth="1"/>
    <col min="5" max="8" width="11.5" style="6" customWidth="1"/>
    <col min="9" max="9" width="10" style="6" customWidth="1"/>
    <col min="10" max="10" width="9.125" style="16" hidden="1" customWidth="1"/>
    <col min="11" max="11" width="9.125" style="18" customWidth="1"/>
    <col min="12" max="16384" width="9.125" style="6"/>
  </cols>
  <sheetData>
    <row r="1" spans="1:11" ht="24.95" customHeight="1" x14ac:dyDescent="0.3">
      <c r="A1" s="133" t="s">
        <v>134</v>
      </c>
      <c r="B1" s="132"/>
      <c r="C1" s="132"/>
      <c r="D1" s="132"/>
      <c r="E1" s="132"/>
      <c r="F1" s="132"/>
      <c r="G1" s="132"/>
      <c r="H1" s="132"/>
      <c r="I1" s="132"/>
      <c r="J1" s="5" t="s">
        <v>133</v>
      </c>
      <c r="K1" s="19" t="s">
        <v>133</v>
      </c>
    </row>
    <row r="2" spans="1:11" ht="22.35" customHeight="1" x14ac:dyDescent="0.3">
      <c r="A2" s="1" t="s">
        <v>1</v>
      </c>
      <c r="J2" s="20" t="str">
        <f ca="1">MID(CELL("filename",$A$1),FIND("]",CELL("filename",$A$1))+1,LEN(CELL("filename",$A$1)))</f>
        <v>단가산출근거목록표</v>
      </c>
    </row>
    <row r="3" spans="1:11" ht="22.35" customHeight="1" x14ac:dyDescent="0.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K3" s="3" t="str">
        <f>HYPERLINK("#'〓 목 차 〓'!B2","목차 →")</f>
        <v>목차 →</v>
      </c>
    </row>
    <row r="4" spans="1:11" ht="22.35" customHeight="1" x14ac:dyDescent="0.3">
      <c r="A4" s="9" t="s">
        <v>11</v>
      </c>
      <c r="B4" s="10" t="s">
        <v>135</v>
      </c>
      <c r="C4" s="10" t="s">
        <v>136</v>
      </c>
      <c r="D4" s="9" t="s">
        <v>26</v>
      </c>
      <c r="E4" s="54">
        <f>단가산출근거!C39</f>
        <v>8029</v>
      </c>
      <c r="F4" s="52">
        <f>단가산출근거!D39</f>
        <v>6594</v>
      </c>
      <c r="G4" s="64">
        <f>단가산출근거!E39</f>
        <v>1118</v>
      </c>
      <c r="H4" s="54">
        <f>단가산출근거!F39</f>
        <v>317</v>
      </c>
      <c r="I4" s="15" t="s">
        <v>137</v>
      </c>
      <c r="J4" s="17" t="str">
        <f>"_x0007_`COD|D00083_x0005_`QTY1|1_x0005_`BQC|_x0005_`EQC|_x0005_`JDC|_x0005_`WQC|_x0005_`EDT|_x0005_`ADJ|F_x0005_`NAG|0_x0005_`UC|F_x0005_`DET|"&amp;ROW(단가산출근거!A5)&amp;"_x0005_`"</f>
        <v>_x0007_`COD|D00083_x0005_`QTY1|1_x0005_`BQC|_x0005_`EQC|_x0005_`JDC|_x0005_`WQC|_x0005_`EDT|_x0005_`ADJ|F_x0005_`NAG|0_x0005_`UC|F_x0005_`DET|5_x0005_`</v>
      </c>
      <c r="K4" s="3" t="str">
        <f ca="1">HYPERLINK("#"&amp;단가산출근거!G2&amp;"!A"&amp;ROW(단가산출근거!A5),"D00083 →")</f>
        <v>D00083 →</v>
      </c>
    </row>
    <row r="5" spans="1:11" ht="22.35" customHeight="1" x14ac:dyDescent="0.3">
      <c r="A5" s="9" t="s">
        <v>17</v>
      </c>
      <c r="B5" s="10" t="s">
        <v>139</v>
      </c>
      <c r="C5" s="10" t="s">
        <v>140</v>
      </c>
      <c r="D5" s="9" t="s">
        <v>26</v>
      </c>
      <c r="E5" s="54">
        <f>단가산출근거!C74</f>
        <v>8029</v>
      </c>
      <c r="F5" s="52">
        <f>단가산출근거!D74</f>
        <v>4569</v>
      </c>
      <c r="G5" s="64">
        <f>단가산출근거!E74</f>
        <v>1539</v>
      </c>
      <c r="H5" s="54">
        <f>단가산출근거!F74</f>
        <v>1921</v>
      </c>
      <c r="I5" s="15" t="s">
        <v>141</v>
      </c>
      <c r="J5" s="17" t="str">
        <f>"_x0007_`COD|D00091_x0005_`QTY1|1_x0005_`BQC|2회_x0005_`EQC|_x0005_`JDC|_x0005_`WQC|_x0005_`EDT|_x0005_`ADJ|F_x0005_`NAG|0_x0005_`UC|F_x0005_`DET|"&amp;ROW(단가산출근거!A40)&amp;"_x0005_`"</f>
        <v>_x0007_`COD|D00091_x0005_`QTY1|1_x0005_`BQC|2회_x0005_`EQC|_x0005_`JDC|_x0005_`WQC|_x0005_`EDT|_x0005_`ADJ|F_x0005_`NAG|0_x0005_`UC|F_x0005_`DET|40_x0005_`</v>
      </c>
      <c r="K5" s="3" t="str">
        <f ca="1">HYPERLINK("#"&amp;단가산출근거!G2&amp;"!A"&amp;ROW(단가산출근거!A40),"D00091 →")</f>
        <v>D00091 →</v>
      </c>
    </row>
    <row r="6" spans="1:11" ht="22.35" customHeight="1" x14ac:dyDescent="0.3">
      <c r="A6" s="9" t="s">
        <v>23</v>
      </c>
      <c r="B6" s="10" t="s">
        <v>143</v>
      </c>
      <c r="C6" s="10"/>
      <c r="D6" s="9" t="s">
        <v>26</v>
      </c>
      <c r="E6" s="54">
        <f>단가산출근거!C179</f>
        <v>12899</v>
      </c>
      <c r="F6" s="52">
        <f>단가산출근거!D179</f>
        <v>8082</v>
      </c>
      <c r="G6" s="64">
        <f>단가산출근거!E179</f>
        <v>1892</v>
      </c>
      <c r="H6" s="54">
        <f>단가산출근거!F179</f>
        <v>2925</v>
      </c>
      <c r="I6" s="15" t="s">
        <v>144</v>
      </c>
      <c r="J6" s="17" t="str">
        <f>"_x0007_`COD|D00408_x0005_`QTY1|1_x0005_`BQC|-_x0005_`EQC|_x0005_`JDC|_x0005_`WQC|_x0005_`EDT|_x0005_`ADJ|F_x0005_`NAG|0_x0005_`UC|F_x0005_`DET|"&amp;ROW(단가산출근거!A75)&amp;"_x0005_`"</f>
        <v>_x0007_`COD|D00408_x0005_`QTY1|1_x0005_`BQC|-_x0005_`EQC|_x0005_`JDC|_x0005_`WQC|_x0005_`EDT|_x0005_`ADJ|F_x0005_`NAG|0_x0005_`UC|F_x0005_`DET|75_x0005_`</v>
      </c>
      <c r="K6" s="3" t="str">
        <f ca="1">HYPERLINK("#"&amp;단가산출근거!G2&amp;"!A"&amp;ROW(단가산출근거!A75),"D00408 →")</f>
        <v>D00408 →</v>
      </c>
    </row>
    <row r="7" spans="1:11" ht="22.35" customHeight="1" x14ac:dyDescent="0.3">
      <c r="A7" s="9" t="s">
        <v>29</v>
      </c>
      <c r="B7" s="10" t="s">
        <v>146</v>
      </c>
      <c r="C7" s="10" t="s">
        <v>147</v>
      </c>
      <c r="D7" s="9" t="s">
        <v>26</v>
      </c>
      <c r="E7" s="54">
        <f>단가산출근거!C214</f>
        <v>8029</v>
      </c>
      <c r="F7" s="52">
        <f>단가산출근거!D214</f>
        <v>6594</v>
      </c>
      <c r="G7" s="64">
        <f>단가산출근거!E214</f>
        <v>1118</v>
      </c>
      <c r="H7" s="54">
        <f>단가산출근거!F214</f>
        <v>317</v>
      </c>
      <c r="I7" s="15" t="s">
        <v>148</v>
      </c>
      <c r="J7" s="17" t="str">
        <f>"_x0007_`COD|D00492_x0005_`QTY1|1_x0005_`BQC|_x0005_`EQC|_x0005_`JDC|_x0005_`WQC|_x0005_`EDT|_x0005_`ADJ|F_x0005_`NAG|0_x0005_`UC|F_x0005_`DET|"&amp;ROW(단가산출근거!A180)&amp;"_x0005_`"</f>
        <v>_x0007_`COD|D00492_x0005_`QTY1|1_x0005_`BQC|_x0005_`EQC|_x0005_`JDC|_x0005_`WQC|_x0005_`EDT|_x0005_`ADJ|F_x0005_`NAG|0_x0005_`UC|F_x0005_`DET|180_x0005_`</v>
      </c>
      <c r="K7" s="3" t="str">
        <f ca="1">HYPERLINK("#"&amp;단가산출근거!G2&amp;"!A"&amp;ROW(단가산출근거!A180),"D00492 →")</f>
        <v>D00492 →</v>
      </c>
    </row>
    <row r="8" spans="1:11" ht="22.35" customHeight="1" x14ac:dyDescent="0.3">
      <c r="A8" s="9" t="s">
        <v>33</v>
      </c>
      <c r="B8" s="10" t="s">
        <v>150</v>
      </c>
      <c r="C8" s="10" t="s">
        <v>151</v>
      </c>
      <c r="D8" s="9" t="s">
        <v>50</v>
      </c>
      <c r="E8" s="54">
        <f>단가산출근거!C284</f>
        <v>3067</v>
      </c>
      <c r="F8" s="52">
        <f>단가산출근거!D284</f>
        <v>3067</v>
      </c>
      <c r="G8" s="64">
        <f>단가산출근거!E284</f>
        <v>0</v>
      </c>
      <c r="H8" s="54">
        <f>단가산출근거!F284</f>
        <v>0</v>
      </c>
      <c r="I8" s="15" t="s">
        <v>152</v>
      </c>
      <c r="J8" s="17" t="str">
        <f>"_x0007_`COD|D00794_x0005_`QTY1|1_x0005_`BQC|사방품셈_x0005_`EQC|_x0005_`JDC|_x0005_`WQC|_x0005_`EDT|_x0005_`ADJ|F_x0005_`NAG|0_x0005_`UC|F_x0005_`DET|"&amp;ROW(단가산출근거!A215)&amp;"_x0005_`"</f>
        <v>_x0007_`COD|D00794_x0005_`QTY1|1_x0005_`BQC|사방품셈_x0005_`EQC|_x0005_`JDC|_x0005_`WQC|_x0005_`EDT|_x0005_`ADJ|F_x0005_`NAG|0_x0005_`UC|F_x0005_`DET|215_x0005_`</v>
      </c>
      <c r="K8" s="3" t="str">
        <f ca="1">HYPERLINK("#"&amp;단가산출근거!G2&amp;"!A"&amp;ROW(단가산출근거!A215),"D00794 →")</f>
        <v>D00794 →</v>
      </c>
    </row>
    <row r="9" spans="1:11" ht="22.35" customHeight="1" x14ac:dyDescent="0.3">
      <c r="A9" s="9" t="s">
        <v>38</v>
      </c>
      <c r="B9" s="10" t="s">
        <v>154</v>
      </c>
      <c r="C9" s="10" t="s">
        <v>155</v>
      </c>
      <c r="D9" s="9" t="s">
        <v>26</v>
      </c>
      <c r="E9" s="54">
        <f>단가산출근거!C319</f>
        <v>4862</v>
      </c>
      <c r="F9" s="52">
        <f>단가산출근거!D319</f>
        <v>3391</v>
      </c>
      <c r="G9" s="64">
        <f>단가산출근거!E319</f>
        <v>625</v>
      </c>
      <c r="H9" s="54">
        <f>단가산출근거!F319</f>
        <v>846</v>
      </c>
      <c r="I9" s="15" t="s">
        <v>156</v>
      </c>
      <c r="J9" s="17" t="str">
        <f>"_x0007_`COD|D00867_x0005_`QTY1|1_x0005_`BQC|_x0005_`EQC|2025년개정_x0005_`JDC|_x0005_`WQC|_x0005_`EDT|_x0005_`ADJ|F_x0005_`NAG|0_x0005_`UC|F_x0005_`DET|"&amp;ROW(단가산출근거!A285)&amp;"_x0005_`"</f>
        <v>_x0007_`COD|D00867_x0005_`QTY1|1_x0005_`BQC|_x0005_`EQC|2025년개정_x0005_`JDC|_x0005_`WQC|_x0005_`EDT|_x0005_`ADJ|F_x0005_`NAG|0_x0005_`UC|F_x0005_`DET|285_x0005_`</v>
      </c>
      <c r="K9" s="3" t="str">
        <f ca="1">HYPERLINK("#"&amp;단가산출근거!G2&amp;"!A"&amp;ROW(단가산출근거!A285),"D00867 →")</f>
        <v>D00867 →</v>
      </c>
    </row>
    <row r="10" spans="1:11" ht="22.35" customHeight="1" x14ac:dyDescent="0.3">
      <c r="A10" s="9" t="s">
        <v>43</v>
      </c>
      <c r="B10" s="10" t="s">
        <v>158</v>
      </c>
      <c r="C10" s="10" t="s">
        <v>147</v>
      </c>
      <c r="D10" s="9" t="s">
        <v>26</v>
      </c>
      <c r="E10" s="54">
        <f>단가산출근거!C354</f>
        <v>69391</v>
      </c>
      <c r="F10" s="52">
        <f>단가산출근거!D354</f>
        <v>67956</v>
      </c>
      <c r="G10" s="64">
        <f>단가산출근거!E354</f>
        <v>1118</v>
      </c>
      <c r="H10" s="54">
        <f>단가산출근거!F354</f>
        <v>317</v>
      </c>
      <c r="I10" s="15" t="s">
        <v>159</v>
      </c>
      <c r="J10" s="17" t="str">
        <f>"_x0007_`COD|D00918_x0005_`QTY1|1_x0005_`BQC|_x0005_`EQC|비빔품 반영_x0005_`JDC|_x0005_`WQC|_x0005_`EDT|_x0005_`ADJ|F_x0005_`NAG|0_x0005_`UC|F_x0005_`DET|"&amp;ROW(단가산출근거!A320)&amp;"_x0005_`"</f>
        <v>_x0007_`COD|D00918_x0005_`QTY1|1_x0005_`BQC|_x0005_`EQC|비빔품 반영_x0005_`JDC|_x0005_`WQC|_x0005_`EDT|_x0005_`ADJ|F_x0005_`NAG|0_x0005_`UC|F_x0005_`DET|320_x0005_`</v>
      </c>
      <c r="K10" s="3" t="str">
        <f ca="1">HYPERLINK("#"&amp;단가산출근거!G2&amp;"!A"&amp;ROW(단가산출근거!A320),"D00918 →")</f>
        <v>D00918 →</v>
      </c>
    </row>
    <row r="11" spans="1:11" ht="22.35" customHeight="1" x14ac:dyDescent="0.3">
      <c r="A11" s="9" t="s">
        <v>47</v>
      </c>
      <c r="B11" s="10" t="s">
        <v>139</v>
      </c>
      <c r="C11" s="10" t="s">
        <v>161</v>
      </c>
      <c r="D11" s="9" t="s">
        <v>26</v>
      </c>
      <c r="E11" s="54">
        <f>단가산출근거!C389</f>
        <v>9165</v>
      </c>
      <c r="F11" s="52">
        <f>단가산출근거!D389</f>
        <v>6478</v>
      </c>
      <c r="G11" s="64">
        <f>단가산출근거!E389</f>
        <v>933</v>
      </c>
      <c r="H11" s="54">
        <f>단가산출근거!F389</f>
        <v>1754</v>
      </c>
      <c r="I11" s="15" t="s">
        <v>162</v>
      </c>
      <c r="J11" s="17" t="str">
        <f>"_x0007_`COD|D01030_x0005_`QTY1|1_x0005_`BQC|-_x0005_`EQC|_x0005_`JDC|_x0005_`WQC|_x0005_`EDT|_x0005_`ADJ|F_x0005_`NAG|0_x0005_`UC|F_x0005_`DET|"&amp;ROW(단가산출근거!A355)&amp;"_x0005_`"</f>
        <v>_x0007_`COD|D01030_x0005_`QTY1|1_x0005_`BQC|-_x0005_`EQC|_x0005_`JDC|_x0005_`WQC|_x0005_`EDT|_x0005_`ADJ|F_x0005_`NAG|0_x0005_`UC|F_x0005_`DET|355_x0005_`</v>
      </c>
      <c r="K11" s="3" t="str">
        <f ca="1">HYPERLINK("#"&amp;단가산출근거!G2&amp;"!A"&amp;ROW(단가산출근거!A355),"D01030 →")</f>
        <v>D01030 →</v>
      </c>
    </row>
    <row r="12" spans="1:11" ht="22.35" customHeight="1" x14ac:dyDescent="0.3">
      <c r="A12" s="9" t="s">
        <v>53</v>
      </c>
      <c r="B12" s="10" t="s">
        <v>164</v>
      </c>
      <c r="C12" s="10"/>
      <c r="D12" s="9" t="s">
        <v>14</v>
      </c>
      <c r="E12" s="54">
        <f>단가산출근거!C424</f>
        <v>664</v>
      </c>
      <c r="F12" s="52">
        <f>단가산출근거!D424</f>
        <v>664</v>
      </c>
      <c r="G12" s="64">
        <f>단가산출근거!E424</f>
        <v>0</v>
      </c>
      <c r="H12" s="54">
        <f>단가산출근거!F424</f>
        <v>0</v>
      </c>
      <c r="I12" s="15" t="s">
        <v>165</v>
      </c>
      <c r="J12" s="17" t="str">
        <f>"_x0007_`COD|D01129_x0005_`QTY1|1_x0005_`BQC|_x0005_`EQC|_x0005_`JDC|_x0005_`WQC|_x0005_`EDT|_x0005_`ADJ|F_x0005_`NAG|0_x0005_`UC|F_x0005_`DET|"&amp;ROW(단가산출근거!A390)&amp;"_x0005_`"</f>
        <v>_x0007_`COD|D01129_x0005_`QTY1|1_x0005_`BQC|_x0005_`EQC|_x0005_`JDC|_x0005_`WQC|_x0005_`EDT|_x0005_`ADJ|F_x0005_`NAG|0_x0005_`UC|F_x0005_`DET|390_x0005_`</v>
      </c>
      <c r="K12" s="3" t="str">
        <f ca="1">HYPERLINK("#"&amp;단가산출근거!G2&amp;"!A"&amp;ROW(단가산출근거!A390),"D01129 →")</f>
        <v>D01129 →</v>
      </c>
    </row>
    <row r="13" spans="1:11" ht="22.35" customHeight="1" x14ac:dyDescent="0.3">
      <c r="A13" s="9" t="s">
        <v>58</v>
      </c>
      <c r="B13" s="10" t="s">
        <v>167</v>
      </c>
      <c r="C13" s="10"/>
      <c r="D13" s="9" t="s">
        <v>14</v>
      </c>
      <c r="E13" s="54">
        <f>단가산출근거!C459</f>
        <v>6022</v>
      </c>
      <c r="F13" s="52">
        <f>단가산출근거!D459</f>
        <v>6022</v>
      </c>
      <c r="G13" s="64">
        <f>단가산출근거!E459</f>
        <v>0</v>
      </c>
      <c r="H13" s="54">
        <f>단가산출근거!F459</f>
        <v>0</v>
      </c>
      <c r="I13" s="15" t="s">
        <v>168</v>
      </c>
      <c r="J13" s="17" t="str">
        <f>"_x0007_`COD|D01329_x0005_`QTY1|1_x0005_`BQC|_x0005_`EQC|품_x0005_`JDC|_x0005_`WQC|_x0005_`EDT|_x0005_`ADJ|F_x0005_`NAG|0_x0005_`UC|F_x0005_`DET|"&amp;ROW(단가산출근거!A425)&amp;"_x0005_`"</f>
        <v>_x0007_`COD|D01329_x0005_`QTY1|1_x0005_`BQC|_x0005_`EQC|품_x0005_`JDC|_x0005_`WQC|_x0005_`EDT|_x0005_`ADJ|F_x0005_`NAG|0_x0005_`UC|F_x0005_`DET|425_x0005_`</v>
      </c>
      <c r="K13" s="3" t="str">
        <f ca="1">HYPERLINK("#"&amp;단가산출근거!G2&amp;"!A"&amp;ROW(단가산출근거!A425),"D01329 →")</f>
        <v>D01329 →</v>
      </c>
    </row>
    <row r="14" spans="1:11" ht="22.35" customHeight="1" x14ac:dyDescent="0.3">
      <c r="A14" s="9" t="s">
        <v>62</v>
      </c>
      <c r="B14" s="10" t="s">
        <v>170</v>
      </c>
      <c r="C14" s="10" t="s">
        <v>171</v>
      </c>
      <c r="D14" s="9" t="s">
        <v>26</v>
      </c>
      <c r="E14" s="54">
        <f>단가산출근거!C529</f>
        <v>28767</v>
      </c>
      <c r="F14" s="52">
        <f>단가산출근거!D529</f>
        <v>22622</v>
      </c>
      <c r="G14" s="64">
        <f>단가산출근거!E529</f>
        <v>2480</v>
      </c>
      <c r="H14" s="54">
        <f>단가산출근거!F529</f>
        <v>3665</v>
      </c>
      <c r="I14" s="15" t="s">
        <v>172</v>
      </c>
      <c r="J14" s="17" t="str">
        <f>"_x0007_`COD|D01336_x0005_`QTY1|1_x0005_`BQC|_x0005_`EQC|품_x0005_`JDC|_x0005_`WQC|_x0005_`EDT|_x0005_`ADJ|F_x0005_`NAG|0_x0005_`UC|F_x0005_`DET|"&amp;ROW(단가산출근거!A460)&amp;"_x0005_`"</f>
        <v>_x0007_`COD|D01336_x0005_`QTY1|1_x0005_`BQC|_x0005_`EQC|품_x0005_`JDC|_x0005_`WQC|_x0005_`EDT|_x0005_`ADJ|F_x0005_`NAG|0_x0005_`UC|F_x0005_`DET|460_x0005_`</v>
      </c>
      <c r="K14" s="3" t="str">
        <f ca="1">HYPERLINK("#"&amp;단가산출근거!G2&amp;"!A"&amp;ROW(단가산출근거!A460),"D01336 →")</f>
        <v>D01336 →</v>
      </c>
    </row>
    <row r="15" spans="1:11" ht="22.35" customHeight="1" x14ac:dyDescent="0.3">
      <c r="A15" s="9" t="s">
        <v>66</v>
      </c>
      <c r="B15" s="10" t="s">
        <v>174</v>
      </c>
      <c r="C15" s="10" t="s">
        <v>59</v>
      </c>
      <c r="D15" s="9" t="s">
        <v>14</v>
      </c>
      <c r="E15" s="54">
        <f>단가산출근거!C564</f>
        <v>32473</v>
      </c>
      <c r="F15" s="52">
        <f>단가산출근거!D564</f>
        <v>31528</v>
      </c>
      <c r="G15" s="64">
        <f>단가산출근거!E564</f>
        <v>0</v>
      </c>
      <c r="H15" s="54">
        <f>단가산출근거!F564</f>
        <v>945</v>
      </c>
      <c r="I15" s="15" t="s">
        <v>175</v>
      </c>
      <c r="J15" s="17" t="str">
        <f>"_x0007_`COD|D01351_x0005_`QTY1|1_x0005_`BQC|_x0005_`EQC|품_x0005_`JDC|_x0005_`WQC|_x0005_`EDT|_x0005_`ADJ|F_x0005_`NAG|0_x0005_`UC|F_x0005_`DET|"&amp;ROW(단가산출근거!A530)&amp;"_x0005_`"</f>
        <v>_x0007_`COD|D01351_x0005_`QTY1|1_x0005_`BQC|_x0005_`EQC|품_x0005_`JDC|_x0005_`WQC|_x0005_`EDT|_x0005_`ADJ|F_x0005_`NAG|0_x0005_`UC|F_x0005_`DET|530_x0005_`</v>
      </c>
      <c r="K15" s="3" t="str">
        <f ca="1">HYPERLINK("#"&amp;단가산출근거!G2&amp;"!A"&amp;ROW(단가산출근거!A530),"D01351 →")</f>
        <v>D01351 →</v>
      </c>
    </row>
    <row r="16" spans="1:11" ht="22.35" customHeight="1" x14ac:dyDescent="0.3">
      <c r="A16" s="9" t="s">
        <v>71</v>
      </c>
      <c r="B16" s="10" t="s">
        <v>174</v>
      </c>
      <c r="C16" s="10" t="s">
        <v>13</v>
      </c>
      <c r="D16" s="9" t="s">
        <v>14</v>
      </c>
      <c r="E16" s="54">
        <f>단가산출근거!C599</f>
        <v>37112</v>
      </c>
      <c r="F16" s="52">
        <f>단가산출근거!D599</f>
        <v>36032</v>
      </c>
      <c r="G16" s="64">
        <f>단가산출근거!E599</f>
        <v>0</v>
      </c>
      <c r="H16" s="54">
        <f>단가산출근거!F599</f>
        <v>1080</v>
      </c>
      <c r="I16" s="15" t="s">
        <v>177</v>
      </c>
      <c r="J16" s="17" t="str">
        <f>"_x0007_`COD|D01352_x0005_`QTY1|1_x0005_`BQC|_x0005_`EQC|품_x0005_`JDC|_x0005_`WQC|_x0005_`EDT|_x0005_`ADJ|F_x0005_`NAG|0_x0005_`UC|F_x0005_`DET|"&amp;ROW(단가산출근거!A565)&amp;"_x0005_`"</f>
        <v>_x0007_`COD|D01352_x0005_`QTY1|1_x0005_`BQC|_x0005_`EQC|품_x0005_`JDC|_x0005_`WQC|_x0005_`EDT|_x0005_`ADJ|F_x0005_`NAG|0_x0005_`UC|F_x0005_`DET|565_x0005_`</v>
      </c>
      <c r="K16" s="3" t="str">
        <f ca="1">HYPERLINK("#"&amp;단가산출근거!G2&amp;"!A"&amp;ROW(단가산출근거!A565),"D01352 →")</f>
        <v>D01352 →</v>
      </c>
    </row>
    <row r="17" spans="1:11" ht="22.35" customHeight="1" x14ac:dyDescent="0.3">
      <c r="A17" s="9" t="s">
        <v>76</v>
      </c>
      <c r="B17" s="10" t="s">
        <v>179</v>
      </c>
      <c r="C17" s="10" t="s">
        <v>180</v>
      </c>
      <c r="D17" s="9" t="s">
        <v>26</v>
      </c>
      <c r="E17" s="54">
        <f>단가산출근거!C634</f>
        <v>29077</v>
      </c>
      <c r="F17" s="52">
        <f>단가산출근거!D634</f>
        <v>28231</v>
      </c>
      <c r="G17" s="64">
        <f>단가산출근거!E634</f>
        <v>0</v>
      </c>
      <c r="H17" s="54">
        <f>단가산출근거!F634</f>
        <v>846</v>
      </c>
      <c r="I17" s="15" t="s">
        <v>181</v>
      </c>
      <c r="J17" s="17" t="str">
        <f>"_x0007_`COD|D01354_x0005_`QTY1|1_x0005_`BQC|_x0005_`EQC|품_x0005_`JDC|_x0005_`WQC|_x0005_`EDT|_x0005_`ADJ|F_x0005_`NAG|0_x0005_`UC|F_x0005_`DET|"&amp;ROW(단가산출근거!A600)&amp;"_x0005_`"</f>
        <v>_x0007_`COD|D01354_x0005_`QTY1|1_x0005_`BQC|_x0005_`EQC|품_x0005_`JDC|_x0005_`WQC|_x0005_`EDT|_x0005_`ADJ|F_x0005_`NAG|0_x0005_`UC|F_x0005_`DET|600_x0005_`</v>
      </c>
      <c r="K17" s="3" t="str">
        <f ca="1">HYPERLINK("#"&amp;단가산출근거!G2&amp;"!A"&amp;ROW(단가산출근거!A600),"D01354 →")</f>
        <v>D01354 →</v>
      </c>
    </row>
    <row r="18" spans="1:11" ht="22.35" customHeight="1" x14ac:dyDescent="0.3">
      <c r="A18" s="9" t="s">
        <v>79</v>
      </c>
      <c r="B18" s="10" t="s">
        <v>183</v>
      </c>
      <c r="C18" s="10" t="s">
        <v>184</v>
      </c>
      <c r="D18" s="9" t="s">
        <v>14</v>
      </c>
      <c r="E18" s="54">
        <f>단가산출근거!C739</f>
        <v>18687</v>
      </c>
      <c r="F18" s="52">
        <f>단가산출근거!D739</f>
        <v>11717</v>
      </c>
      <c r="G18" s="64">
        <f>단가산출근거!E739</f>
        <v>2669</v>
      </c>
      <c r="H18" s="54">
        <f>단가산출근거!F739</f>
        <v>4301</v>
      </c>
      <c r="I18" s="15" t="s">
        <v>185</v>
      </c>
      <c r="J18" s="17" t="str">
        <f>"_x0007_`COD|D01448_x0005_`QTY1|1_x0005_`BQC|-_x0005_`EQC|_x0005_`JDC|_x0005_`WQC|_x0005_`EDT|_x0005_`ADJ|F_x0005_`NAG|0_x0005_`UC|F_x0005_`DET|"&amp;ROW(단가산출근거!A635)&amp;"_x0005_`"</f>
        <v>_x0007_`COD|D01448_x0005_`QTY1|1_x0005_`BQC|-_x0005_`EQC|_x0005_`JDC|_x0005_`WQC|_x0005_`EDT|_x0005_`ADJ|F_x0005_`NAG|0_x0005_`UC|F_x0005_`DET|635_x0005_`</v>
      </c>
      <c r="K18" s="3" t="str">
        <f ca="1">HYPERLINK("#"&amp;단가산출근거!G2&amp;"!A"&amp;ROW(단가산출근거!A635),"D01448 →")</f>
        <v>D01448 →</v>
      </c>
    </row>
    <row r="19" spans="1:11" ht="22.35" customHeight="1" x14ac:dyDescent="0.3">
      <c r="A19" s="9" t="s">
        <v>85</v>
      </c>
      <c r="B19" s="10" t="s">
        <v>187</v>
      </c>
      <c r="C19" s="10" t="s">
        <v>188</v>
      </c>
      <c r="D19" s="9" t="s">
        <v>26</v>
      </c>
      <c r="E19" s="54">
        <f>단가산출근거!C774</f>
        <v>4340</v>
      </c>
      <c r="F19" s="52">
        <f>단가산출근거!D774</f>
        <v>2403</v>
      </c>
      <c r="G19" s="64">
        <f>단가산출근거!E774</f>
        <v>823</v>
      </c>
      <c r="H19" s="54">
        <f>단가산출근거!F774</f>
        <v>1114</v>
      </c>
      <c r="I19" s="15" t="s">
        <v>189</v>
      </c>
      <c r="J19" s="17" t="str">
        <f>"_x0007_`COD|D01456_x0005_`QTY1|1_x0005_`BQC|_x0005_`EQC|_x0005_`JDC|_x0005_`WQC|_x0005_`EDT|_x0005_`ADJ|F_x0005_`NAG|0_x0005_`UC|F_x0005_`DET|"&amp;ROW(단가산출근거!A740)&amp;"_x0005_`"</f>
        <v>_x0007_`COD|D01456_x0005_`QTY1|1_x0005_`BQC|_x0005_`EQC|_x0005_`JDC|_x0005_`WQC|_x0005_`EDT|_x0005_`ADJ|F_x0005_`NAG|0_x0005_`UC|F_x0005_`DET|740_x0005_`</v>
      </c>
      <c r="K19" s="3" t="str">
        <f ca="1">HYPERLINK("#"&amp;단가산출근거!G2&amp;"!A"&amp;ROW(단가산출근거!A740),"D01456 →")</f>
        <v>D01456 →</v>
      </c>
    </row>
    <row r="20" spans="1:11" ht="22.35" customHeight="1" x14ac:dyDescent="0.3">
      <c r="A20" s="9" t="s">
        <v>90</v>
      </c>
      <c r="B20" s="10" t="s">
        <v>191</v>
      </c>
      <c r="C20" s="10" t="s">
        <v>188</v>
      </c>
      <c r="D20" s="9" t="s">
        <v>26</v>
      </c>
      <c r="E20" s="54">
        <f>단가산출근거!C809</f>
        <v>4192</v>
      </c>
      <c r="F20" s="52">
        <f>단가산출근거!D809</f>
        <v>2923</v>
      </c>
      <c r="G20" s="64">
        <f>단가산출근거!E809</f>
        <v>539</v>
      </c>
      <c r="H20" s="54">
        <f>단가산출근거!F809</f>
        <v>730</v>
      </c>
      <c r="I20" s="15" t="s">
        <v>192</v>
      </c>
      <c r="J20" s="17" t="str">
        <f>"_x0007_`COD|D01474_x0005_`QTY1|1_x0005_`BQC|_x0005_`EQC|_x0005_`JDC|_x0005_`WQC|_x0005_`EDT|_x0005_`ADJ|F_x0005_`NAG|0_x0005_`UC|F_x0005_`DET|"&amp;ROW(단가산출근거!A775)&amp;"_x0005_`"</f>
        <v>_x0007_`COD|D01474_x0005_`QTY1|1_x0005_`BQC|_x0005_`EQC|_x0005_`JDC|_x0005_`WQC|_x0005_`EDT|_x0005_`ADJ|F_x0005_`NAG|0_x0005_`UC|F_x0005_`DET|775_x0005_`</v>
      </c>
      <c r="K20" s="3" t="str">
        <f ca="1">HYPERLINK("#"&amp;단가산출근거!G2&amp;"!A"&amp;ROW(단가산출근거!A775),"D01474 →")</f>
        <v>D01474 →</v>
      </c>
    </row>
    <row r="21" spans="1:11" ht="22.35" customHeight="1" x14ac:dyDescent="0.3">
      <c r="A21" s="9" t="s">
        <v>95</v>
      </c>
      <c r="B21" s="10" t="s">
        <v>194</v>
      </c>
      <c r="C21" s="10" t="s">
        <v>188</v>
      </c>
      <c r="D21" s="9" t="s">
        <v>26</v>
      </c>
      <c r="E21" s="54">
        <f>단가산출근거!C844</f>
        <v>1192</v>
      </c>
      <c r="F21" s="52">
        <f>단가산출근거!D844</f>
        <v>660</v>
      </c>
      <c r="G21" s="64">
        <f>단가산출근거!E844</f>
        <v>226</v>
      </c>
      <c r="H21" s="54">
        <f>단가산출근거!F844</f>
        <v>306</v>
      </c>
      <c r="I21" s="15" t="s">
        <v>195</v>
      </c>
      <c r="J21" s="17" t="str">
        <f>"_x0007_`COD|D01475_x0005_`QTY1|1_x0005_`BQC|_x0005_`EQC|_x0005_`JDC|_x0005_`WQC|_x0005_`EDT|_x0005_`ADJ|F_x0005_`NAG|0_x0005_`UC|F_x0005_`DET|"&amp;ROW(단가산출근거!A810)&amp;"_x0005_`"</f>
        <v>_x0007_`COD|D01475_x0005_`QTY1|1_x0005_`BQC|_x0005_`EQC|_x0005_`JDC|_x0005_`WQC|_x0005_`EDT|_x0005_`ADJ|F_x0005_`NAG|0_x0005_`UC|F_x0005_`DET|810_x0005_`</v>
      </c>
      <c r="K21" s="3" t="str">
        <f ca="1">HYPERLINK("#"&amp;단가산출근거!G2&amp;"!A"&amp;ROW(단가산출근거!A810),"D01475 →")</f>
        <v>D01475 →</v>
      </c>
    </row>
    <row r="22" spans="1:11" ht="22.35" customHeight="1" x14ac:dyDescent="0.3">
      <c r="A22" s="9" t="s">
        <v>100</v>
      </c>
      <c r="B22" s="10" t="s">
        <v>197</v>
      </c>
      <c r="C22" s="10" t="s">
        <v>198</v>
      </c>
      <c r="D22" s="9" t="s">
        <v>14</v>
      </c>
      <c r="E22" s="54">
        <f>단가산출근거!C878</f>
        <v>688</v>
      </c>
      <c r="F22" s="52">
        <f>단가산출근거!D878</f>
        <v>424</v>
      </c>
      <c r="G22" s="64">
        <f>단가산출근거!E878</f>
        <v>117</v>
      </c>
      <c r="H22" s="54">
        <f>단가산출근거!F878</f>
        <v>147</v>
      </c>
      <c r="I22" s="15" t="s">
        <v>199</v>
      </c>
      <c r="J22" s="17" t="str">
        <f>"_x0007_`COD|D01476_x0005_`QTY1|1_x0005_`BQC|_x0005_`EQC|임도품셈_x0005_`JDC|_x0005_`WQC|_x0005_`EDT|_x0005_`ADJ|F_x0005_`NAG|87.745_x0005_`UC|T_x0005_`DET|"&amp;ROW(단가산출근거!A845)&amp;"_x0005_`"</f>
        <v>_x0007_`COD|D01476_x0005_`QTY1|1_x0005_`BQC|_x0005_`EQC|임도품셈_x0005_`JDC|_x0005_`WQC|_x0005_`EDT|_x0005_`ADJ|F_x0005_`NAG|87.745_x0005_`UC|T_x0005_`DET|845_x0005_`</v>
      </c>
      <c r="K22" s="3" t="str">
        <f ca="1">HYPERLINK("#"&amp;단가산출근거!G2&amp;"!A"&amp;ROW(단가산출근거!A845),"D01476 →")</f>
        <v>D01476 →</v>
      </c>
    </row>
    <row r="23" spans="1:11" ht="22.35" customHeight="1" x14ac:dyDescent="0.3">
      <c r="A23" s="9" t="s">
        <v>105</v>
      </c>
      <c r="B23" s="10" t="s">
        <v>201</v>
      </c>
      <c r="C23" s="10" t="s">
        <v>202</v>
      </c>
      <c r="D23" s="9" t="s">
        <v>26</v>
      </c>
      <c r="E23" s="54">
        <f>단가산출근거!C912</f>
        <v>2156</v>
      </c>
      <c r="F23" s="52">
        <f>단가산출근거!D912</f>
        <v>1228</v>
      </c>
      <c r="G23" s="64">
        <f>단가산출근거!E912</f>
        <v>413</v>
      </c>
      <c r="H23" s="54">
        <f>단가산출근거!F912</f>
        <v>515</v>
      </c>
      <c r="I23" s="15" t="s">
        <v>203</v>
      </c>
      <c r="J23" s="17" t="str">
        <f>"_x0007_`COD|D01477_x0005_`QTY1|1_x0005_`BQC|_x0005_`EQC|_x0005_`JDC|_x0005_`WQC|_x0005_`EDT|_x0005_`ADJ|F_x0005_`NAG|87.745_x0005_`UC|T_x0005_`DET|"&amp;ROW(단가산출근거!A879)&amp;"_x0005_`"</f>
        <v>_x0007_`COD|D01477_x0005_`QTY1|1_x0005_`BQC|_x0005_`EQC|_x0005_`JDC|_x0005_`WQC|_x0005_`EDT|_x0005_`ADJ|F_x0005_`NAG|87.745_x0005_`UC|T_x0005_`DET|879_x0005_`</v>
      </c>
      <c r="K23" s="3" t="str">
        <f ca="1">HYPERLINK("#"&amp;단가산출근거!G2&amp;"!A"&amp;ROW(단가산출근거!A879),"D01477 →")</f>
        <v>D01477 →</v>
      </c>
    </row>
    <row r="24" spans="1:11" ht="22.35" customHeight="1" x14ac:dyDescent="0.3">
      <c r="A24" s="9" t="s">
        <v>109</v>
      </c>
      <c r="B24" s="10" t="s">
        <v>205</v>
      </c>
      <c r="C24" s="10" t="s">
        <v>206</v>
      </c>
      <c r="D24" s="9" t="s">
        <v>26</v>
      </c>
      <c r="E24" s="54">
        <f>단가산출근거!C981</f>
        <v>21679</v>
      </c>
      <c r="F24" s="52">
        <f>단가산출근거!D981</f>
        <v>11147</v>
      </c>
      <c r="G24" s="64">
        <f>단가산출근거!E981</f>
        <v>3589</v>
      </c>
      <c r="H24" s="54">
        <f>단가산출근거!F981</f>
        <v>6943</v>
      </c>
      <c r="I24" s="15" t="s">
        <v>207</v>
      </c>
      <c r="J24" s="17" t="str">
        <f>"_x0007_`COD|D01478_x0005_`QTY1|1_x0005_`BQC|-_x0005_`EQC|집적50%_x0005_`JDC|_x0005_`WQC|_x0005_`EDT|_x0005_`ADJ|F_x0005_`NAG|87.745_x0005_`UC|T_x0005_`DET|"&amp;ROW(단가산출근거!A913)&amp;"_x0005_`"</f>
        <v>_x0007_`COD|D01478_x0005_`QTY1|1_x0005_`BQC|-_x0005_`EQC|집적50%_x0005_`JDC|_x0005_`WQC|_x0005_`EDT|_x0005_`ADJ|F_x0005_`NAG|87.745_x0005_`UC|T_x0005_`DET|913_x0005_`</v>
      </c>
      <c r="K24" s="3" t="str">
        <f ca="1">HYPERLINK("#"&amp;단가산출근거!G2&amp;"!A"&amp;ROW(단가산출근거!A913),"D01478 →")</f>
        <v>D01478 →</v>
      </c>
    </row>
    <row r="25" spans="1:11" ht="22.35" customHeight="1" x14ac:dyDescent="0.3">
      <c r="A25" s="9" t="s">
        <v>114</v>
      </c>
      <c r="B25" s="10" t="s">
        <v>209</v>
      </c>
      <c r="C25" s="10" t="s">
        <v>210</v>
      </c>
      <c r="D25" s="9" t="s">
        <v>26</v>
      </c>
      <c r="E25" s="54">
        <f>단가산출근거!C1015</f>
        <v>2837</v>
      </c>
      <c r="F25" s="52">
        <f>단가산출근거!D1015</f>
        <v>1786</v>
      </c>
      <c r="G25" s="64">
        <f>단가산출근거!E1015</f>
        <v>513</v>
      </c>
      <c r="H25" s="54">
        <f>단가산출근거!F1015</f>
        <v>538</v>
      </c>
      <c r="I25" s="15" t="s">
        <v>211</v>
      </c>
      <c r="J25" s="17" t="str">
        <f>"_x0007_`COD|D01479_x0005_`QTY1|1_x0005_`BQC|_x0005_`EQC|_x0005_`JDC|_x0005_`WQC|_x0005_`EDT|_x0005_`ADJ|F_x0005_`NAG|87.745_x0005_`UC|T_x0005_`DET|"&amp;ROW(단가산출근거!A982)&amp;"_x0005_`"</f>
        <v>_x0007_`COD|D01479_x0005_`QTY1|1_x0005_`BQC|_x0005_`EQC|_x0005_`JDC|_x0005_`WQC|_x0005_`EDT|_x0005_`ADJ|F_x0005_`NAG|87.745_x0005_`UC|T_x0005_`DET|982_x0005_`</v>
      </c>
      <c r="K25" s="3" t="str">
        <f ca="1">HYPERLINK("#"&amp;단가산출근거!G2&amp;"!A"&amp;ROW(단가산출근거!A982),"D01479 →")</f>
        <v>D01479 →</v>
      </c>
    </row>
    <row r="26" spans="1:11" ht="22.35" customHeight="1" x14ac:dyDescent="0.3">
      <c r="A26" s="9" t="s">
        <v>119</v>
      </c>
      <c r="B26" s="10" t="s">
        <v>213</v>
      </c>
      <c r="C26" s="10" t="s">
        <v>214</v>
      </c>
      <c r="D26" s="9" t="s">
        <v>26</v>
      </c>
      <c r="E26" s="54">
        <f>단가산출근거!C1084</f>
        <v>33688</v>
      </c>
      <c r="F26" s="52">
        <f>단가산출근거!D1084</f>
        <v>17871</v>
      </c>
      <c r="G26" s="64">
        <f>단가산출근거!E1084</f>
        <v>5607</v>
      </c>
      <c r="H26" s="54">
        <f>단가산출근거!F1084</f>
        <v>10210</v>
      </c>
      <c r="I26" s="15" t="s">
        <v>215</v>
      </c>
      <c r="J26" s="17" t="str">
        <f>"_x0007_`COD|D01480_x0005_`QTY1|1_x0005_`BQC|-_x0005_`EQC|_x0005_`JDC|_x0005_`WQC|_x0005_`EDT|_x0005_`ADJ|F_x0005_`NAG|87.745_x0005_`UC|T_x0005_`DET|"&amp;ROW(단가산출근거!A1016)&amp;"_x0005_`"</f>
        <v>_x0007_`COD|D01480_x0005_`QTY1|1_x0005_`BQC|-_x0005_`EQC|_x0005_`JDC|_x0005_`WQC|_x0005_`EDT|_x0005_`ADJ|F_x0005_`NAG|87.745_x0005_`UC|T_x0005_`DET|1016_x0005_`</v>
      </c>
      <c r="K26" s="3" t="str">
        <f ca="1">HYPERLINK("#"&amp;단가산출근거!G2&amp;"!A"&amp;ROW(단가산출근거!A1016),"D01480 →")</f>
        <v>D01480 →</v>
      </c>
    </row>
    <row r="27" spans="1:11" ht="22.35" customHeight="1" x14ac:dyDescent="0.3">
      <c r="A27" s="9" t="s">
        <v>124</v>
      </c>
      <c r="B27" s="10" t="s">
        <v>217</v>
      </c>
      <c r="C27" s="10" t="s">
        <v>218</v>
      </c>
      <c r="D27" s="9" t="s">
        <v>26</v>
      </c>
      <c r="E27" s="54">
        <f>단가산출근거!C1153</f>
        <v>1592</v>
      </c>
      <c r="F27" s="52">
        <f>단가산출근거!D1153</f>
        <v>695</v>
      </c>
      <c r="G27" s="64">
        <f>단가산출근거!E1153</f>
        <v>480</v>
      </c>
      <c r="H27" s="54">
        <f>단가산출근거!F1153</f>
        <v>417</v>
      </c>
      <c r="I27" s="15" t="s">
        <v>219</v>
      </c>
      <c r="J27" s="17" t="str">
        <f>"_x0007_`COD|D01481_x0005_`QTY1|1_x0005_`BQC|_x0005_`EQC|_x0005_`JDC|_x0005_`WQC|_x0005_`EDT|_x0005_`ADJ|F_x0005_`NAG|87.745_x0005_`UC|T_x0005_`DET|"&amp;ROW(단가산출근거!A1085)&amp;"_x0005_`"</f>
        <v>_x0007_`COD|D01481_x0005_`QTY1|1_x0005_`BQC|_x0005_`EQC|_x0005_`JDC|_x0005_`WQC|_x0005_`EDT|_x0005_`ADJ|F_x0005_`NAG|87.745_x0005_`UC|T_x0005_`DET|1085_x0005_`</v>
      </c>
      <c r="K27" s="3" t="str">
        <f ca="1">HYPERLINK("#"&amp;단가산출근거!G2&amp;"!A"&amp;ROW(단가산출근거!A1085),"D01481 →")</f>
        <v>D01481 →</v>
      </c>
    </row>
    <row r="28" spans="1:11" ht="22.35" customHeight="1" x14ac:dyDescent="0.3">
      <c r="A28" s="9" t="s">
        <v>128</v>
      </c>
      <c r="B28" s="10" t="s">
        <v>221</v>
      </c>
      <c r="C28" s="10" t="s">
        <v>222</v>
      </c>
      <c r="D28" s="9" t="s">
        <v>26</v>
      </c>
      <c r="E28" s="54">
        <f>단가산출근거!C1188</f>
        <v>2400</v>
      </c>
      <c r="F28" s="52">
        <f>단가산출근거!D1188</f>
        <v>1048</v>
      </c>
      <c r="G28" s="64">
        <f>단가산출근거!E1188</f>
        <v>723</v>
      </c>
      <c r="H28" s="54">
        <f>단가산출근거!F1188</f>
        <v>629</v>
      </c>
      <c r="I28" s="15" t="s">
        <v>223</v>
      </c>
      <c r="J28" s="17" t="str">
        <f>"_x0007_`COD|D01482_x0005_`QTY1|1_x0005_`BQC|_x0005_`EQC|_x0005_`JDC|_x0005_`WQC|_x0005_`EDT|_x0005_`ADJ|F_x0005_`NAG|87.745_x0005_`UC|T_x0005_`DET|"&amp;ROW(단가산출근거!A1154)&amp;"_x0005_`"</f>
        <v>_x0007_`COD|D01482_x0005_`QTY1|1_x0005_`BQC|_x0005_`EQC|_x0005_`JDC|_x0005_`WQC|_x0005_`EDT|_x0005_`ADJ|F_x0005_`NAG|87.745_x0005_`UC|T_x0005_`DET|1154_x0005_`</v>
      </c>
      <c r="K28" s="3" t="str">
        <f ca="1">HYPERLINK("#"&amp;단가산출근거!G2&amp;"!A"&amp;ROW(단가산출근거!A1154),"D01482 →")</f>
        <v>D01482 →</v>
      </c>
    </row>
    <row r="29" spans="1:11" ht="22.35" customHeight="1" x14ac:dyDescent="0.3">
      <c r="A29" s="9" t="s">
        <v>225</v>
      </c>
      <c r="B29" s="10" t="s">
        <v>226</v>
      </c>
      <c r="C29" s="10" t="s">
        <v>227</v>
      </c>
      <c r="D29" s="9" t="s">
        <v>26</v>
      </c>
      <c r="E29" s="54">
        <f>단가산출근거!C1257</f>
        <v>6171</v>
      </c>
      <c r="F29" s="52">
        <f>단가산출근거!D1257</f>
        <v>3889</v>
      </c>
      <c r="G29" s="64">
        <f>단가산출근거!E1257</f>
        <v>785</v>
      </c>
      <c r="H29" s="54">
        <f>단가산출근거!F1257</f>
        <v>1497</v>
      </c>
      <c r="I29" s="15" t="s">
        <v>228</v>
      </c>
      <c r="J29" s="17" t="str">
        <f>"_x0007_`COD|D01483_x0005_`QTY1|1_x0005_`BQC|_x0005_`EQC|_x0005_`JDC|_x0005_`WQC|_x0005_`EDT|_x0005_`ADJ|F_x0005_`NAG|87.745_x0005_`UC|T_x0005_`DET|"&amp;ROW(단가산출근거!A1189)&amp;"_x0005_`"</f>
        <v>_x0007_`COD|D01483_x0005_`QTY1|1_x0005_`BQC|_x0005_`EQC|_x0005_`JDC|_x0005_`WQC|_x0005_`EDT|_x0005_`ADJ|F_x0005_`NAG|87.745_x0005_`UC|T_x0005_`DET|1189_x0005_`</v>
      </c>
      <c r="K29" s="3" t="str">
        <f ca="1">HYPERLINK("#"&amp;단가산출근거!G2&amp;"!A"&amp;ROW(단가산출근거!A1189),"D01483 →")</f>
        <v>D01483 →</v>
      </c>
    </row>
    <row r="30" spans="1:11" ht="22.35" customHeight="1" x14ac:dyDescent="0.3">
      <c r="A30" s="9" t="s">
        <v>230</v>
      </c>
      <c r="B30" s="10" t="s">
        <v>231</v>
      </c>
      <c r="C30" s="10" t="s">
        <v>232</v>
      </c>
      <c r="D30" s="9" t="s">
        <v>26</v>
      </c>
      <c r="E30" s="54">
        <f>단가산출근거!C1326</f>
        <v>7889</v>
      </c>
      <c r="F30" s="52">
        <f>단가산출근거!D1326</f>
        <v>4795</v>
      </c>
      <c r="G30" s="64">
        <f>단가산출근거!E1326</f>
        <v>934</v>
      </c>
      <c r="H30" s="54">
        <f>단가산출근거!F1326</f>
        <v>2160</v>
      </c>
      <c r="I30" s="15" t="s">
        <v>233</v>
      </c>
      <c r="J30" s="17" t="str">
        <f>"_x0007_`COD|D01484_x0005_`QTY1|1_x0005_`BQC|-_x0005_`EQC|_x0005_`JDC|_x0005_`WQC|_x0005_`EDT|_x0005_`ADJ|F_x0005_`NAG|87.745_x0005_`UC|T_x0005_`DET|"&amp;ROW(단가산출근거!A1258)&amp;"_x0005_`"</f>
        <v>_x0007_`COD|D01484_x0005_`QTY1|1_x0005_`BQC|-_x0005_`EQC|_x0005_`JDC|_x0005_`WQC|_x0005_`EDT|_x0005_`ADJ|F_x0005_`NAG|87.745_x0005_`UC|T_x0005_`DET|1258_x0005_`</v>
      </c>
      <c r="K30" s="3" t="str">
        <f ca="1">HYPERLINK("#"&amp;단가산출근거!G2&amp;"!A"&amp;ROW(단가산출근거!A1258),"D01484 →")</f>
        <v>D01484 →</v>
      </c>
    </row>
    <row r="31" spans="1:11" ht="22.35" customHeight="1" x14ac:dyDescent="0.3">
      <c r="A31" s="9" t="s">
        <v>235</v>
      </c>
      <c r="B31" s="10" t="s">
        <v>236</v>
      </c>
      <c r="C31" s="10" t="s">
        <v>237</v>
      </c>
      <c r="D31" s="9" t="s">
        <v>14</v>
      </c>
      <c r="E31" s="54">
        <f>단가산출근거!C1360</f>
        <v>1171</v>
      </c>
      <c r="F31" s="52">
        <f>단가산출근거!D1360</f>
        <v>644</v>
      </c>
      <c r="G31" s="64">
        <f>단가산출근거!E1360</f>
        <v>216</v>
      </c>
      <c r="H31" s="54">
        <f>단가산출근거!F1360</f>
        <v>311</v>
      </c>
      <c r="I31" s="15" t="s">
        <v>238</v>
      </c>
      <c r="J31" s="17" t="str">
        <f>"_x0007_`COD|D01485_x0005_`QTY1|1_x0005_`BQC|_x0005_`EQC|_x0005_`JDC|_x0005_`WQC|_x0005_`EDT|_x0005_`ADJ|F_x0005_`NAG|87.745_x0005_`UC|T_x0005_`DET|"&amp;ROW(단가산출근거!A1327)&amp;"_x0005_`"</f>
        <v>_x0007_`COD|D01485_x0005_`QTY1|1_x0005_`BQC|_x0005_`EQC|_x0005_`JDC|_x0005_`WQC|_x0005_`EDT|_x0005_`ADJ|F_x0005_`NAG|87.745_x0005_`UC|T_x0005_`DET|1327_x0005_`</v>
      </c>
      <c r="K31" s="3" t="str">
        <f ca="1">HYPERLINK("#"&amp;단가산출근거!G2&amp;"!A"&amp;ROW(단가산출근거!A1327),"D01485 →")</f>
        <v>D01485 →</v>
      </c>
    </row>
    <row r="32" spans="1:11" ht="22.35" customHeight="1" x14ac:dyDescent="0.3">
      <c r="A32" s="9" t="s">
        <v>240</v>
      </c>
      <c r="B32" s="10" t="s">
        <v>241</v>
      </c>
      <c r="C32" s="10"/>
      <c r="D32" s="9" t="s">
        <v>14</v>
      </c>
      <c r="E32" s="54">
        <f>단가산출근거!C1394</f>
        <v>236</v>
      </c>
      <c r="F32" s="52">
        <f>단가산출근거!D1394</f>
        <v>131</v>
      </c>
      <c r="G32" s="64">
        <f>단가산출근거!E1394</f>
        <v>44</v>
      </c>
      <c r="H32" s="54">
        <f>단가산출근거!F1394</f>
        <v>61</v>
      </c>
      <c r="I32" s="15" t="s">
        <v>242</v>
      </c>
      <c r="J32" s="17" t="str">
        <f>"_x0007_`COD|D01486_x0005_`QTY1|1_x0005_`BQC|_x0005_`EQC|_x0005_`JDC|_x0005_`WQC|_x0005_`EDT|_x0005_`ADJ|F_x0005_`NAG|87.745_x0005_`UC|T_x0005_`DET|"&amp;ROW(단가산출근거!A1361)&amp;"_x0005_`"</f>
        <v>_x0007_`COD|D01486_x0005_`QTY1|1_x0005_`BQC|_x0005_`EQC|_x0005_`JDC|_x0005_`WQC|_x0005_`EDT|_x0005_`ADJ|F_x0005_`NAG|87.745_x0005_`UC|T_x0005_`DET|1361_x0005_`</v>
      </c>
      <c r="K32" s="3" t="str">
        <f ca="1">HYPERLINK("#"&amp;단가산출근거!G2&amp;"!A"&amp;ROW(단가산출근거!A1361),"D01486 →")</f>
        <v>D01486 →</v>
      </c>
    </row>
    <row r="33" spans="1:11" ht="22.35" customHeight="1" x14ac:dyDescent="0.3">
      <c r="A33" s="9" t="s">
        <v>244</v>
      </c>
      <c r="B33" s="10" t="s">
        <v>245</v>
      </c>
      <c r="C33" s="10" t="s">
        <v>246</v>
      </c>
      <c r="D33" s="9" t="s">
        <v>26</v>
      </c>
      <c r="E33" s="54">
        <f>단가산출근거!C1498</f>
        <v>4267</v>
      </c>
      <c r="F33" s="52">
        <f>단가산출근거!D1498</f>
        <v>2738</v>
      </c>
      <c r="G33" s="64">
        <f>단가산출근거!E1498</f>
        <v>499</v>
      </c>
      <c r="H33" s="54">
        <f>단가산출근거!F1498</f>
        <v>1030</v>
      </c>
      <c r="I33" s="15" t="s">
        <v>247</v>
      </c>
      <c r="J33" s="17" t="str">
        <f>"_x0007_`COD|D01487_x0005_`QTY1|1_x0005_`BQC|_x0005_`EQC|소광_x0005_`JDC|_x0005_`WQC|_x0005_`EDT|_x0005_`ADJ|F_x0005_`NAG|87.745_x0005_`UC|T_x0005_`DET|"&amp;ROW(단가산출근거!A1395)&amp;"_x0005_`"</f>
        <v>_x0007_`COD|D01487_x0005_`QTY1|1_x0005_`BQC|_x0005_`EQC|소광_x0005_`JDC|_x0005_`WQC|_x0005_`EDT|_x0005_`ADJ|F_x0005_`NAG|87.745_x0005_`UC|T_x0005_`DET|1395_x0005_`</v>
      </c>
      <c r="K33" s="3" t="str">
        <f ca="1">HYPERLINK("#"&amp;단가산출근거!G2&amp;"!A"&amp;ROW(단가산출근거!A1395),"D01487 →")</f>
        <v>D01487 →</v>
      </c>
    </row>
    <row r="34" spans="1:11" ht="22.35" customHeight="1" x14ac:dyDescent="0.3">
      <c r="A34" s="9" t="s">
        <v>249</v>
      </c>
      <c r="B34" s="10" t="s">
        <v>250</v>
      </c>
      <c r="C34" s="10" t="s">
        <v>110</v>
      </c>
      <c r="D34" s="9" t="s">
        <v>50</v>
      </c>
      <c r="E34" s="54">
        <f>단가산출근거!C1567</f>
        <v>1657</v>
      </c>
      <c r="F34" s="52">
        <f>단가산출근거!D1567</f>
        <v>988</v>
      </c>
      <c r="G34" s="64">
        <f>단가산출근거!E1567</f>
        <v>628</v>
      </c>
      <c r="H34" s="54">
        <f>단가산출근거!F1567</f>
        <v>41</v>
      </c>
      <c r="I34" s="15" t="s">
        <v>251</v>
      </c>
      <c r="J34" s="17" t="str">
        <f>"_x0007_`COD|D01488_x0005_`QTY1|1_x0005_`BQC|_x0005_`EQC|_x0005_`JDC|_x0005_`WQC|_x0005_`EDT|_x0005_`ADJ|F_x0005_`NAG|87.745_x0005_`UC|T_x0005_`DET|"&amp;ROW(단가산출근거!A1499)&amp;"_x0005_`"</f>
        <v>_x0007_`COD|D01488_x0005_`QTY1|1_x0005_`BQC|_x0005_`EQC|_x0005_`JDC|_x0005_`WQC|_x0005_`EDT|_x0005_`ADJ|F_x0005_`NAG|87.745_x0005_`UC|T_x0005_`DET|1499_x0005_`</v>
      </c>
      <c r="K34" s="3" t="str">
        <f ca="1">HYPERLINK("#"&amp;단가산출근거!G2&amp;"!A"&amp;ROW(단가산출근거!A1499),"D01488 →")</f>
        <v>D01488 →</v>
      </c>
    </row>
    <row r="35" spans="1:11" ht="22.35" customHeight="1" x14ac:dyDescent="0.3">
      <c r="A35" s="9" t="s">
        <v>253</v>
      </c>
      <c r="B35" s="10" t="s">
        <v>254</v>
      </c>
      <c r="C35" s="10" t="s">
        <v>255</v>
      </c>
      <c r="D35" s="9" t="s">
        <v>256</v>
      </c>
      <c r="E35" s="54">
        <f>단가산출근거!C1636</f>
        <v>369171</v>
      </c>
      <c r="F35" s="52">
        <f>단가산출근거!D1636</f>
        <v>159891</v>
      </c>
      <c r="G35" s="64">
        <f>단가산출근거!E1636</f>
        <v>202128</v>
      </c>
      <c r="H35" s="54">
        <f>단가산출근거!F1636</f>
        <v>7152</v>
      </c>
      <c r="I35" s="15" t="s">
        <v>257</v>
      </c>
      <c r="J35" s="17" t="str">
        <f>"_x0007_`COD|D01489_x0005_`QTY1|1_x0005_`BQC|_x0005_`EQC|_x0005_`JDC|_x0005_`WQC|_x0005_`EDT|_x0005_`ADJ|F_x0005_`NAG|87.745_x0005_`UC|T_x0005_`DET|"&amp;ROW(단가산출근거!A1568)&amp;"_x0005_`"</f>
        <v>_x0007_`COD|D01489_x0005_`QTY1|1_x0005_`BQC|_x0005_`EQC|_x0005_`JDC|_x0005_`WQC|_x0005_`EDT|_x0005_`ADJ|F_x0005_`NAG|87.745_x0005_`UC|T_x0005_`DET|1568_x0005_`</v>
      </c>
      <c r="K35" s="3" t="str">
        <f ca="1">HYPERLINK("#"&amp;단가산출근거!G2&amp;"!A"&amp;ROW(단가산출근거!A1568),"D01489 →")</f>
        <v>D01489 →</v>
      </c>
    </row>
    <row r="36" spans="1:11" ht="22.35" customHeight="1" x14ac:dyDescent="0.3">
      <c r="A36" s="9" t="s">
        <v>259</v>
      </c>
      <c r="B36" s="10" t="s">
        <v>260</v>
      </c>
      <c r="C36" s="10" t="s">
        <v>255</v>
      </c>
      <c r="D36" s="9" t="s">
        <v>256</v>
      </c>
      <c r="E36" s="54">
        <f>단가산출근거!C1705</f>
        <v>929862</v>
      </c>
      <c r="F36" s="52">
        <f>단가산출근거!D1705</f>
        <v>159891</v>
      </c>
      <c r="G36" s="64">
        <f>단가산출근거!E1705</f>
        <v>762819</v>
      </c>
      <c r="H36" s="54">
        <f>단가산출근거!F1705</f>
        <v>7152</v>
      </c>
      <c r="I36" s="15" t="s">
        <v>261</v>
      </c>
      <c r="J36" s="17" t="str">
        <f>"_x0007_`COD|D01490_x0005_`QTY1|1_x0005_`BQC|_x0005_`EQC|_x0005_`JDC|_x0005_`WQC|_x0005_`EDT|_x0005_`ADJ|F_x0005_`NAG|87.745_x0005_`UC|T_x0005_`DET|"&amp;ROW(단가산출근거!A1637)&amp;"_x0005_`"</f>
        <v>_x0007_`COD|D01490_x0005_`QTY1|1_x0005_`BQC|_x0005_`EQC|_x0005_`JDC|_x0005_`WQC|_x0005_`EDT|_x0005_`ADJ|F_x0005_`NAG|87.745_x0005_`UC|T_x0005_`DET|1637_x0005_`</v>
      </c>
      <c r="K36" s="3" t="str">
        <f ca="1">HYPERLINK("#"&amp;단가산출근거!G2&amp;"!A"&amp;ROW(단가산출근거!A1637),"D01490 →")</f>
        <v>D01490 →</v>
      </c>
    </row>
    <row r="37" spans="1:11" ht="22.35" customHeight="1" x14ac:dyDescent="0.3">
      <c r="A37" s="9" t="s">
        <v>263</v>
      </c>
      <c r="B37" s="10" t="s">
        <v>264</v>
      </c>
      <c r="C37" s="10" t="s">
        <v>265</v>
      </c>
      <c r="D37" s="9" t="s">
        <v>26</v>
      </c>
      <c r="E37" s="54">
        <f>단가산출근거!C1774</f>
        <v>25297</v>
      </c>
      <c r="F37" s="52">
        <f>단가산출근거!D1774</f>
        <v>14935</v>
      </c>
      <c r="G37" s="64">
        <f>단가산출근거!E1774</f>
        <v>3667</v>
      </c>
      <c r="H37" s="54">
        <f>단가산출근거!F1774</f>
        <v>6695</v>
      </c>
      <c r="I37" s="15" t="s">
        <v>266</v>
      </c>
      <c r="J37" s="17" t="str">
        <f>"_x0007_`COD|D01491_x0005_`QTY1|1_x0005_`BQC|_x0005_`EQC|_x0005_`JDC|_x0005_`WQC|_x0005_`EDT|_x0005_`ADJ|F_x0005_`NAG|87.745_x0005_`UC|T_x0005_`DET|"&amp;ROW(단가산출근거!A1706)&amp;"_x0005_`"</f>
        <v>_x0007_`COD|D01491_x0005_`QTY1|1_x0005_`BQC|_x0005_`EQC|_x0005_`JDC|_x0005_`WQC|_x0005_`EDT|_x0005_`ADJ|F_x0005_`NAG|87.745_x0005_`UC|T_x0005_`DET|1706_x0005_`</v>
      </c>
      <c r="K37" s="3" t="str">
        <f ca="1">HYPERLINK("#"&amp;단가산출근거!G2&amp;"!A"&amp;ROW(단가산출근거!A1706),"D01491 →")</f>
        <v>D01491 →</v>
      </c>
    </row>
    <row r="38" spans="1:11" ht="22.35" customHeight="1" x14ac:dyDescent="0.3">
      <c r="A38" s="9" t="s">
        <v>268</v>
      </c>
      <c r="B38" s="10" t="s">
        <v>269</v>
      </c>
      <c r="C38" s="10"/>
      <c r="D38" s="9" t="s">
        <v>50</v>
      </c>
      <c r="E38" s="54">
        <f>단가산출근거!C1808</f>
        <v>1622</v>
      </c>
      <c r="F38" s="52">
        <f>단가산출근거!D1808</f>
        <v>1354</v>
      </c>
      <c r="G38" s="64">
        <f>단가산출근거!E1808</f>
        <v>268</v>
      </c>
      <c r="H38" s="54">
        <f>단가산출근거!F1808</f>
        <v>0</v>
      </c>
      <c r="I38" s="15" t="s">
        <v>270</v>
      </c>
      <c r="J38" s="17" t="str">
        <f>"_x0007_`COD|D01492_x0005_`QTY1|1_x0005_`BQC|_x0005_`EQC|골파기無_x0005_`JDC|_x0005_`WQC|_x0005_`EDT|_x0005_`ADJ|F_x0005_`NAG|87.745_x0005_`UC|T_x0005_`DET|"&amp;ROW(단가산출근거!A1775)&amp;"_x0005_`"</f>
        <v>_x0007_`COD|D01492_x0005_`QTY1|1_x0005_`BQC|_x0005_`EQC|골파기無_x0005_`JDC|_x0005_`WQC|_x0005_`EDT|_x0005_`ADJ|F_x0005_`NAG|87.745_x0005_`UC|T_x0005_`DET|1775_x0005_`</v>
      </c>
      <c r="K38" s="3" t="str">
        <f ca="1">HYPERLINK("#"&amp;단가산출근거!G2&amp;"!A"&amp;ROW(단가산출근거!A1775),"D01492 →")</f>
        <v>D01492 →</v>
      </c>
    </row>
    <row r="39" spans="1:11" ht="22.35" customHeight="1" x14ac:dyDescent="0.3">
      <c r="A39" s="9" t="s">
        <v>272</v>
      </c>
      <c r="B39" s="10" t="s">
        <v>273</v>
      </c>
      <c r="C39" s="10" t="s">
        <v>274</v>
      </c>
      <c r="D39" s="9" t="s">
        <v>275</v>
      </c>
      <c r="E39" s="54">
        <f>단가산출근거!C1947</f>
        <v>1514976</v>
      </c>
      <c r="F39" s="52">
        <f>단가산출근거!D1947</f>
        <v>0</v>
      </c>
      <c r="G39" s="64">
        <f>단가산출근거!E1947</f>
        <v>0</v>
      </c>
      <c r="H39" s="54">
        <f>단가산출근거!F1947</f>
        <v>1514976</v>
      </c>
      <c r="I39" s="15" t="s">
        <v>276</v>
      </c>
      <c r="J39" s="17" t="str">
        <f>"_x0007_`COD|D01493_x0005_`QTY1|1_x0005_`BQC|_x0005_`EQC|소광리_x0005_`JDC|_x0005_`WQC|_x0005_`EDT|_x0005_`ADJ|F_x0005_`NAG|87.745_x0005_`UC|T_x0005_`DET|"&amp;ROW(단가산출근거!A1809)&amp;"_x0005_`"</f>
        <v>_x0007_`COD|D01493_x0005_`QTY1|1_x0005_`BQC|_x0005_`EQC|소광리_x0005_`JDC|_x0005_`WQC|_x0005_`EDT|_x0005_`ADJ|F_x0005_`NAG|87.745_x0005_`UC|T_x0005_`DET|1809_x0005_`</v>
      </c>
      <c r="K39" s="3" t="str">
        <f ca="1">HYPERLINK("#"&amp;단가산출근거!G2&amp;"!A"&amp;ROW(단가산출근거!A1809),"D01493 →")</f>
        <v>D01493 →</v>
      </c>
    </row>
    <row r="40" spans="1:11" ht="22.35" customHeight="1" x14ac:dyDescent="0.3">
      <c r="A40" s="9" t="s">
        <v>278</v>
      </c>
      <c r="B40" s="10" t="s">
        <v>279</v>
      </c>
      <c r="C40" s="10" t="s">
        <v>280</v>
      </c>
      <c r="D40" s="9" t="s">
        <v>26</v>
      </c>
      <c r="E40" s="54">
        <f>단가산출근거!C2016</f>
        <v>56451</v>
      </c>
      <c r="F40" s="52">
        <f>단가산출근거!D2016</f>
        <v>0</v>
      </c>
      <c r="G40" s="64">
        <f>단가산출근거!E2016</f>
        <v>0</v>
      </c>
      <c r="H40" s="54">
        <f>단가산출근거!F2016</f>
        <v>56451</v>
      </c>
      <c r="I40" s="15" t="s">
        <v>281</v>
      </c>
      <c r="J40" s="17" t="str">
        <f>"_x0007_`COD|D01494_x0005_`QTY1|1_x0005_`BQC|_x0005_`EQC|24톤 소광_x0005_`JDC|_x0005_`WQC|_x0005_`EDT|_x0005_`ADJ|F_x0005_`NAG|87.745_x0005_`UC|T_x0005_`DET|"&amp;ROW(단가산출근거!A1948)&amp;"_x0005_`"</f>
        <v>_x0007_`COD|D01494_x0005_`QTY1|1_x0005_`BQC|_x0005_`EQC|24톤 소광_x0005_`JDC|_x0005_`WQC|_x0005_`EDT|_x0005_`ADJ|F_x0005_`NAG|87.745_x0005_`UC|T_x0005_`DET|1948_x0005_`</v>
      </c>
      <c r="K40" s="3" t="str">
        <f ca="1">HYPERLINK("#"&amp;단가산출근거!G2&amp;"!A"&amp;ROW(단가산출근거!A1948),"D01494 →")</f>
        <v>D01494 →</v>
      </c>
    </row>
    <row r="41" spans="1:11" ht="22.35" customHeight="1" x14ac:dyDescent="0.3">
      <c r="A41" s="9" t="s">
        <v>283</v>
      </c>
      <c r="B41" s="10" t="s">
        <v>284</v>
      </c>
      <c r="C41" s="10" t="s">
        <v>285</v>
      </c>
      <c r="D41" s="9" t="s">
        <v>26</v>
      </c>
      <c r="E41" s="54">
        <f>단가산출근거!C2085</f>
        <v>44049</v>
      </c>
      <c r="F41" s="52">
        <f>단가산출근거!D2085</f>
        <v>0</v>
      </c>
      <c r="G41" s="64">
        <f>단가산출근거!E2085</f>
        <v>0</v>
      </c>
      <c r="H41" s="54">
        <f>단가산출근거!F2085</f>
        <v>44049</v>
      </c>
      <c r="I41" s="15" t="s">
        <v>286</v>
      </c>
      <c r="J41" s="17" t="str">
        <f>"_x0007_`COD|D01495_x0005_`QTY1|1_x0005_`BQC|_x0005_`EQC|24톤 소광_x0005_`JDC|_x0005_`WQC|_x0005_`EDT|_x0005_`ADJ|F_x0005_`NAG|87.745_x0005_`UC|T_x0005_`DET|"&amp;ROW(단가산출근거!A2017)&amp;"_x0005_`"</f>
        <v>_x0007_`COD|D01495_x0005_`QTY1|1_x0005_`BQC|_x0005_`EQC|24톤 소광_x0005_`JDC|_x0005_`WQC|_x0005_`EDT|_x0005_`ADJ|F_x0005_`NAG|87.745_x0005_`UC|T_x0005_`DET|2017_x0005_`</v>
      </c>
      <c r="K41" s="3" t="str">
        <f ca="1">HYPERLINK("#"&amp;단가산출근거!G2&amp;"!A"&amp;ROW(단가산출근거!A2017),"D01495 →")</f>
        <v>D01495 →</v>
      </c>
    </row>
    <row r="42" spans="1:11" ht="22.35" customHeight="1" x14ac:dyDescent="0.3">
      <c r="A42" s="9" t="s">
        <v>288</v>
      </c>
      <c r="B42" s="10" t="s">
        <v>289</v>
      </c>
      <c r="C42" s="10" t="s">
        <v>285</v>
      </c>
      <c r="D42" s="9" t="s">
        <v>290</v>
      </c>
      <c r="E42" s="54">
        <f>단가산출근거!C2189</f>
        <v>6576</v>
      </c>
      <c r="F42" s="52">
        <f>단가산출근거!D2189</f>
        <v>0</v>
      </c>
      <c r="G42" s="64">
        <f>단가산출근거!E2189</f>
        <v>0</v>
      </c>
      <c r="H42" s="54">
        <f>단가산출근거!F2189</f>
        <v>6576</v>
      </c>
      <c r="I42" s="15" t="s">
        <v>291</v>
      </c>
      <c r="J42" s="17" t="str">
        <f>"_x0007_`COD|D01496_x0005_`QTY1|1_x0005_`BQC|-_x0005_`EQC|소광_x0005_`JDC|_x0005_`WQC|_x0005_`EDT|_x0005_`ADJ|F_x0005_`NAG|87.745_x0005_`UC|T_x0005_`DET|"&amp;ROW(단가산출근거!A2086)&amp;"_x0005_`"</f>
        <v>_x0007_`COD|D01496_x0005_`QTY1|1_x0005_`BQC|-_x0005_`EQC|소광_x0005_`JDC|_x0005_`WQC|_x0005_`EDT|_x0005_`ADJ|F_x0005_`NAG|87.745_x0005_`UC|T_x0005_`DET|2086_x0005_`</v>
      </c>
      <c r="K42" s="3" t="str">
        <f ca="1">HYPERLINK("#"&amp;단가산출근거!G2&amp;"!A"&amp;ROW(단가산출근거!A2086),"D01496 →")</f>
        <v>D01496 →</v>
      </c>
    </row>
    <row r="43" spans="1:11" ht="22.35" customHeight="1" x14ac:dyDescent="0.3">
      <c r="A43" s="9" t="s">
        <v>293</v>
      </c>
      <c r="B43" s="10" t="s">
        <v>294</v>
      </c>
      <c r="C43" s="10" t="s">
        <v>285</v>
      </c>
      <c r="D43" s="9" t="s">
        <v>295</v>
      </c>
      <c r="E43" s="54">
        <f>단가산출근거!C2258</f>
        <v>29070</v>
      </c>
      <c r="F43" s="52">
        <f>단가산출근거!D2258</f>
        <v>0</v>
      </c>
      <c r="G43" s="64">
        <f>단가산출근거!E2258</f>
        <v>0</v>
      </c>
      <c r="H43" s="54">
        <f>단가산출근거!F2258</f>
        <v>29070</v>
      </c>
      <c r="I43" s="15" t="s">
        <v>296</v>
      </c>
      <c r="J43" s="17" t="str">
        <f>"_x0007_`COD|D01497_x0005_`QTY1|1_x0005_`BQC|_x0005_`EQC|소광리_x0005_`JDC|_x0005_`WQC|_x0005_`EDT|_x0005_`ADJ|F_x0005_`NAG|87.745_x0005_`UC|T_x0005_`DET|"&amp;ROW(단가산출근거!A2190)&amp;"_x0005_`"</f>
        <v>_x0007_`COD|D01497_x0005_`QTY1|1_x0005_`BQC|_x0005_`EQC|소광리_x0005_`JDC|_x0005_`WQC|_x0005_`EDT|_x0005_`ADJ|F_x0005_`NAG|87.745_x0005_`UC|T_x0005_`DET|2190_x0005_`</v>
      </c>
      <c r="K43" s="3" t="str">
        <f ca="1">HYPERLINK("#"&amp;단가산출근거!G2&amp;"!A"&amp;ROW(단가산출근거!A2190),"D01497 →")</f>
        <v>D01497 →</v>
      </c>
    </row>
  </sheetData>
  <mergeCells count="1">
    <mergeCell ref="A1:I1"/>
  </mergeCells>
  <phoneticPr fontId="23" type="noConversion"/>
  <hyperlinks>
    <hyperlink ref="K1" r:id="rId1" tooltip="설계예산시스템(STmate w25.07)으로 작성 하였으며,_x000a_엑셀 인쇄품질 600 dpi에 최적화 되어 있습니다._x000a_경영정보(주) http://www.stma.co.kr_x000a_Tel) 070-4350-0040_x000a_Fax) 0505-300-3948"/>
    <hyperlink ref="J1" r:id="rId2" tooltip="설계예산시스템(STmate w25.07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5118110236220474" header="0" footer="0.35433070866141736"/>
  <pageSetup paperSize="9" scale="98" fitToWidth="0" fitToHeight="0" orientation="landscape" r:id="rId3"/>
  <headerFooter alignWithMargins="0">
    <oddFooter xml:space="preserve">&amp;C&amp;"굴림체,"&amp;9 - &amp;P -&amp;R&amp;"굴림체,"&amp;9 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24</vt:i4>
      </vt:variant>
      <vt:variant>
        <vt:lpstr>이름 지정된 범위</vt:lpstr>
      </vt:variant>
      <vt:variant>
        <vt:i4>44</vt:i4>
      </vt:variant>
    </vt:vector>
  </HeadingPairs>
  <TitlesOfParts>
    <vt:vector size="68" baseType="lpstr">
      <vt:lpstr>〓 목 차 〓</vt:lpstr>
      <vt:lpstr>※※안내※※</vt:lpstr>
      <vt:lpstr>공사원가계산서</vt:lpstr>
      <vt:lpstr>총괄설계내역서</vt:lpstr>
      <vt:lpstr>착공내역서</vt:lpstr>
      <vt:lpstr>일위대가목록표</vt:lpstr>
      <vt:lpstr>일위대가표</vt:lpstr>
      <vt:lpstr>일위대가수량금액집계표</vt:lpstr>
      <vt:lpstr>단가산출근거목록표</vt:lpstr>
      <vt:lpstr>단가산출근거</vt:lpstr>
      <vt:lpstr>단가산출근거수량금액집계표</vt:lpstr>
      <vt:lpstr>환율및기초자료</vt:lpstr>
      <vt:lpstr>중기목록표</vt:lpstr>
      <vt:lpstr>중기사용료</vt:lpstr>
      <vt:lpstr>재료비목록표</vt:lpstr>
      <vt:lpstr>노무비목록표</vt:lpstr>
      <vt:lpstr>경비목록표</vt:lpstr>
      <vt:lpstr>일식견적목록표</vt:lpstr>
      <vt:lpstr>자재단가대비표</vt:lpstr>
      <vt:lpstr>재료비수량금액집계표</vt:lpstr>
      <vt:lpstr>노무비수량금액집계표</vt:lpstr>
      <vt:lpstr>경비수량금액집계표</vt:lpstr>
      <vt:lpstr>일식견적수량금액집계표</vt:lpstr>
      <vt:lpstr>중기시간금액집계표</vt:lpstr>
      <vt:lpstr>'〓 목 차 〓'!Print_Area</vt:lpstr>
      <vt:lpstr>경비목록표!Print_Area</vt:lpstr>
      <vt:lpstr>경비수량금액집계표!Print_Area</vt:lpstr>
      <vt:lpstr>공사원가계산서!Print_Area</vt:lpstr>
      <vt:lpstr>노무비목록표!Print_Area</vt:lpstr>
      <vt:lpstr>노무비수량금액집계표!Print_Area</vt:lpstr>
      <vt:lpstr>단가산출근거!Print_Area</vt:lpstr>
      <vt:lpstr>단가산출근거목록표!Print_Area</vt:lpstr>
      <vt:lpstr>단가산출근거수량금액집계표!Print_Area</vt:lpstr>
      <vt:lpstr>일식견적목록표!Print_Area</vt:lpstr>
      <vt:lpstr>일식견적수량금액집계표!Print_Area</vt:lpstr>
      <vt:lpstr>일위대가목록표!Print_Area</vt:lpstr>
      <vt:lpstr>일위대가수량금액집계표!Print_Area</vt:lpstr>
      <vt:lpstr>일위대가표!Print_Area</vt:lpstr>
      <vt:lpstr>자재단가대비표!Print_Area</vt:lpstr>
      <vt:lpstr>재료비목록표!Print_Area</vt:lpstr>
      <vt:lpstr>재료비수량금액집계표!Print_Area</vt:lpstr>
      <vt:lpstr>중기목록표!Print_Area</vt:lpstr>
      <vt:lpstr>중기사용료!Print_Area</vt:lpstr>
      <vt:lpstr>중기시간금액집계표!Print_Area</vt:lpstr>
      <vt:lpstr>착공내역서!Print_Area</vt:lpstr>
      <vt:lpstr>총괄설계내역서!Print_Area</vt:lpstr>
      <vt:lpstr>환율및기초자료!Print_Area</vt:lpstr>
      <vt:lpstr>경비목록표!Print_Titles</vt:lpstr>
      <vt:lpstr>경비수량금액집계표!Print_Titles</vt:lpstr>
      <vt:lpstr>공사원가계산서!Print_Titles</vt:lpstr>
      <vt:lpstr>노무비목록표!Print_Titles</vt:lpstr>
      <vt:lpstr>노무비수량금액집계표!Print_Titles</vt:lpstr>
      <vt:lpstr>단가산출근거!Print_Titles</vt:lpstr>
      <vt:lpstr>단가산출근거목록표!Print_Titles</vt:lpstr>
      <vt:lpstr>단가산출근거수량금액집계표!Print_Titles</vt:lpstr>
      <vt:lpstr>일식견적목록표!Print_Titles</vt:lpstr>
      <vt:lpstr>일식견적수량금액집계표!Print_Titles</vt:lpstr>
      <vt:lpstr>일위대가목록표!Print_Titles</vt:lpstr>
      <vt:lpstr>일위대가수량금액집계표!Print_Titles</vt:lpstr>
      <vt:lpstr>일위대가표!Print_Titles</vt:lpstr>
      <vt:lpstr>자재단가대비표!Print_Titles</vt:lpstr>
      <vt:lpstr>재료비목록표!Print_Titles</vt:lpstr>
      <vt:lpstr>재료비수량금액집계표!Print_Titles</vt:lpstr>
      <vt:lpstr>중기목록표!Print_Titles</vt:lpstr>
      <vt:lpstr>중기사용료!Print_Titles</vt:lpstr>
      <vt:lpstr>중기시간금액집계표!Print_Titles</vt:lpstr>
      <vt:lpstr>착공내역서!Print_Titles</vt:lpstr>
      <vt:lpstr>총괄설계내역서!Print_Titles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2025년 산불진화임도 신설사업(기번8/울진.금강송.소광.산29외)</dc:title>
  <dc:creator/>
  <dc:description>STmate w25.07로 작성</dc:description>
  <cp:lastModifiedBy>user</cp:lastModifiedBy>
  <dcterms:created xsi:type="dcterms:W3CDTF">2025-07-14T02:02:58Z</dcterms:created>
  <dcterms:modified xsi:type="dcterms:W3CDTF">2025-07-14T02:03:02Z</dcterms:modified>
</cp:coreProperties>
</file>